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8.xml" ContentType="application/vnd.ms-excel.controlproperties+xml"/>
  <Override PartName="/xl/drawings/drawing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drawings/drawing6.xml" ContentType="application/vnd.openxmlformats-officedocument.drawing+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drawings/drawing7.xml" ContentType="application/vnd.openxmlformats-officedocument.drawing+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drawings/drawing8.xml" ContentType="application/vnd.openxmlformats-officedocument.drawing+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drawings/drawing9.xml" ContentType="application/vnd.openxmlformats-officedocument.drawing+xml"/>
  <Override PartName="/xl/ctrlProps/ctrlProp592.xml" ContentType="application/vnd.ms-excel.controlproperties+xml"/>
  <Override PartName="/xl/drawings/drawing10.xml" ContentType="application/vnd.openxmlformats-officedocument.drawing+xml"/>
  <Override PartName="/xl/ctrlProps/ctrlProp593.xml" ContentType="application/vnd.ms-excel.controlproperties+xml"/>
  <Override PartName="/xl/drawings/drawing11.xml" ContentType="application/vnd.openxmlformats-officedocument.drawing+xml"/>
  <Override PartName="/xl/ctrlProps/ctrlProp594.xml" ContentType="application/vnd.ms-excel.controlproperties+xml"/>
  <Override PartName="/xl/drawings/drawing12.xml" ContentType="application/vnd.openxmlformats-officedocument.drawing+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drawings/drawing13.xml" ContentType="application/vnd.openxmlformats-officedocument.drawing+xml"/>
  <Override PartName="/xl/ctrlProps/ctrlProp61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trlProps/ctrlProp612.xml" ContentType="application/vnd.ms-excel.controlproperties+xml"/>
  <Override PartName="/xl/drawings/drawing16.xml" ContentType="application/vnd.openxmlformats-officedocument.drawing+xml"/>
  <Override PartName="/xl/ctrlProps/ctrlProp613.xml" ContentType="application/vnd.ms-excel.controlproperties+xml"/>
  <Override PartName="/xl/ctrlProps/ctrlProp614.xml" ContentType="application/vnd.ms-excel.controlproperties+xml"/>
  <Override PartName="/xl/drawings/drawing17.xml" ContentType="application/vnd.openxmlformats-officedocument.drawing+xml"/>
  <Override PartName="/xl/ctrlProps/ctrlProp615.xml" ContentType="application/vnd.ms-excel.controlproperties+xml"/>
  <Override PartName="/xl/drawings/drawing18.xml" ContentType="application/vnd.openxmlformats-officedocument.drawing+xml"/>
  <Override PartName="/xl/ctrlProps/ctrlProp616.xml" ContentType="application/vnd.ms-excel.controlproperties+xml"/>
  <Override PartName="/xl/drawings/drawing19.xml" ContentType="application/vnd.openxmlformats-officedocument.drawing+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omments1.xml" ContentType="application/vnd.openxmlformats-officedocument.spreadsheetml.comments+xml"/>
  <Override PartName="/xl/drawings/drawing20.xml" ContentType="application/vnd.openxmlformats-officedocument.drawing+xml"/>
  <Override PartName="/xl/ctrlProps/ctrlProp624.xml" ContentType="application/vnd.ms-excel.controlproperties+xml"/>
  <Override PartName="/xl/ctrlProps/ctrlProp625.xml" ContentType="application/vnd.ms-excel.controlproperties+xml"/>
  <Override PartName="/xl/drawings/drawing21.xml" ContentType="application/vnd.openxmlformats-officedocument.drawing+xml"/>
  <Override PartName="/xl/ctrlProps/ctrlProp626.xml" ContentType="application/vnd.ms-excel.controlproperties+xml"/>
  <Override PartName="/xl/drawings/drawing22.xml" ContentType="application/vnd.openxmlformats-officedocument.drawing+xml"/>
  <Override PartName="/xl/ctrlProps/ctrlProp627.xml" ContentType="application/vnd.ms-excel.controlproperties+xml"/>
  <Override PartName="/xl/ctrlProps/ctrlProp628.xml" ContentType="application/vnd.ms-excel.controlproperties+xml"/>
  <Override PartName="/xl/comments2.xml" ContentType="application/vnd.openxmlformats-officedocument.spreadsheetml.comments+xml"/>
  <Override PartName="/xl/drawings/drawing23.xml" ContentType="application/vnd.openxmlformats-officedocument.drawing+xml"/>
  <Override PartName="/xl/ctrlProps/ctrlProp629.xml" ContentType="application/vnd.ms-excel.controlproperties+xml"/>
  <Override PartName="/xl/drawings/drawing24.xml" ContentType="application/vnd.openxmlformats-officedocument.drawing+xml"/>
  <Override PartName="/xl/ctrlProps/ctrlProp630.xml" ContentType="application/vnd.ms-excel.controlproperties+xml"/>
  <Override PartName="/xl/drawings/drawing25.xml" ContentType="application/vnd.openxmlformats-officedocument.drawing+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drawings/drawing26.xml" ContentType="application/vnd.openxmlformats-officedocument.drawing+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drawings/drawing27.xml" ContentType="application/vnd.openxmlformats-officedocument.drawing+xml"/>
  <Override PartName="/xl/ctrlProps/ctrlProp638.xml" ContentType="application/vnd.ms-excel.controlproperties+xml"/>
  <Override PartName="/xl/ctrlProps/ctrlProp639.xml" ContentType="application/vnd.ms-excel.controlproperties+xml"/>
  <Override PartName="/xl/drawings/drawing28.xml" ContentType="application/vnd.openxmlformats-officedocument.drawing+xml"/>
  <Override PartName="/xl/ctrlProps/ctrlProp640.xml" ContentType="application/vnd.ms-excel.controlproperties+xml"/>
  <Override PartName="/xl/drawings/drawing29.xml" ContentType="application/vnd.openxmlformats-officedocument.drawing+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omments3.xml" ContentType="application/vnd.openxmlformats-officedocument.spreadsheetml.comments+xml"/>
  <Override PartName="/xl/drawings/drawing30.xml" ContentType="application/vnd.openxmlformats-officedocument.drawing+xml"/>
  <Override PartName="/xl/ctrlProps/ctrlProp701.xml" ContentType="application/vnd.ms-excel.controlproperties+xml"/>
  <Override PartName="/xl/ctrlProps/ctrlProp702.xml" ContentType="application/vnd.ms-excel.controlproperties+xml"/>
  <Override PartName="/xl/drawings/drawing31.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drawings/drawing32.xml" ContentType="application/vnd.openxmlformats-officedocument.drawing+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drawings/drawing33.xml" ContentType="application/vnd.openxmlformats-officedocument.drawing+xml"/>
  <Override PartName="/xl/ctrlProps/ctrlProp710.xml" ContentType="application/vnd.ms-excel.controlproperties+xml"/>
  <Override PartName="/xl/drawings/drawing34.xml" ContentType="application/vnd.openxmlformats-officedocument.drawing+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drawings/drawing35.xml" ContentType="application/vnd.openxmlformats-officedocument.drawing+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drawings/drawing36.xml" ContentType="application/vnd.openxmlformats-officedocument.drawing+xml"/>
  <Override PartName="/xl/ctrlProps/ctrlProp717.xml" ContentType="application/vnd.ms-excel.controlproperties+xml"/>
  <Override PartName="/xl/drawings/drawing37.xml" ContentType="application/vnd.openxmlformats-officedocument.drawing+xml"/>
  <Override PartName="/xl/ctrlProps/ctrlProp718.xml" ContentType="application/vnd.ms-excel.controlproperties+xml"/>
  <Override PartName="/xl/drawings/drawing38.xml" ContentType="application/vnd.openxmlformats-officedocument.drawing+xml"/>
  <Override PartName="/xl/ctrlProps/ctrlProp719.xml" ContentType="application/vnd.ms-excel.controlproperties+xml"/>
  <Override PartName="/xl/drawings/drawing39.xml" ContentType="application/vnd.openxmlformats-officedocument.drawing+xml"/>
  <Override PartName="/xl/ctrlProps/ctrlProp720.xml" ContentType="application/vnd.ms-excel.controlproperties+xml"/>
  <Override PartName="/xl/drawings/drawing40.xml" ContentType="application/vnd.openxmlformats-officedocument.drawing+xml"/>
  <Override PartName="/xl/ctrlProps/ctrlProp721.xml" ContentType="application/vnd.ms-excel.controlproperties+xml"/>
  <Override PartName="/xl/ctrlProps/ctrlProp722.xml" ContentType="application/vnd.ms-excel.controlproperties+xml"/>
  <Override PartName="/xl/drawings/drawing41.xml" ContentType="application/vnd.openxmlformats-officedocument.drawing+xml"/>
  <Override PartName="/xl/ctrlProps/ctrlProp723.xml" ContentType="application/vnd.ms-excel.controlproperties+xml"/>
  <Override PartName="/xl/drawings/drawing42.xml" ContentType="application/vnd.openxmlformats-officedocument.drawing+xml"/>
  <Override PartName="/xl/ctrlProps/ctrlProp724.xml" ContentType="application/vnd.ms-excel.controlproperties+xml"/>
  <Override PartName="/xl/drawings/drawing43.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drawings/drawing44.xml" ContentType="application/vnd.openxmlformats-officedocument.drawing+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drawings/drawing45.xml" ContentType="application/vnd.openxmlformats-officedocument.drawing+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drawings/drawing46.xml" ContentType="application/vnd.openxmlformats-officedocument.drawing+xml"/>
  <Override PartName="/xl/ctrlProps/ctrlProp746.xml" ContentType="application/vnd.ms-excel.controlproperties+xml"/>
  <Override PartName="/xl/drawings/drawing47.xml" ContentType="application/vnd.openxmlformats-officedocument.drawing+xml"/>
  <Override PartName="/xl/ctrlProps/ctrlProp747.xml" ContentType="application/vnd.ms-excel.controlproperties+xml"/>
  <Override PartName="/xl/drawings/drawing48.xml" ContentType="application/vnd.openxmlformats-officedocument.drawing+xml"/>
  <Override PartName="/xl/ctrlProps/ctrlProp748.xml" ContentType="application/vnd.ms-excel.controlproperties+xml"/>
  <Override PartName="/xl/ctrlProps/ctrlProp749.xml" ContentType="application/vnd.ms-excel.controlproperties+xml"/>
  <Override PartName="/xl/drawings/drawing49.xml" ContentType="application/vnd.openxmlformats-officedocument.drawing+xml"/>
  <Override PartName="/xl/ctrlProps/ctrlProp750.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50.xml" ContentType="application/vnd.openxmlformats-officedocument.drawing+xml"/>
  <Override PartName="/xl/ctrlProps/ctrlProp751.xml" ContentType="application/vnd.ms-excel.controlproperties+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Old HP Laptop Files\Work Files\Website Files for Download\USA\"/>
    </mc:Choice>
  </mc:AlternateContent>
  <xr:revisionPtr revIDLastSave="0" documentId="8_{6CE3C03C-6A8F-4ACF-895C-A0FEA68C3D80}" xr6:coauthVersionLast="47" xr6:coauthVersionMax="47" xr10:uidLastSave="{00000000-0000-0000-0000-000000000000}"/>
  <bookViews>
    <workbookView xWindow="-90" yWindow="-90" windowWidth="16637" windowHeight="9746" tabRatio="921" firstSheet="22" activeTab="24" xr2:uid="{B160430B-6A85-4A3E-9098-E57AC194AE55}"/>
  </bookViews>
  <sheets>
    <sheet name="Register" sheetId="70" r:id="rId1"/>
    <sheet name="MENU" sheetId="66" r:id="rId2"/>
    <sheet name="INSTRUCTIONS" sheetId="77" r:id="rId3"/>
    <sheet name="DDS Submission" sheetId="78" r:id="rId4"/>
    <sheet name="Print Checklist" sheetId="69" r:id="rId5"/>
    <sheet name="Graphics" sheetId="53" r:id="rId6"/>
    <sheet name="Rig Inspection" sheetId="64" r:id="rId7"/>
    <sheet name="OG&amp;C Notification" sheetId="68" r:id="rId8"/>
    <sheet name="ERP (sweet)" sheetId="62" r:id="rId9"/>
    <sheet name="ERP(sour)" sheetId="61" r:id="rId10"/>
    <sheet name="Program" sheetId="25" r:id="rId11"/>
    <sheet name="SCVF" sheetId="65" r:id="rId12"/>
    <sheet name="LOGS" sheetId="36" r:id="rId13"/>
    <sheet name="Incident" sheetId="75" r:id="rId14"/>
    <sheet name="Pipe Torques-Specs" sheetId="76" r:id="rId15"/>
    <sheet name="Coefficients" sheetId="59" r:id="rId16"/>
    <sheet name="CBL Evaluation" sheetId="63" r:id="rId17"/>
    <sheet name="DATA" sheetId="79" r:id="rId18"/>
    <sheet name="Summary" sheetId="4" r:id="rId19"/>
    <sheet name="COVER AND INDEX" sheetId="67" r:id="rId20"/>
    <sheet name="Well Equipment" sheetId="48" r:id="rId21"/>
    <sheet name=" Schematic" sheetId="6" r:id="rId22"/>
    <sheet name="Tubing &amp; Rod Report" sheetId="55" r:id="rId23"/>
    <sheet name="Completion &amp; Workover Detail" sheetId="73" r:id="rId24"/>
    <sheet name="Data Validation" sheetId="82" r:id="rId25"/>
    <sheet name="AFE Summary" sheetId="23" r:id="rId26"/>
    <sheet name="Cost Control" sheetId="40" r:id="rId27"/>
    <sheet name="Rig Hour Calc" sheetId="47" r:id="rId28"/>
    <sheet name="Daily Load" sheetId="41" r:id="rId29"/>
    <sheet name="Operations" sheetId="57" r:id="rId30"/>
    <sheet name="Load" sheetId="45" r:id="rId31"/>
    <sheet name="Depth Calculator" sheetId="29" r:id="rId32"/>
    <sheet name="purchord" sheetId="16" r:id="rId33"/>
    <sheet name="VOUCHER" sheetId="15" r:id="rId34"/>
    <sheet name="Master Tally" sheetId="49" r:id="rId35"/>
    <sheet name="Input Tally" sheetId="43" r:id="rId36"/>
    <sheet name="Rentals" sheetId="18" r:id="rId37"/>
    <sheet name="Cementing" sheetId="31" r:id="rId38"/>
    <sheet name="Alternate Summary" sheetId="37" r:id="rId39"/>
    <sheet name="Perforating" sheetId="35" r:id="rId40"/>
    <sheet name="TCP Config" sheetId="22" r:id="rId41"/>
    <sheet name="Gradient" sheetId="28" r:id="rId42"/>
    <sheet name="acid" sheetId="10" r:id="rId43"/>
    <sheet name="Swab" sheetId="44" r:id="rId44"/>
    <sheet name="Swab (2)" sheetId="80" r:id="rId45"/>
    <sheet name="Swab (3)" sheetId="81" r:id="rId46"/>
    <sheet name="Frac" sheetId="11" r:id="rId47"/>
    <sheet name="SEP_FLOW" sheetId="74" r:id="rId48"/>
    <sheet name="Gas Rate Calc" sheetId="50" r:id="rId49"/>
    <sheet name="Choke_Flow" sheetId="13" r:id="rId50"/>
    <sheet name="Transfer" sheetId="71" r:id="rId51"/>
  </sheets>
  <externalReferences>
    <externalReference r:id="rId52"/>
    <externalReference r:id="rId53"/>
    <externalReference r:id="rId54"/>
  </externalReferences>
  <definedNames>
    <definedName name="\7">'[1]Cost est.'!#REF!</definedName>
    <definedName name="\P">#REF!</definedName>
    <definedName name="__123Graph_A" localSheetId="49" hidden="1">Choke_Flow!$E$12:$E$22</definedName>
    <definedName name="__123Graph_A" localSheetId="47" hidden="1">SEP_FLOW!$E$12:$E$22</definedName>
    <definedName name="__123Graph_ATEST" localSheetId="49" hidden="1">Choke_Flow!$E$12:$E$22</definedName>
    <definedName name="__123Graph_ATEST" localSheetId="47" hidden="1">SEP_FLOW!$E$12:$E$22</definedName>
    <definedName name="__123Graph_B" localSheetId="49" hidden="1">Choke_Flow!$F$12:$F$22</definedName>
    <definedName name="__123Graph_B" localSheetId="47" hidden="1">SEP_FLOW!$F$12:$F$22</definedName>
    <definedName name="__123Graph_BTEST" localSheetId="49" hidden="1">Choke_Flow!$F$12:$F$22</definedName>
    <definedName name="__123Graph_BTEST" localSheetId="47" hidden="1">SEP_FLOW!$F$12:$F$22</definedName>
    <definedName name="__123Graph_C" localSheetId="49" hidden="1">Choke_Flow!$L$12:$L$22</definedName>
    <definedName name="__123Graph_C" localSheetId="47" hidden="1">SEP_FLOW!$L$12:$L$22</definedName>
    <definedName name="__123Graph_CTEST" localSheetId="49" hidden="1">Choke_Flow!$L$12:$L$22</definedName>
    <definedName name="__123Graph_CTEST" localSheetId="47" hidden="1">SEP_FLOW!$L$12:$L$22</definedName>
    <definedName name="_Fac1" localSheetId="2">#REF!</definedName>
    <definedName name="_Fac1" localSheetId="47">#REF!</definedName>
    <definedName name="_Fac1">#REF!</definedName>
    <definedName name="_Fac2" localSheetId="23">'[2]Facilities Detail'!#REF!</definedName>
    <definedName name="_Fac2" localSheetId="2">#REF!</definedName>
    <definedName name="_Fac2" localSheetId="47">#REF!</definedName>
    <definedName name="_Fac2">#REF!</definedName>
    <definedName name="AFE">#REF!</definedName>
    <definedName name="AFENUMBER">#REF!</definedName>
    <definedName name="AFEREF">#REF!</definedName>
    <definedName name="ArrowM.Saveas" localSheetId="2">INSTRUCTIONS!ArrowM.Saveas</definedName>
    <definedName name="ArrowM.Saveas" localSheetId="0">Register!ArrowM.Saveas</definedName>
    <definedName name="ArrowM.Saveas" localSheetId="47">SEP_FLOW!ArrowM.Saveas</definedName>
    <definedName name="ArrowM.Saveas" localSheetId="44">'Swab (2)'!ArrowM.Saveas</definedName>
    <definedName name="ArrowM.Saveas" localSheetId="45">'Swab (3)'!ArrowM.Saveas</definedName>
    <definedName name="ArrowM.Saveas">[0]!ArrowM.Saveas</definedName>
    <definedName name="Bop">1</definedName>
    <definedName name="Comp1">'Completion &amp; Workover Detail'!$G$10:$G$50</definedName>
    <definedName name="Comp2">'Completion &amp; Workover Detail'!$G$70:$G$78</definedName>
    <definedName name="Comp3">'Completion &amp; Workover Detail'!$G$32</definedName>
    <definedName name="_xlnm.Criteria">#REF!</definedName>
    <definedName name="Dickwad" localSheetId="2">INSTRUCTIONS!Dickwad</definedName>
    <definedName name="Dickwad" localSheetId="0">Register!Dickwad</definedName>
    <definedName name="Dickwad" localSheetId="47">SEP_FLOW!Dickwad</definedName>
    <definedName name="Dickwad" localSheetId="44">'Swab (2)'!Dickwad</definedName>
    <definedName name="Dickwad" localSheetId="45">'Swab (3)'!Dickwad</definedName>
    <definedName name="Dickwad">[0]!Dickwad</definedName>
    <definedName name="Dickwad2" localSheetId="2">INSTRUCTIONS!Dickwad2</definedName>
    <definedName name="Dickwad2" localSheetId="0">Register!Dickwad2</definedName>
    <definedName name="Dickwad2" localSheetId="47">SEP_FLOW!Dickwad2</definedName>
    <definedName name="Dickwad2" localSheetId="44">'Swab (2)'!Dickwad2</definedName>
    <definedName name="Dickwad2" localSheetId="45">'Swab (3)'!Dickwad2</definedName>
    <definedName name="Dickwad2">[0]!Dickwad2</definedName>
    <definedName name="Drill3">'[3]Drill Detail'!$F$72:$G$72</definedName>
    <definedName name="EDIT">'[1]Cost est.'!#REF!</definedName>
    <definedName name="Equip1">#REF!</definedName>
    <definedName name="Equip2">#REF!</definedName>
    <definedName name="_xlnm.Extract">'[1]Cost est.'!#REF!</definedName>
    <definedName name="Help.ToggleHelpText" localSheetId="2">INSTRUCTIONS!Help.ToggleHelpText</definedName>
    <definedName name="Help.ToggleHelpText" localSheetId="0">Register!Help.ToggleHelpText</definedName>
    <definedName name="Help.ToggleHelpText" localSheetId="47">SEP_FLOW!Help.ToggleHelpText</definedName>
    <definedName name="Help.ToggleHelpText" localSheetId="44">'Swab (2)'!Help.ToggleHelpText</definedName>
    <definedName name="Help.ToggleHelpText" localSheetId="45">'Swab (3)'!Help.ToggleHelpText</definedName>
    <definedName name="Help.ToggleHelpText">[0]!Help.ToggleHelpText</definedName>
    <definedName name="LCLG45226">#REF!</definedName>
    <definedName name="LCLG66226">#REF!</definedName>
    <definedName name="LCLT45176">#REF!</definedName>
    <definedName name="LCLT66176">#REF!</definedName>
    <definedName name="Licence_No.">#REF!</definedName>
    <definedName name="LNLG45136">#REF!</definedName>
    <definedName name="LNLG66136">#REF!</definedName>
    <definedName name="LNLT45106">#REF!</definedName>
    <definedName name="LNLT66106">#REF!</definedName>
    <definedName name="LOCATION">#REF!</definedName>
    <definedName name="Macro1" localSheetId="2">INSTRUCTIONS!Macro1</definedName>
    <definedName name="Macro1" localSheetId="0">Register!Macro1</definedName>
    <definedName name="Macro1" localSheetId="47">SEP_FLOW!Macro1</definedName>
    <definedName name="Macro1" localSheetId="44">'Swab (2)'!Macro1</definedName>
    <definedName name="Macro1" localSheetId="45">'Swab (3)'!Macro1</definedName>
    <definedName name="Macro1">[0]!Macro1</definedName>
    <definedName name="Macro10" localSheetId="2">INSTRUCTIONS!Macro10</definedName>
    <definedName name="Macro10" localSheetId="0">Register!Macro10</definedName>
    <definedName name="Macro10" localSheetId="47">SEP_FLOW!Macro10</definedName>
    <definedName name="Macro10" localSheetId="44">'Swab (2)'!Macro10</definedName>
    <definedName name="Macro10" localSheetId="45">'Swab (3)'!Macro10</definedName>
    <definedName name="Macro10">[0]!Macro10</definedName>
    <definedName name="Macro11" localSheetId="2">INSTRUCTIONS!Macro11</definedName>
    <definedName name="Macro11" localSheetId="0">Register!Macro11</definedName>
    <definedName name="Macro11" localSheetId="47">SEP_FLOW!Macro11</definedName>
    <definedName name="Macro11" localSheetId="44">'Swab (2)'!Macro11</definedName>
    <definedName name="Macro11" localSheetId="45">'Swab (3)'!Macro11</definedName>
    <definedName name="Macro11">[0]!Macro11</definedName>
    <definedName name="Macro2" localSheetId="2">INSTRUCTIONS!Macro2</definedName>
    <definedName name="Macro2" localSheetId="0">Register!Macro2</definedName>
    <definedName name="Macro2" localSheetId="47">SEP_FLOW!Macro2</definedName>
    <definedName name="Macro2" localSheetId="44">'Swab (2)'!Macro2</definedName>
    <definedName name="Macro2" localSheetId="45">'Swab (3)'!Macro2</definedName>
    <definedName name="Macro2">[0]!Macro2</definedName>
    <definedName name="Macro3" localSheetId="2">INSTRUCTIONS!Macro3</definedName>
    <definedName name="Macro3" localSheetId="0">Register!Macro3</definedName>
    <definedName name="Macro3" localSheetId="47">SEP_FLOW!Macro3</definedName>
    <definedName name="Macro3" localSheetId="44">'Swab (2)'!Macro3</definedName>
    <definedName name="Macro3" localSheetId="45">'Swab (3)'!Macro3</definedName>
    <definedName name="Macro3">[0]!Macro3</definedName>
    <definedName name="Macro4" localSheetId="2">INSTRUCTIONS!Macro4</definedName>
    <definedName name="Macro4" localSheetId="0">Register!Macro4</definedName>
    <definedName name="Macro4" localSheetId="47">SEP_FLOW!Macro4</definedName>
    <definedName name="Macro4" localSheetId="44">'Swab (2)'!Macro4</definedName>
    <definedName name="Macro4" localSheetId="45">'Swab (3)'!Macro4</definedName>
    <definedName name="Macro4">[0]!Macro4</definedName>
    <definedName name="Macro5" localSheetId="2">INSTRUCTIONS!Macro5</definedName>
    <definedName name="Macro5" localSheetId="0">Register!Macro5</definedName>
    <definedName name="Macro5" localSheetId="47">SEP_FLOW!Macro5</definedName>
    <definedName name="Macro5" localSheetId="44">'Swab (2)'!Macro5</definedName>
    <definedName name="Macro5" localSheetId="45">'Swab (3)'!Macro5</definedName>
    <definedName name="Macro5">[0]!Macro5</definedName>
    <definedName name="Macro7" localSheetId="2">INSTRUCTIONS!Macro7</definedName>
    <definedName name="Macro7" localSheetId="0">Register!Macro7</definedName>
    <definedName name="Macro7" localSheetId="47">SEP_FLOW!Macro7</definedName>
    <definedName name="Macro7" localSheetId="44">'Swab (2)'!Macro7</definedName>
    <definedName name="Macro7" localSheetId="45">'Swab (3)'!Macro7</definedName>
    <definedName name="Macro7">[0]!Macro7</definedName>
    <definedName name="Macro8" localSheetId="2">INSTRUCTIONS!Macro8</definedName>
    <definedName name="Macro8" localSheetId="0">Register!Macro8</definedName>
    <definedName name="Macro8" localSheetId="47">SEP_FLOW!Macro8</definedName>
    <definedName name="Macro8" localSheetId="44">'Swab (2)'!Macro8</definedName>
    <definedName name="Macro8" localSheetId="45">'Swab (3)'!Macro8</definedName>
    <definedName name="Macro8">[0]!Macro8</definedName>
    <definedName name="Macro9" localSheetId="2">INSTRUCTIONS!Macro9</definedName>
    <definedName name="Macro9" localSheetId="0">Register!Macro9</definedName>
    <definedName name="Macro9" localSheetId="47">SEP_FLOW!Macro9</definedName>
    <definedName name="Macro9" localSheetId="44">'Swab (2)'!Macro9</definedName>
    <definedName name="Macro9" localSheetId="45">'Swab (3)'!Macro9</definedName>
    <definedName name="Macro9">[0]!Macro9</definedName>
    <definedName name="MAIN">'[1]Cost est.'!#REF!</definedName>
    <definedName name="Module1.Macro1" localSheetId="2">INSTRUCTIONS!Module1.Macro1</definedName>
    <definedName name="Module1.Macro1" localSheetId="0">Register!Module1.Macro1</definedName>
    <definedName name="Module1.Macro1" localSheetId="47">SEP_FLOW!Module1.Macro1</definedName>
    <definedName name="Module1.Macro1" localSheetId="44">'Swab (2)'!Module1.Macro1</definedName>
    <definedName name="Module1.Macro1" localSheetId="45">'Swab (3)'!Module1.Macro1</definedName>
    <definedName name="Module1.Macro1">[0]!Module1.Macro1</definedName>
    <definedName name="Module1.Macro2" localSheetId="2">INSTRUCTIONS!Module1.Macro2</definedName>
    <definedName name="Module1.Macro2" localSheetId="0">Register!Module1.Macro2</definedName>
    <definedName name="Module1.Macro2" localSheetId="47">SEP_FLOW!Module1.Macro2</definedName>
    <definedName name="Module1.Macro2" localSheetId="44">'Swab (2)'!Module1.Macro2</definedName>
    <definedName name="Module1.Macro2" localSheetId="45">'Swab (3)'!Module1.Macro2</definedName>
    <definedName name="Module1.Macro2">[0]!Module1.Macro2</definedName>
    <definedName name="Module1.Macro3" localSheetId="2">INSTRUCTIONS!Module1.Macro3</definedName>
    <definedName name="Module1.Macro3" localSheetId="0">Register!Module1.Macro3</definedName>
    <definedName name="Module1.Macro3" localSheetId="47">SEP_FLOW!Module1.Macro3</definedName>
    <definedName name="Module1.Macro3" localSheetId="44">'Swab (2)'!Module1.Macro3</definedName>
    <definedName name="Module1.Macro3" localSheetId="45">'Swab (3)'!Module1.Macro3</definedName>
    <definedName name="Module1.Macro3">[0]!Module1.Macro3</definedName>
    <definedName name="Module1.Macro4" localSheetId="2">INSTRUCTIONS!Module1.Macro4</definedName>
    <definedName name="Module1.Macro4" localSheetId="0">Register!Module1.Macro4</definedName>
    <definedName name="Module1.Macro4" localSheetId="47">SEP_FLOW!Module1.Macro4</definedName>
    <definedName name="Module1.Macro4" localSheetId="44">'Swab (2)'!Module1.Macro4</definedName>
    <definedName name="Module1.Macro4" localSheetId="45">'Swab (3)'!Module1.Macro4</definedName>
    <definedName name="Module1.Macro4">[0]!Module1.Macro4</definedName>
    <definedName name="Module1.Macro5" localSheetId="2">INSTRUCTIONS!Module1.Macro5</definedName>
    <definedName name="Module1.Macro5" localSheetId="0">Register!Module1.Macro5</definedName>
    <definedName name="Module1.Macro5" localSheetId="47">SEP_FLOW!Module1.Macro5</definedName>
    <definedName name="Module1.Macro5" localSheetId="44">'Swab (2)'!Module1.Macro5</definedName>
    <definedName name="Module1.Macro5" localSheetId="45">'Swab (3)'!Module1.Macro5</definedName>
    <definedName name="Module1.Macro5">[0]!Module1.Macro5</definedName>
    <definedName name="Module1.Macro6" localSheetId="2">INSTRUCTIONS!Module1.Macro6</definedName>
    <definedName name="Module1.Macro6" localSheetId="0">Register!Module1.Macro6</definedName>
    <definedName name="Module1.Macro6" localSheetId="47">SEP_FLOW!Module1.Macro6</definedName>
    <definedName name="Module1.Macro6" localSheetId="44">'Swab (2)'!Module1.Macro6</definedName>
    <definedName name="Module1.Macro6" localSheetId="45">'Swab (3)'!Module1.Macro6</definedName>
    <definedName name="Module1.Macro6">[0]!Module1.Macro6</definedName>
    <definedName name="NAME">#REF!</definedName>
    <definedName name="PCLG78132">#REF!</definedName>
    <definedName name="PCLG83132">#REF!</definedName>
    <definedName name="PCLT60132">#REF!</definedName>
    <definedName name="PCLT66132">#REF!</definedName>
    <definedName name="PNLG7880">#REF!</definedName>
    <definedName name="PNLG8380">#REF!</definedName>
    <definedName name="PNLT6080">#REF!</definedName>
    <definedName name="PNLT6680">#REF!</definedName>
    <definedName name="PRINT">'[1]Cost est.'!#REF!</definedName>
    <definedName name="_xlnm.Print_Area" localSheetId="21">' Schematic'!$A$1:$N$82</definedName>
    <definedName name="_xlnm.Print_Area" localSheetId="42">acid!$A$1:$J$50</definedName>
    <definedName name="_xlnm.Print_Area" localSheetId="25">'AFE Summary'!$A$1:$J$69</definedName>
    <definedName name="_xlnm.Print_Area" localSheetId="38">'Alternate Summary'!$A$1:$K$55</definedName>
    <definedName name="_xlnm.Print_Area" localSheetId="34">'Master Tally'!$A$1:$M$236</definedName>
    <definedName name="_xlnm.Print_Area" localSheetId="32">purchord!$B$1:$G$107</definedName>
    <definedName name="_xlnm.Print_Area" localSheetId="6">'Rig Inspection'!$B$2:$O$161</definedName>
    <definedName name="_xlnm.Print_Area" localSheetId="11">SCVF!$B$2:$M$62</definedName>
    <definedName name="Print_Area_MI" localSheetId="34">'Master Tally'!$B$2:$M$59</definedName>
    <definedName name="PSUEND">#REF!</definedName>
    <definedName name="PSUMENU">#REF!</definedName>
    <definedName name="RETRIEVE">#REF!</definedName>
    <definedName name="sds">'[3]Drill Detail'!$F$12:$G$70</definedName>
    <definedName name="Select1" localSheetId="2">INSTRUCTIONS!Select1</definedName>
    <definedName name="Select1" localSheetId="0">Register!Select1</definedName>
    <definedName name="Select1" localSheetId="47">SEP_FLOW!Select1</definedName>
    <definedName name="Select1" localSheetId="44">'Swab (2)'!Select1</definedName>
    <definedName name="Select1" localSheetId="45">'Swab (3)'!Select1</definedName>
    <definedName name="Select1">[0]!Select1</definedName>
    <definedName name="Select2" localSheetId="2">INSTRUCTIONS!Select2</definedName>
    <definedName name="Select2" localSheetId="0">Register!Select2</definedName>
    <definedName name="Select2" localSheetId="47">SEP_FLOW!Select2</definedName>
    <definedName name="Select2" localSheetId="44">'Swab (2)'!Select2</definedName>
    <definedName name="Select2" localSheetId="45">'Swab (3)'!Select2</definedName>
    <definedName name="Select2">[0]!Select2</definedName>
    <definedName name="Select3" localSheetId="2">INSTRUCTIONS!Select3</definedName>
    <definedName name="Select3" localSheetId="0">Register!Select3</definedName>
    <definedName name="Select3" localSheetId="47">SEP_FLOW!Select3</definedName>
    <definedName name="Select3" localSheetId="44">'Swab (2)'!Select3</definedName>
    <definedName name="Select3" localSheetId="45">'Swab (3)'!Select3</definedName>
    <definedName name="Select3">[0]!Select3</definedName>
    <definedName name="Select4" localSheetId="2">INSTRUCTIONS!Select4</definedName>
    <definedName name="Select4" localSheetId="0">Register!Select4</definedName>
    <definedName name="Select4" localSheetId="47">SEP_FLOW!Select4</definedName>
    <definedName name="Select4" localSheetId="44">'Swab (2)'!Select4</definedName>
    <definedName name="Select4" localSheetId="45">'Swab (3)'!Select4</definedName>
    <definedName name="Select4">[0]!Select4</definedName>
    <definedName name="Select5" localSheetId="2">INSTRUCTIONS!Select5</definedName>
    <definedName name="Select5" localSheetId="0">Register!Select5</definedName>
    <definedName name="Select5" localSheetId="47">SEP_FLOW!Select5</definedName>
    <definedName name="Select5" localSheetId="44">'Swab (2)'!Select5</definedName>
    <definedName name="Select5" localSheetId="45">'Swab (3)'!Select5</definedName>
    <definedName name="Select5">[0]!Select5</definedName>
    <definedName name="Select7" localSheetId="2">INSTRUCTIONS!Select7</definedName>
    <definedName name="Select7" localSheetId="0">Register!Select7</definedName>
    <definedName name="Select7" localSheetId="47">SEP_FLOW!Select7</definedName>
    <definedName name="Select7" localSheetId="44">'Swab (2)'!Select7</definedName>
    <definedName name="Select7" localSheetId="45">'Swab (3)'!Select7</definedName>
    <definedName name="Select7">[0]!Select7</definedName>
    <definedName name="SELECTION">#REF!</definedName>
    <definedName name="Slick1" localSheetId="2">INSTRUCTIONS!Slick1</definedName>
    <definedName name="Slick1" localSheetId="0">Register!Slick1</definedName>
    <definedName name="Slick1" localSheetId="47">SEP_FLOW!Slick1</definedName>
    <definedName name="Slick1" localSheetId="44">'Swab (2)'!Slick1</definedName>
    <definedName name="Slick1" localSheetId="45">'Swab (3)'!Slick1</definedName>
    <definedName name="Slick1">[0]!Slick1</definedName>
    <definedName name="Slick2" localSheetId="2">INSTRUCTIONS!Slick2</definedName>
    <definedName name="Slick2" localSheetId="0">Register!Slick2</definedName>
    <definedName name="Slick2" localSheetId="47">SEP_FLOW!Slick2</definedName>
    <definedName name="Slick2" localSheetId="44">'Swab (2)'!Slick2</definedName>
    <definedName name="Slick2" localSheetId="45">'Swab (3)'!Slick2</definedName>
    <definedName name="Slick2">[0]!Slick2</definedName>
    <definedName name="Slick3" localSheetId="2">INSTRUCTIONS!Slick3</definedName>
    <definedName name="Slick3" localSheetId="0">Register!Slick3</definedName>
    <definedName name="Slick3" localSheetId="47">SEP_FLOW!Slick3</definedName>
    <definedName name="Slick3" localSheetId="44">'Swab (2)'!Slick3</definedName>
    <definedName name="Slick3" localSheetId="45">'Swab (3)'!Slick3</definedName>
    <definedName name="Slick3">[0]!Slick3</definedName>
    <definedName name="Text" localSheetId="2">INSTRUCTIONS!Text</definedName>
    <definedName name="Text" localSheetId="0">Register!Text</definedName>
    <definedName name="Text" localSheetId="47">SEP_FLOW!Text</definedName>
    <definedName name="Text" localSheetId="44">'Swab (2)'!Text</definedName>
    <definedName name="Text" localSheetId="45">'Swab (3)'!Text</definedName>
    <definedName name="Text">[0]!Text</definedName>
    <definedName name="ToggleHelpText" localSheetId="2">INSTRUCTIONS!ToggleHelpText</definedName>
    <definedName name="ToggleHelpText" localSheetId="0">Register!ToggleHelpText</definedName>
    <definedName name="ToggleHelpText" localSheetId="47">SEP_FLOW!ToggleHelpText</definedName>
    <definedName name="ToggleHelpText" localSheetId="44">'Swab (2)'!ToggleHelpText</definedName>
    <definedName name="ToggleHelpText" localSheetId="45">'Swab (3)'!ToggleHelpText</definedName>
    <definedName name="ToggleHelpText">[0]!ToggleHelpText</definedName>
    <definedName name="ToolsM.CasedHole" localSheetId="2">INSTRUCTIONS!ToolsM.CasedHole</definedName>
    <definedName name="ToolsM.CasedHole" localSheetId="0">Register!ToolsM.CasedHole</definedName>
    <definedName name="ToolsM.CasedHole" localSheetId="47">SEP_FLOW!ToolsM.CasedHole</definedName>
    <definedName name="ToolsM.CasedHole" localSheetId="44">'Swab (2)'!ToolsM.CasedHole</definedName>
    <definedName name="ToolsM.CasedHole" localSheetId="45">'Swab (3)'!ToolsM.CasedHole</definedName>
    <definedName name="ToolsM.CasedHole">[0]!ToolsM.CasedHole</definedName>
    <definedName name="ToolsM.Tubing" localSheetId="2">INSTRUCTIONS!ToolsM.Tubing</definedName>
    <definedName name="ToolsM.Tubing" localSheetId="0">Register!ToolsM.Tubing</definedName>
    <definedName name="ToolsM.Tubing" localSheetId="47">SEP_FLOW!ToolsM.Tubing</definedName>
    <definedName name="ToolsM.Tubing" localSheetId="44">'Swab (2)'!ToolsM.Tubing</definedName>
    <definedName name="ToolsM.Tubing" localSheetId="45">'Swab (3)'!ToolsM.Tubing</definedName>
    <definedName name="ToolsM.Tubing">[0]!ToolsM.Tubing</definedName>
    <definedName name="UWI">#REF!</definedName>
    <definedName name="WELLNAME">#REF!</definedName>
    <definedName name="Whipstock" localSheetId="2">INSTRUCTIONS!Whipstock</definedName>
    <definedName name="Whipstock" localSheetId="0">Register!Whipstock</definedName>
    <definedName name="Whipstock" localSheetId="47">SEP_FLOW!Whipstock</definedName>
    <definedName name="Whipstock" localSheetId="44">'Swab (2)'!Whipstock</definedName>
    <definedName name="Whipstock" localSheetId="45">'Swab (3)'!Whipstock</definedName>
    <definedName name="Whipstock">[0]!Whipstock</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0" i="23" l="1"/>
  <c r="G47" i="23"/>
  <c r="G36" i="23"/>
  <c r="G32" i="23"/>
  <c r="G33" i="23"/>
  <c r="G34" i="23"/>
  <c r="G44" i="23"/>
  <c r="G45" i="23"/>
  <c r="G46" i="23"/>
  <c r="G49" i="23"/>
  <c r="G28" i="23"/>
  <c r="G29" i="23"/>
  <c r="G30" i="23"/>
  <c r="G31" i="23"/>
  <c r="G27" i="23"/>
  <c r="G20" i="23"/>
  <c r="G21" i="23"/>
  <c r="G22" i="23"/>
  <c r="G23" i="23"/>
  <c r="G25" i="23"/>
  <c r="G26" i="23"/>
  <c r="G19" i="23"/>
  <c r="G8" i="23"/>
  <c r="G9" i="23"/>
  <c r="G10" i="23"/>
  <c r="G11" i="23"/>
  <c r="G12" i="23"/>
  <c r="G13" i="23"/>
  <c r="G14" i="23"/>
  <c r="G15" i="23"/>
  <c r="G16" i="23"/>
  <c r="G17" i="23"/>
  <c r="G18" i="23"/>
  <c r="G7" i="23"/>
  <c r="G6" i="23"/>
  <c r="G4" i="23"/>
  <c r="G5" i="23"/>
  <c r="K1622" i="57"/>
  <c r="K1634" i="57"/>
  <c r="K1635" i="57"/>
  <c r="K1636" i="57"/>
  <c r="I1622" i="57"/>
  <c r="I1623" i="57"/>
  <c r="I1624" i="57"/>
  <c r="I1628" i="57"/>
  <c r="L1617" i="57"/>
  <c r="K1617" i="57" s="1"/>
  <c r="L1618" i="57"/>
  <c r="K1618" i="57" s="1"/>
  <c r="L1619" i="57"/>
  <c r="K1619" i="57" s="1"/>
  <c r="L1620" i="57"/>
  <c r="K1620" i="57" s="1"/>
  <c r="L1621" i="57"/>
  <c r="K1621" i="57" s="1"/>
  <c r="L1622" i="57"/>
  <c r="L1623" i="57"/>
  <c r="K1623" i="57" s="1"/>
  <c r="L1624" i="57"/>
  <c r="K1624" i="57" s="1"/>
  <c r="L1625" i="57"/>
  <c r="I1625" i="57" s="1"/>
  <c r="L1626" i="57"/>
  <c r="I1626" i="57" s="1"/>
  <c r="L1627" i="57"/>
  <c r="K1627" i="57" s="1"/>
  <c r="L1628" i="57"/>
  <c r="K1628" i="57" s="1"/>
  <c r="L1629" i="57"/>
  <c r="I1629" i="57" s="1"/>
  <c r="L1630" i="57"/>
  <c r="K1630" i="57" s="1"/>
  <c r="L1631" i="57"/>
  <c r="K1631" i="57" s="1"/>
  <c r="L1632" i="57"/>
  <c r="K1632" i="57" s="1"/>
  <c r="L1633" i="57"/>
  <c r="K1633" i="57" s="1"/>
  <c r="L1634" i="57"/>
  <c r="I1634" i="57" s="1"/>
  <c r="L1635" i="57"/>
  <c r="I1635" i="57" s="1"/>
  <c r="L1636" i="57"/>
  <c r="I1636" i="57" s="1"/>
  <c r="L1616" i="57"/>
  <c r="K1616" i="57" s="1"/>
  <c r="L1615" i="57"/>
  <c r="K1615" i="57" s="1"/>
  <c r="L1614" i="57"/>
  <c r="K1614" i="57"/>
  <c r="L1613" i="57"/>
  <c r="K1613" i="57"/>
  <c r="L1612" i="57"/>
  <c r="K1612" i="57" s="1"/>
  <c r="L1611" i="57"/>
  <c r="K1611" i="57"/>
  <c r="L1562" i="57"/>
  <c r="I1562" i="57" s="1"/>
  <c r="L1563" i="57"/>
  <c r="I1563" i="57" s="1"/>
  <c r="L1564" i="57"/>
  <c r="I1564" i="57" s="1"/>
  <c r="L1565" i="57"/>
  <c r="I1565" i="57" s="1"/>
  <c r="L1566" i="57"/>
  <c r="L1567" i="57"/>
  <c r="I1567" i="57" s="1"/>
  <c r="L1568" i="57"/>
  <c r="K1568" i="57" s="1"/>
  <c r="L1569" i="57"/>
  <c r="L1570" i="57"/>
  <c r="L1571" i="57"/>
  <c r="L1572" i="57"/>
  <c r="L1573" i="57"/>
  <c r="L1574" i="57"/>
  <c r="L1575" i="57"/>
  <c r="L1576" i="57"/>
  <c r="I1576" i="57" s="1"/>
  <c r="L1577" i="57"/>
  <c r="I1577" i="57" s="1"/>
  <c r="L1578" i="57"/>
  <c r="I1578" i="57" s="1"/>
  <c r="L1579" i="57"/>
  <c r="I1579" i="57" s="1"/>
  <c r="L1580" i="57"/>
  <c r="I1580" i="57" s="1"/>
  <c r="L1581" i="57"/>
  <c r="L1582" i="57"/>
  <c r="K1562" i="57"/>
  <c r="K1563" i="57"/>
  <c r="K1564" i="57"/>
  <c r="K1566" i="57"/>
  <c r="K1567" i="57"/>
  <c r="K1569" i="57"/>
  <c r="K1570" i="57"/>
  <c r="K1571" i="57"/>
  <c r="K1572" i="57"/>
  <c r="K1573" i="57"/>
  <c r="K1574" i="57"/>
  <c r="K1575" i="57"/>
  <c r="K1576" i="57"/>
  <c r="K1582" i="57"/>
  <c r="I1566" i="57"/>
  <c r="I1569" i="57"/>
  <c r="I1570" i="57"/>
  <c r="I1571" i="57"/>
  <c r="I1572" i="57"/>
  <c r="I1573" i="57"/>
  <c r="I1574" i="57"/>
  <c r="I1575" i="57"/>
  <c r="I1582" i="57"/>
  <c r="L1561" i="57"/>
  <c r="L1560" i="57"/>
  <c r="K1560" i="57"/>
  <c r="L1559" i="57"/>
  <c r="K1559" i="57"/>
  <c r="L1558" i="57"/>
  <c r="K1558" i="57"/>
  <c r="K1557" i="57"/>
  <c r="L1557" i="57"/>
  <c r="L1556" i="57"/>
  <c r="K1556" i="57"/>
  <c r="I1507" i="57"/>
  <c r="I1516" i="57"/>
  <c r="I1517" i="57"/>
  <c r="I1518" i="57"/>
  <c r="I1519" i="57"/>
  <c r="I1523" i="57"/>
  <c r="I1524" i="57"/>
  <c r="I1525" i="57"/>
  <c r="I1526" i="57"/>
  <c r="I1527" i="57"/>
  <c r="K1522" i="57"/>
  <c r="K1523" i="57"/>
  <c r="K1524" i="57"/>
  <c r="K1526" i="57"/>
  <c r="K1527" i="57"/>
  <c r="L1507" i="57"/>
  <c r="K1507" i="57" s="1"/>
  <c r="L1508" i="57"/>
  <c r="I1508" i="57" s="1"/>
  <c r="L1509" i="57"/>
  <c r="I1509" i="57" s="1"/>
  <c r="L1510" i="57"/>
  <c r="I1510" i="57" s="1"/>
  <c r="L1511" i="57"/>
  <c r="I1511" i="57" s="1"/>
  <c r="L1512" i="57"/>
  <c r="I1512" i="57" s="1"/>
  <c r="L1513" i="57"/>
  <c r="I1513" i="57" s="1"/>
  <c r="L1514" i="57"/>
  <c r="L1515" i="57"/>
  <c r="I1515" i="57" s="1"/>
  <c r="L1516" i="57"/>
  <c r="K1516" i="57" s="1"/>
  <c r="L1517" i="57"/>
  <c r="K1517" i="57" s="1"/>
  <c r="L1518" i="57"/>
  <c r="K1518" i="57" s="1"/>
  <c r="L1519" i="57"/>
  <c r="K1519" i="57" s="1"/>
  <c r="L1520" i="57"/>
  <c r="K1520" i="57" s="1"/>
  <c r="L1521" i="57"/>
  <c r="K1521" i="57" s="1"/>
  <c r="L1522" i="57"/>
  <c r="I1522" i="57" s="1"/>
  <c r="L1523" i="57"/>
  <c r="L1524" i="57"/>
  <c r="L1525" i="57"/>
  <c r="K1525" i="57" s="1"/>
  <c r="L1526" i="57"/>
  <c r="L1527" i="57"/>
  <c r="L1506" i="57"/>
  <c r="K1506" i="57" s="1"/>
  <c r="I1506" i="57"/>
  <c r="L1505" i="57"/>
  <c r="K1505" i="57" s="1"/>
  <c r="L1504" i="57"/>
  <c r="K1504" i="57" s="1"/>
  <c r="L1503" i="57"/>
  <c r="K1503" i="57" s="1"/>
  <c r="L1502" i="57"/>
  <c r="L1501" i="57"/>
  <c r="K1502" i="57"/>
  <c r="K1501" i="57"/>
  <c r="L1452" i="57"/>
  <c r="L1453" i="57"/>
  <c r="I1453" i="57" s="1"/>
  <c r="L1454" i="57"/>
  <c r="I1454" i="57" s="1"/>
  <c r="L1455" i="57"/>
  <c r="I1455" i="57" s="1"/>
  <c r="L1456" i="57"/>
  <c r="I1456" i="57" s="1"/>
  <c r="L1457" i="57"/>
  <c r="K1457" i="57" s="1"/>
  <c r="L1458" i="57"/>
  <c r="K1458" i="57" s="1"/>
  <c r="L1459" i="57"/>
  <c r="L1460" i="57"/>
  <c r="L1461" i="57"/>
  <c r="K1461" i="57" s="1"/>
  <c r="L1462" i="57"/>
  <c r="I1462" i="57" s="1"/>
  <c r="L1463" i="57"/>
  <c r="I1463" i="57" s="1"/>
  <c r="L1464" i="57"/>
  <c r="K1464" i="57" s="1"/>
  <c r="L1465" i="57"/>
  <c r="K1465" i="57" s="1"/>
  <c r="L1466" i="57"/>
  <c r="I1466" i="57" s="1"/>
  <c r="L1467" i="57"/>
  <c r="I1467" i="57" s="1"/>
  <c r="L1468" i="57"/>
  <c r="I1468" i="57" s="1"/>
  <c r="L1469" i="57"/>
  <c r="L1470" i="57"/>
  <c r="L1471" i="57"/>
  <c r="K1471" i="57" s="1"/>
  <c r="L1472" i="57"/>
  <c r="K1452" i="57"/>
  <c r="K1454" i="57"/>
  <c r="K1455" i="57"/>
  <c r="K1456" i="57"/>
  <c r="K1459" i="57"/>
  <c r="K1460" i="57"/>
  <c r="K1462" i="57"/>
  <c r="K1472" i="57"/>
  <c r="L1451" i="57"/>
  <c r="I1451" i="57" s="1"/>
  <c r="K1451" i="57"/>
  <c r="I1452" i="57"/>
  <c r="I1458" i="57"/>
  <c r="I1459" i="57"/>
  <c r="I1460" i="57"/>
  <c r="I1472" i="57"/>
  <c r="I1447" i="57"/>
  <c r="I1448" i="57"/>
  <c r="I1449" i="57"/>
  <c r="I1450" i="57"/>
  <c r="I1446" i="57"/>
  <c r="L1450" i="57"/>
  <c r="K1450" i="57"/>
  <c r="L1449" i="57"/>
  <c r="K1449" i="57"/>
  <c r="L1448" i="57"/>
  <c r="K1448" i="57"/>
  <c r="L1447" i="57"/>
  <c r="K1447" i="57" s="1"/>
  <c r="L1446" i="57"/>
  <c r="K1446" i="57"/>
  <c r="I1415" i="57"/>
  <c r="K1397" i="57"/>
  <c r="K1398" i="57"/>
  <c r="K1400" i="57"/>
  <c r="K1411" i="57"/>
  <c r="K1412" i="57"/>
  <c r="K1415" i="57"/>
  <c r="K1417" i="57"/>
  <c r="L1397" i="57"/>
  <c r="I1397" i="57" s="1"/>
  <c r="L1398" i="57"/>
  <c r="I1398" i="57" s="1"/>
  <c r="L1399" i="57"/>
  <c r="K1399" i="57" s="1"/>
  <c r="L1400" i="57"/>
  <c r="I1400" i="57" s="1"/>
  <c r="L1401" i="57"/>
  <c r="K1401" i="57" s="1"/>
  <c r="L1402" i="57"/>
  <c r="I1402" i="57" s="1"/>
  <c r="L1403" i="57"/>
  <c r="K1403" i="57" s="1"/>
  <c r="L1404" i="57"/>
  <c r="K1404" i="57" s="1"/>
  <c r="L1405" i="57"/>
  <c r="K1405" i="57" s="1"/>
  <c r="L1406" i="57"/>
  <c r="K1406" i="57" s="1"/>
  <c r="L1407" i="57"/>
  <c r="L1408" i="57"/>
  <c r="I1408" i="57" s="1"/>
  <c r="L1409" i="57"/>
  <c r="I1409" i="57" s="1"/>
  <c r="L1410" i="57"/>
  <c r="I1410" i="57" s="1"/>
  <c r="L1411" i="57"/>
  <c r="I1411" i="57" s="1"/>
  <c r="L1412" i="57"/>
  <c r="I1412" i="57" s="1"/>
  <c r="L1413" i="57"/>
  <c r="I1413" i="57" s="1"/>
  <c r="L1414" i="57"/>
  <c r="I1414" i="57" s="1"/>
  <c r="L1415" i="57"/>
  <c r="L1416" i="57"/>
  <c r="K1416" i="57" s="1"/>
  <c r="L1417" i="57"/>
  <c r="L1396" i="57"/>
  <c r="K1396" i="57" s="1"/>
  <c r="L1395" i="57"/>
  <c r="K1395" i="57"/>
  <c r="L1394" i="57"/>
  <c r="K1394" i="57"/>
  <c r="L1393" i="57"/>
  <c r="K1393" i="57" s="1"/>
  <c r="L1392" i="57"/>
  <c r="L1391" i="57"/>
  <c r="K1392" i="57"/>
  <c r="K1391" i="57"/>
  <c r="L1342" i="57"/>
  <c r="I1342" i="57" s="1"/>
  <c r="L1343" i="57"/>
  <c r="I1343" i="57" s="1"/>
  <c r="L1344" i="57"/>
  <c r="I1344" i="57" s="1"/>
  <c r="L1345" i="57"/>
  <c r="K1345" i="57" s="1"/>
  <c r="L1346" i="57"/>
  <c r="L1347" i="57"/>
  <c r="I1347" i="57" s="1"/>
  <c r="L1348" i="57"/>
  <c r="K1348" i="57" s="1"/>
  <c r="L1349" i="57"/>
  <c r="I1349" i="57" s="1"/>
  <c r="L1350" i="57"/>
  <c r="L1351" i="57"/>
  <c r="K1351" i="57" s="1"/>
  <c r="L1352" i="57"/>
  <c r="I1352" i="57" s="1"/>
  <c r="L1353" i="57"/>
  <c r="K1353" i="57" s="1"/>
  <c r="L1354" i="57"/>
  <c r="L1355" i="57"/>
  <c r="L1356" i="57"/>
  <c r="L1357" i="57"/>
  <c r="L1358" i="57"/>
  <c r="L1359" i="57"/>
  <c r="I1359" i="57" s="1"/>
  <c r="L1360" i="57"/>
  <c r="I1360" i="57" s="1"/>
  <c r="L1361" i="57"/>
  <c r="K1361" i="57" s="1"/>
  <c r="L1362" i="57"/>
  <c r="K1342" i="57"/>
  <c r="K1343" i="57"/>
  <c r="K1346" i="57"/>
  <c r="K1347" i="57"/>
  <c r="K1349" i="57"/>
  <c r="K1352" i="57"/>
  <c r="K1354" i="57"/>
  <c r="K1355" i="57"/>
  <c r="K1356" i="57"/>
  <c r="K1357" i="57"/>
  <c r="K1358" i="57"/>
  <c r="K1359" i="57"/>
  <c r="K1360" i="57"/>
  <c r="K1362" i="57"/>
  <c r="I1362" i="57"/>
  <c r="I1345" i="57"/>
  <c r="I1346" i="57"/>
  <c r="I1354" i="57"/>
  <c r="I1355" i="57"/>
  <c r="I1356" i="57"/>
  <c r="I1357" i="57"/>
  <c r="I1358" i="57"/>
  <c r="L1341" i="57"/>
  <c r="L1340" i="57"/>
  <c r="K1340" i="57" s="1"/>
  <c r="L1339" i="57"/>
  <c r="K1339" i="57" s="1"/>
  <c r="L1338" i="57"/>
  <c r="L1337" i="57"/>
  <c r="K1337" i="57" s="1"/>
  <c r="L1336" i="57"/>
  <c r="I1341" i="57"/>
  <c r="K1341" i="57"/>
  <c r="K1338" i="57"/>
  <c r="K1336" i="57"/>
  <c r="I1287" i="57"/>
  <c r="I1288" i="57"/>
  <c r="I1289" i="57"/>
  <c r="I1305" i="57"/>
  <c r="I1306" i="57"/>
  <c r="I1307" i="57"/>
  <c r="K1288" i="57"/>
  <c r="K1302" i="57"/>
  <c r="K1303" i="57"/>
  <c r="K1305" i="57"/>
  <c r="K1306" i="57"/>
  <c r="K1307" i="57"/>
  <c r="L1287" i="57"/>
  <c r="K1287" i="57" s="1"/>
  <c r="L1288" i="57"/>
  <c r="L1289" i="57"/>
  <c r="K1289" i="57" s="1"/>
  <c r="L1290" i="57"/>
  <c r="I1290" i="57" s="1"/>
  <c r="L1291" i="57"/>
  <c r="I1291" i="57" s="1"/>
  <c r="L1292" i="57"/>
  <c r="I1292" i="57" s="1"/>
  <c r="L1293" i="57"/>
  <c r="I1293" i="57" s="1"/>
  <c r="L1294" i="57"/>
  <c r="I1294" i="57" s="1"/>
  <c r="L1295" i="57"/>
  <c r="L1296" i="57"/>
  <c r="I1296" i="57" s="1"/>
  <c r="L1297" i="57"/>
  <c r="K1297" i="57" s="1"/>
  <c r="L1298" i="57"/>
  <c r="K1298" i="57" s="1"/>
  <c r="L1299" i="57"/>
  <c r="K1299" i="57" s="1"/>
  <c r="L1300" i="57"/>
  <c r="I1300" i="57" s="1"/>
  <c r="L1301" i="57"/>
  <c r="I1301" i="57" s="1"/>
  <c r="L1302" i="57"/>
  <c r="I1302" i="57" s="1"/>
  <c r="L1303" i="57"/>
  <c r="I1303" i="57" s="1"/>
  <c r="L1304" i="57"/>
  <c r="I1304" i="57" s="1"/>
  <c r="L1305" i="57"/>
  <c r="L1306" i="57"/>
  <c r="L1307" i="57"/>
  <c r="L1286" i="57"/>
  <c r="K1286" i="57" s="1"/>
  <c r="L1285" i="57"/>
  <c r="K1285" i="57" s="1"/>
  <c r="L1284" i="57"/>
  <c r="K1284" i="57" s="1"/>
  <c r="L1283" i="57"/>
  <c r="L1282" i="57"/>
  <c r="L1281" i="57"/>
  <c r="K1281" i="57" s="1"/>
  <c r="K1283" i="57"/>
  <c r="K1282" i="57"/>
  <c r="K1232" i="57"/>
  <c r="K1233" i="57"/>
  <c r="K1234" i="57"/>
  <c r="K1235" i="57"/>
  <c r="K1236" i="57"/>
  <c r="K1237" i="57"/>
  <c r="K1238" i="57"/>
  <c r="K1239" i="57"/>
  <c r="K1240" i="57"/>
  <c r="K1241" i="57"/>
  <c r="K1252" i="57"/>
  <c r="I1234" i="57"/>
  <c r="I1235" i="57"/>
  <c r="I1236" i="57"/>
  <c r="I1237" i="57"/>
  <c r="I1238" i="57"/>
  <c r="I1240" i="57"/>
  <c r="I1250" i="57"/>
  <c r="I1251" i="57"/>
  <c r="I1252" i="57"/>
  <c r="L1232" i="57"/>
  <c r="I1232" i="57" s="1"/>
  <c r="L1233" i="57"/>
  <c r="I1233" i="57" s="1"/>
  <c r="L1234" i="57"/>
  <c r="L1235" i="57"/>
  <c r="L1236" i="57"/>
  <c r="L1237" i="57"/>
  <c r="L1238" i="57"/>
  <c r="L1239" i="57"/>
  <c r="I1239" i="57" s="1"/>
  <c r="L1240" i="57"/>
  <c r="L1241" i="57"/>
  <c r="I1241" i="57" s="1"/>
  <c r="L1242" i="57"/>
  <c r="K1242" i="57" s="1"/>
  <c r="L1243" i="57"/>
  <c r="I1243" i="57" s="1"/>
  <c r="L1244" i="57"/>
  <c r="K1244" i="57" s="1"/>
  <c r="L1245" i="57"/>
  <c r="K1245" i="57" s="1"/>
  <c r="L1246" i="57"/>
  <c r="K1246" i="57" s="1"/>
  <c r="L1247" i="57"/>
  <c r="L1248" i="57"/>
  <c r="K1248" i="57" s="1"/>
  <c r="L1249" i="57"/>
  <c r="K1249" i="57" s="1"/>
  <c r="L1250" i="57"/>
  <c r="K1250" i="57" s="1"/>
  <c r="L1251" i="57"/>
  <c r="K1251" i="57" s="1"/>
  <c r="L1252" i="57"/>
  <c r="K1231" i="57"/>
  <c r="I1231" i="57"/>
  <c r="K1229" i="57"/>
  <c r="K1227" i="57"/>
  <c r="L1231" i="57"/>
  <c r="L1230" i="57"/>
  <c r="K1230" i="57" s="1"/>
  <c r="L1229" i="57"/>
  <c r="L1228" i="57"/>
  <c r="K1228" i="57" s="1"/>
  <c r="L1227" i="57"/>
  <c r="L1226" i="57"/>
  <c r="K1226" i="57" s="1"/>
  <c r="I1180" i="57"/>
  <c r="I1181" i="57"/>
  <c r="I1182" i="57"/>
  <c r="I1183" i="57"/>
  <c r="I1184" i="57"/>
  <c r="I1185" i="57"/>
  <c r="I1188" i="57"/>
  <c r="I1189" i="57"/>
  <c r="I1190" i="57"/>
  <c r="I1191" i="57"/>
  <c r="I1192" i="57"/>
  <c r="I1197" i="57"/>
  <c r="K1180" i="57"/>
  <c r="K1181" i="57"/>
  <c r="K1182" i="57"/>
  <c r="K1183" i="57"/>
  <c r="K1185" i="57"/>
  <c r="K1186" i="57"/>
  <c r="K1187" i="57"/>
  <c r="K1188" i="57"/>
  <c r="K1189" i="57"/>
  <c r="K1191" i="57"/>
  <c r="K1197" i="57"/>
  <c r="L1177" i="57"/>
  <c r="I1177" i="57" s="1"/>
  <c r="L1178" i="57"/>
  <c r="L1179" i="57"/>
  <c r="I1179" i="57" s="1"/>
  <c r="L1180" i="57"/>
  <c r="L1181" i="57"/>
  <c r="L1182" i="57"/>
  <c r="L1183" i="57"/>
  <c r="L1184" i="57"/>
  <c r="K1184" i="57" s="1"/>
  <c r="L1185" i="57"/>
  <c r="L1186" i="57"/>
  <c r="I1186" i="57" s="1"/>
  <c r="L1187" i="57"/>
  <c r="I1187" i="57" s="1"/>
  <c r="L1188" i="57"/>
  <c r="L1189" i="57"/>
  <c r="L1190" i="57"/>
  <c r="K1190" i="57" s="1"/>
  <c r="L1191" i="57"/>
  <c r="L1192" i="57"/>
  <c r="K1192" i="57" s="1"/>
  <c r="L1193" i="57"/>
  <c r="I1193" i="57" s="1"/>
  <c r="L1194" i="57"/>
  <c r="K1194" i="57" s="1"/>
  <c r="L1195" i="57"/>
  <c r="I1195" i="57" s="1"/>
  <c r="L1196" i="57"/>
  <c r="I1196" i="57" s="1"/>
  <c r="L1197" i="57"/>
  <c r="L1175" i="57"/>
  <c r="L1174" i="57"/>
  <c r="K1174" i="57" s="1"/>
  <c r="L1173" i="57"/>
  <c r="K1173" i="57" s="1"/>
  <c r="L1172" i="57"/>
  <c r="K1172" i="57" s="1"/>
  <c r="L1171" i="57"/>
  <c r="K1171" i="57" s="1"/>
  <c r="L1176" i="57"/>
  <c r="I1176" i="57" s="1"/>
  <c r="K1176" i="57"/>
  <c r="K1175" i="57"/>
  <c r="K1123" i="57"/>
  <c r="K1124" i="57"/>
  <c r="K1126" i="57"/>
  <c r="K1139" i="57"/>
  <c r="K1140" i="57"/>
  <c r="K1142" i="57"/>
  <c r="L1122" i="57"/>
  <c r="I1122" i="57" s="1"/>
  <c r="L1123" i="57"/>
  <c r="I1123" i="57" s="1"/>
  <c r="L1124" i="57"/>
  <c r="L1125" i="57"/>
  <c r="K1125" i="57" s="1"/>
  <c r="L1126" i="57"/>
  <c r="L1127" i="57"/>
  <c r="K1127" i="57" s="1"/>
  <c r="L1128" i="57"/>
  <c r="K1128" i="57" s="1"/>
  <c r="L1129" i="57"/>
  <c r="K1129" i="57" s="1"/>
  <c r="L1130" i="57"/>
  <c r="K1130" i="57" s="1"/>
  <c r="L1131" i="57"/>
  <c r="K1131" i="57" s="1"/>
  <c r="L1132" i="57"/>
  <c r="K1132" i="57" s="1"/>
  <c r="L1133" i="57"/>
  <c r="K1133" i="57" s="1"/>
  <c r="L1134" i="57"/>
  <c r="I1134" i="57" s="1"/>
  <c r="L1135" i="57"/>
  <c r="I1135" i="57" s="1"/>
  <c r="L1136" i="57"/>
  <c r="K1136" i="57" s="1"/>
  <c r="L1137" i="57"/>
  <c r="K1137" i="57" s="1"/>
  <c r="L1138" i="57"/>
  <c r="I1138" i="57" s="1"/>
  <c r="L1139" i="57"/>
  <c r="L1140" i="57"/>
  <c r="L1141" i="57"/>
  <c r="I1141" i="57" s="1"/>
  <c r="L1142" i="57"/>
  <c r="I1124" i="57"/>
  <c r="I1126" i="57"/>
  <c r="I1127" i="57"/>
  <c r="I1128" i="57"/>
  <c r="I1129" i="57"/>
  <c r="I1130" i="57"/>
  <c r="I1131" i="57"/>
  <c r="I1132" i="57"/>
  <c r="I1133" i="57"/>
  <c r="I1139" i="57"/>
  <c r="I1140" i="57"/>
  <c r="I1142" i="57"/>
  <c r="I1121" i="57"/>
  <c r="L1121" i="57"/>
  <c r="K1121" i="57" s="1"/>
  <c r="L1120" i="57"/>
  <c r="K1120" i="57" s="1"/>
  <c r="L1119" i="57"/>
  <c r="K1119" i="57" s="1"/>
  <c r="L1118" i="57"/>
  <c r="K1118" i="57" s="1"/>
  <c r="L1117" i="57"/>
  <c r="K1117" i="57" s="1"/>
  <c r="L1116" i="57"/>
  <c r="K1116" i="57"/>
  <c r="I1068" i="57"/>
  <c r="I1069" i="57"/>
  <c r="I1081" i="57"/>
  <c r="I1082" i="57"/>
  <c r="I1083" i="57"/>
  <c r="I1087" i="57"/>
  <c r="K1068" i="57"/>
  <c r="K1079" i="57"/>
  <c r="K1080" i="57"/>
  <c r="K1081" i="57"/>
  <c r="K1087" i="57"/>
  <c r="L1067" i="57"/>
  <c r="L1068" i="57"/>
  <c r="L1069" i="57"/>
  <c r="K1069" i="57" s="1"/>
  <c r="L1070" i="57"/>
  <c r="I1070" i="57" s="1"/>
  <c r="L1071" i="57"/>
  <c r="I1071" i="57" s="1"/>
  <c r="L1072" i="57"/>
  <c r="I1072" i="57" s="1"/>
  <c r="L1073" i="57"/>
  <c r="I1073" i="57" s="1"/>
  <c r="L1074" i="57"/>
  <c r="L1075" i="57"/>
  <c r="I1075" i="57" s="1"/>
  <c r="L1076" i="57"/>
  <c r="I1076" i="57" s="1"/>
  <c r="L1077" i="57"/>
  <c r="K1077" i="57" s="1"/>
  <c r="L1078" i="57"/>
  <c r="L1079" i="57"/>
  <c r="I1079" i="57" s="1"/>
  <c r="L1080" i="57"/>
  <c r="I1080" i="57" s="1"/>
  <c r="L1081" i="57"/>
  <c r="L1082" i="57"/>
  <c r="K1082" i="57" s="1"/>
  <c r="L1083" i="57"/>
  <c r="K1083" i="57" s="1"/>
  <c r="L1084" i="57"/>
  <c r="I1084" i="57" s="1"/>
  <c r="L1085" i="57"/>
  <c r="L1086" i="57"/>
  <c r="I1086" i="57" s="1"/>
  <c r="L1087" i="57"/>
  <c r="L1066" i="57"/>
  <c r="I1066" i="57" s="1"/>
  <c r="K1066" i="57"/>
  <c r="K1065" i="57"/>
  <c r="K1064" i="57"/>
  <c r="K1062" i="57"/>
  <c r="L1065" i="57"/>
  <c r="L1064" i="57"/>
  <c r="L1063" i="57"/>
  <c r="K1063" i="57" s="1"/>
  <c r="L1062" i="57"/>
  <c r="L1061" i="57"/>
  <c r="K1061" i="57" s="1"/>
  <c r="L1010" i="57"/>
  <c r="L1009" i="57"/>
  <c r="L1008" i="57"/>
  <c r="L1007" i="57"/>
  <c r="L1006" i="57"/>
  <c r="L955" i="57"/>
  <c r="L954" i="57"/>
  <c r="K954" i="57" s="1"/>
  <c r="L953" i="57"/>
  <c r="K953" i="57" s="1"/>
  <c r="L952" i="57"/>
  <c r="L951" i="57"/>
  <c r="K951" i="57" s="1"/>
  <c r="L900" i="57"/>
  <c r="K900" i="57" s="1"/>
  <c r="L899" i="57"/>
  <c r="K899" i="57" s="1"/>
  <c r="L898" i="57"/>
  <c r="L897" i="57"/>
  <c r="K897" i="57" s="1"/>
  <c r="L896" i="57"/>
  <c r="L845" i="57"/>
  <c r="L844" i="57"/>
  <c r="L843" i="57"/>
  <c r="K843" i="57" s="1"/>
  <c r="L842" i="57"/>
  <c r="L841" i="57"/>
  <c r="L790" i="57"/>
  <c r="K790" i="57" s="1"/>
  <c r="L789" i="57"/>
  <c r="K789" i="57" s="1"/>
  <c r="L788" i="57"/>
  <c r="K788" i="57" s="1"/>
  <c r="L787" i="57"/>
  <c r="K787" i="57" s="1"/>
  <c r="L786" i="57"/>
  <c r="K786" i="57" s="1"/>
  <c r="L735" i="57"/>
  <c r="K735" i="57" s="1"/>
  <c r="L734" i="57"/>
  <c r="K734" i="57" s="1"/>
  <c r="L733" i="57"/>
  <c r="K733" i="57" s="1"/>
  <c r="L732" i="57"/>
  <c r="K732" i="57" s="1"/>
  <c r="L731" i="57"/>
  <c r="K731" i="57" s="1"/>
  <c r="L682" i="57"/>
  <c r="I682" i="57" s="1"/>
  <c r="L683" i="57"/>
  <c r="I683" i="57" s="1"/>
  <c r="L684" i="57"/>
  <c r="L685" i="57"/>
  <c r="I685" i="57" s="1"/>
  <c r="L686" i="57"/>
  <c r="L687" i="57"/>
  <c r="I687" i="57" s="1"/>
  <c r="L688" i="57"/>
  <c r="I688" i="57" s="1"/>
  <c r="L689" i="57"/>
  <c r="I689" i="57" s="1"/>
  <c r="L690" i="57"/>
  <c r="I690" i="57" s="1"/>
  <c r="L691" i="57"/>
  <c r="I691" i="57" s="1"/>
  <c r="L692" i="57"/>
  <c r="L693" i="57"/>
  <c r="L694" i="57"/>
  <c r="K694" i="57" s="1"/>
  <c r="L695" i="57"/>
  <c r="K695" i="57" s="1"/>
  <c r="L696" i="57"/>
  <c r="K696" i="57" s="1"/>
  <c r="L697" i="57"/>
  <c r="K697" i="57" s="1"/>
  <c r="L698" i="57"/>
  <c r="L699" i="57"/>
  <c r="I699" i="57" s="1"/>
  <c r="L700" i="57"/>
  <c r="K700" i="57" s="1"/>
  <c r="L701" i="57"/>
  <c r="K701" i="57" s="1"/>
  <c r="L702" i="57"/>
  <c r="L681" i="57"/>
  <c r="L680" i="57"/>
  <c r="K680" i="57" s="1"/>
  <c r="L679" i="57"/>
  <c r="K679" i="57" s="1"/>
  <c r="L678" i="57"/>
  <c r="K678" i="57" s="1"/>
  <c r="L677" i="57"/>
  <c r="K677" i="57" s="1"/>
  <c r="L676" i="57"/>
  <c r="K676" i="57" s="1"/>
  <c r="L625" i="57"/>
  <c r="K625" i="57" s="1"/>
  <c r="L624" i="57"/>
  <c r="L623" i="57"/>
  <c r="L622" i="57"/>
  <c r="L621" i="57"/>
  <c r="L570" i="57"/>
  <c r="K570" i="57" s="1"/>
  <c r="L569" i="57"/>
  <c r="K569" i="57" s="1"/>
  <c r="L568" i="57"/>
  <c r="K568" i="57" s="1"/>
  <c r="L567" i="57"/>
  <c r="K567" i="57" s="1"/>
  <c r="L566" i="57"/>
  <c r="K566" i="57" s="1"/>
  <c r="L515" i="57"/>
  <c r="K515" i="57" s="1"/>
  <c r="L514" i="57"/>
  <c r="K514" i="57" s="1"/>
  <c r="L513" i="57"/>
  <c r="K513" i="57" s="1"/>
  <c r="L512" i="57"/>
  <c r="L456" i="57"/>
  <c r="K456" i="57" s="1"/>
  <c r="L511" i="57"/>
  <c r="K511" i="57" s="1"/>
  <c r="L460" i="57"/>
  <c r="L459" i="57"/>
  <c r="K459" i="57" s="1"/>
  <c r="L458" i="57"/>
  <c r="K458" i="57" s="1"/>
  <c r="L457" i="57"/>
  <c r="K457" i="57" s="1"/>
  <c r="I1014" i="57"/>
  <c r="I1015" i="57"/>
  <c r="I1016" i="57"/>
  <c r="I1017" i="57"/>
  <c r="I1018" i="57"/>
  <c r="I1019" i="57"/>
  <c r="I1020" i="57"/>
  <c r="I1021" i="57"/>
  <c r="I1022" i="57"/>
  <c r="I1023" i="57"/>
  <c r="I1032" i="57"/>
  <c r="K1014" i="57"/>
  <c r="K1015" i="57"/>
  <c r="K1016" i="57"/>
  <c r="K1017" i="57"/>
  <c r="K1018" i="57"/>
  <c r="K1019" i="57"/>
  <c r="K1020" i="57"/>
  <c r="K1021" i="57"/>
  <c r="K1022" i="57"/>
  <c r="K1032" i="57"/>
  <c r="L1012" i="57"/>
  <c r="L1013" i="57"/>
  <c r="L1014" i="57"/>
  <c r="L1015" i="57"/>
  <c r="L1016" i="57"/>
  <c r="L1017" i="57"/>
  <c r="L1018" i="57"/>
  <c r="L1019" i="57"/>
  <c r="L1020" i="57"/>
  <c r="L1021" i="57"/>
  <c r="L1022" i="57"/>
  <c r="L1023" i="57"/>
  <c r="K1023" i="57" s="1"/>
  <c r="L1024" i="57"/>
  <c r="I1024" i="57" s="1"/>
  <c r="L1025" i="57"/>
  <c r="I1025" i="57" s="1"/>
  <c r="L1026" i="57"/>
  <c r="I1026" i="57" s="1"/>
  <c r="L1027" i="57"/>
  <c r="I1027" i="57" s="1"/>
  <c r="L1028" i="57"/>
  <c r="L1029" i="57"/>
  <c r="I1029" i="57" s="1"/>
  <c r="L1030" i="57"/>
  <c r="I1030" i="57" s="1"/>
  <c r="L1031" i="57"/>
  <c r="L1032" i="57"/>
  <c r="L1011" i="57"/>
  <c r="K1010" i="57"/>
  <c r="K1009" i="57"/>
  <c r="K1007" i="57"/>
  <c r="K1008" i="57"/>
  <c r="K1006" i="57"/>
  <c r="I957" i="57"/>
  <c r="I958" i="57"/>
  <c r="I965" i="57"/>
  <c r="I966" i="57"/>
  <c r="I967" i="57"/>
  <c r="I968" i="57"/>
  <c r="I969" i="57"/>
  <c r="I974" i="57"/>
  <c r="I975" i="57"/>
  <c r="I976" i="57"/>
  <c r="I977" i="57"/>
  <c r="K957" i="57"/>
  <c r="K972" i="57"/>
  <c r="K973" i="57"/>
  <c r="K974" i="57"/>
  <c r="K977" i="57"/>
  <c r="L957" i="57"/>
  <c r="L958" i="57"/>
  <c r="K958" i="57" s="1"/>
  <c r="L959" i="57"/>
  <c r="I959" i="57" s="1"/>
  <c r="L960" i="57"/>
  <c r="I960" i="57" s="1"/>
  <c r="L961" i="57"/>
  <c r="I961" i="57" s="1"/>
  <c r="L962" i="57"/>
  <c r="I962" i="57" s="1"/>
  <c r="L963" i="57"/>
  <c r="L964" i="57"/>
  <c r="I964" i="57" s="1"/>
  <c r="L965" i="57"/>
  <c r="K965" i="57" s="1"/>
  <c r="L966" i="57"/>
  <c r="K966" i="57" s="1"/>
  <c r="L967" i="57"/>
  <c r="K967" i="57" s="1"/>
  <c r="L968" i="57"/>
  <c r="K968" i="57" s="1"/>
  <c r="L969" i="57"/>
  <c r="K969" i="57" s="1"/>
  <c r="L970" i="57"/>
  <c r="K970" i="57" s="1"/>
  <c r="L971" i="57"/>
  <c r="L972" i="57"/>
  <c r="I972" i="57" s="1"/>
  <c r="L973" i="57"/>
  <c r="I973" i="57" s="1"/>
  <c r="L974" i="57"/>
  <c r="L975" i="57"/>
  <c r="K975" i="57" s="1"/>
  <c r="L976" i="57"/>
  <c r="K976" i="57" s="1"/>
  <c r="L977" i="57"/>
  <c r="L956" i="57"/>
  <c r="K956" i="57" s="1"/>
  <c r="I956" i="57"/>
  <c r="K955" i="57"/>
  <c r="K952" i="57"/>
  <c r="I911" i="57"/>
  <c r="I912" i="57"/>
  <c r="I913" i="57"/>
  <c r="I914" i="57"/>
  <c r="I915" i="57"/>
  <c r="I916" i="57"/>
  <c r="I922" i="57"/>
  <c r="K904" i="57"/>
  <c r="K905" i="57"/>
  <c r="K911" i="57"/>
  <c r="K912" i="57"/>
  <c r="K913" i="57"/>
  <c r="K914" i="57"/>
  <c r="K915" i="57"/>
  <c r="K922" i="57"/>
  <c r="L902" i="57"/>
  <c r="L903" i="57"/>
  <c r="I903" i="57" s="1"/>
  <c r="L904" i="57"/>
  <c r="I904" i="57" s="1"/>
  <c r="L905" i="57"/>
  <c r="I905" i="57" s="1"/>
  <c r="L906" i="57"/>
  <c r="K906" i="57" s="1"/>
  <c r="L907" i="57"/>
  <c r="K907" i="57" s="1"/>
  <c r="L908" i="57"/>
  <c r="L909" i="57"/>
  <c r="L910" i="57"/>
  <c r="L911" i="57"/>
  <c r="L912" i="57"/>
  <c r="L913" i="57"/>
  <c r="L914" i="57"/>
  <c r="L915" i="57"/>
  <c r="L916" i="57"/>
  <c r="K916" i="57" s="1"/>
  <c r="L917" i="57"/>
  <c r="I917" i="57" s="1"/>
  <c r="L918" i="57"/>
  <c r="I918" i="57" s="1"/>
  <c r="L919" i="57"/>
  <c r="I919" i="57" s="1"/>
  <c r="L920" i="57"/>
  <c r="I920" i="57" s="1"/>
  <c r="L921" i="57"/>
  <c r="L922" i="57"/>
  <c r="L901" i="57"/>
  <c r="K898" i="57"/>
  <c r="K896" i="57"/>
  <c r="K847" i="57"/>
  <c r="K848" i="57"/>
  <c r="K849" i="57"/>
  <c r="K852" i="57"/>
  <c r="K853" i="57"/>
  <c r="K867" i="57"/>
  <c r="K868" i="57"/>
  <c r="L847" i="57"/>
  <c r="I847" i="57" s="1"/>
  <c r="L848" i="57"/>
  <c r="L849" i="57"/>
  <c r="L850" i="57"/>
  <c r="K850" i="57" s="1"/>
  <c r="L851" i="57"/>
  <c r="K851" i="57" s="1"/>
  <c r="L852" i="57"/>
  <c r="L853" i="57"/>
  <c r="I853" i="57" s="1"/>
  <c r="L854" i="57"/>
  <c r="K854" i="57" s="1"/>
  <c r="L855" i="57"/>
  <c r="K855" i="57" s="1"/>
  <c r="L856" i="57"/>
  <c r="K856" i="57" s="1"/>
  <c r="L857" i="57"/>
  <c r="K857" i="57" s="1"/>
  <c r="L858" i="57"/>
  <c r="L859" i="57"/>
  <c r="K859" i="57" s="1"/>
  <c r="L860" i="57"/>
  <c r="I860" i="57" s="1"/>
  <c r="L861" i="57"/>
  <c r="I861" i="57" s="1"/>
  <c r="L862" i="57"/>
  <c r="I862" i="57" s="1"/>
  <c r="L863" i="57"/>
  <c r="I863" i="57" s="1"/>
  <c r="L864" i="57"/>
  <c r="L865" i="57"/>
  <c r="L866" i="57"/>
  <c r="I866" i="57" s="1"/>
  <c r="L867" i="57"/>
  <c r="I867" i="57" s="1"/>
  <c r="I848" i="57"/>
  <c r="I849" i="57"/>
  <c r="I850" i="57"/>
  <c r="I851" i="57"/>
  <c r="I852" i="57"/>
  <c r="I859" i="57"/>
  <c r="L846" i="57"/>
  <c r="K846" i="57"/>
  <c r="I846" i="57"/>
  <c r="K845" i="57"/>
  <c r="K844" i="57"/>
  <c r="K842" i="57"/>
  <c r="K841" i="57"/>
  <c r="K804" i="57"/>
  <c r="K811" i="57"/>
  <c r="K812" i="57"/>
  <c r="L792" i="57"/>
  <c r="K792" i="57" s="1"/>
  <c r="L793" i="57"/>
  <c r="I793" i="57" s="1"/>
  <c r="L794" i="57"/>
  <c r="I794" i="57" s="1"/>
  <c r="L795" i="57"/>
  <c r="K795" i="57" s="1"/>
  <c r="L796" i="57"/>
  <c r="K796" i="57" s="1"/>
  <c r="L797" i="57"/>
  <c r="K797" i="57" s="1"/>
  <c r="L798" i="57"/>
  <c r="K798" i="57" s="1"/>
  <c r="L799" i="57"/>
  <c r="I799" i="57" s="1"/>
  <c r="L800" i="57"/>
  <c r="K800" i="57" s="1"/>
  <c r="L801" i="57"/>
  <c r="L802" i="57"/>
  <c r="I802" i="57" s="1"/>
  <c r="L803" i="57"/>
  <c r="I803" i="57" s="1"/>
  <c r="L804" i="57"/>
  <c r="I804" i="57" s="1"/>
  <c r="L805" i="57"/>
  <c r="K805" i="57" s="1"/>
  <c r="L806" i="57"/>
  <c r="K806" i="57" s="1"/>
  <c r="L807" i="57"/>
  <c r="K807" i="57" s="1"/>
  <c r="L808" i="57"/>
  <c r="K808" i="57" s="1"/>
  <c r="L809" i="57"/>
  <c r="K809" i="57" s="1"/>
  <c r="L810" i="57"/>
  <c r="K810" i="57" s="1"/>
  <c r="L811" i="57"/>
  <c r="L812" i="57"/>
  <c r="L791" i="57"/>
  <c r="K791" i="57"/>
  <c r="I791" i="57"/>
  <c r="L737" i="57"/>
  <c r="L738" i="57"/>
  <c r="L739" i="57"/>
  <c r="L740" i="57"/>
  <c r="L741" i="57"/>
  <c r="I741" i="57" s="1"/>
  <c r="L742" i="57"/>
  <c r="K742" i="57" s="1"/>
  <c r="L743" i="57"/>
  <c r="I743" i="57" s="1"/>
  <c r="L744" i="57"/>
  <c r="I744" i="57" s="1"/>
  <c r="L745" i="57"/>
  <c r="L746" i="57"/>
  <c r="L747" i="57"/>
  <c r="I747" i="57" s="1"/>
  <c r="L748" i="57"/>
  <c r="I748" i="57" s="1"/>
  <c r="L749" i="57"/>
  <c r="I749" i="57" s="1"/>
  <c r="L750" i="57"/>
  <c r="I750" i="57" s="1"/>
  <c r="L751" i="57"/>
  <c r="I751" i="57" s="1"/>
  <c r="L752" i="57"/>
  <c r="L753" i="57"/>
  <c r="L754" i="57"/>
  <c r="I754" i="57" s="1"/>
  <c r="L755" i="57"/>
  <c r="I755" i="57" s="1"/>
  <c r="L756" i="57"/>
  <c r="K756" i="57" s="1"/>
  <c r="L757" i="57"/>
  <c r="K737" i="57"/>
  <c r="K738" i="57"/>
  <c r="K739" i="57"/>
  <c r="K740" i="57"/>
  <c r="K741" i="57"/>
  <c r="K743" i="57"/>
  <c r="K745" i="57"/>
  <c r="K746" i="57"/>
  <c r="K747" i="57"/>
  <c r="K748" i="57"/>
  <c r="K749" i="57"/>
  <c r="K750" i="57"/>
  <c r="K751" i="57"/>
  <c r="K752" i="57"/>
  <c r="K753" i="57"/>
  <c r="K754" i="57"/>
  <c r="K755" i="57"/>
  <c r="K757" i="57"/>
  <c r="I737" i="57"/>
  <c r="I738" i="57"/>
  <c r="I739" i="57"/>
  <c r="I740" i="57"/>
  <c r="I745" i="57"/>
  <c r="I746" i="57"/>
  <c r="I752" i="57"/>
  <c r="I753" i="57"/>
  <c r="I757" i="57"/>
  <c r="L736" i="57"/>
  <c r="K736" i="57"/>
  <c r="I736" i="57"/>
  <c r="K684" i="57"/>
  <c r="K686" i="57"/>
  <c r="K682" i="57"/>
  <c r="K683" i="57"/>
  <c r="K687" i="57"/>
  <c r="K688" i="57"/>
  <c r="K689" i="57"/>
  <c r="K690" i="57"/>
  <c r="K702" i="57"/>
  <c r="I694" i="57"/>
  <c r="I695" i="57"/>
  <c r="I696" i="57"/>
  <c r="I697" i="57"/>
  <c r="I702" i="57"/>
  <c r="K681" i="57"/>
  <c r="I681" i="57"/>
  <c r="L627" i="57"/>
  <c r="I627" i="57" s="1"/>
  <c r="L628" i="57"/>
  <c r="I628" i="57" s="1"/>
  <c r="L629" i="57"/>
  <c r="K629" i="57" s="1"/>
  <c r="L630" i="57"/>
  <c r="L631" i="57"/>
  <c r="L632" i="57"/>
  <c r="L633" i="57"/>
  <c r="L634" i="57"/>
  <c r="K634" i="57" s="1"/>
  <c r="L635" i="57"/>
  <c r="K635" i="57" s="1"/>
  <c r="L636" i="57"/>
  <c r="K636" i="57" s="1"/>
  <c r="L637" i="57"/>
  <c r="K637" i="57" s="1"/>
  <c r="L638" i="57"/>
  <c r="K638" i="57" s="1"/>
  <c r="L639" i="57"/>
  <c r="K639" i="57" s="1"/>
  <c r="L640" i="57"/>
  <c r="K640" i="57" s="1"/>
  <c r="L641" i="57"/>
  <c r="K641" i="57" s="1"/>
  <c r="L642" i="57"/>
  <c r="K642" i="57" s="1"/>
  <c r="L643" i="57"/>
  <c r="K643" i="57" s="1"/>
  <c r="L644" i="57"/>
  <c r="K644" i="57" s="1"/>
  <c r="L645" i="57"/>
  <c r="I645" i="57" s="1"/>
  <c r="L646" i="57"/>
  <c r="I646" i="57" s="1"/>
  <c r="L647" i="57"/>
  <c r="I647" i="57" s="1"/>
  <c r="L626" i="57"/>
  <c r="I629" i="57"/>
  <c r="I630" i="57"/>
  <c r="I631" i="57"/>
  <c r="I632" i="57"/>
  <c r="I633" i="57"/>
  <c r="I634" i="57"/>
  <c r="I635" i="57"/>
  <c r="I636" i="57"/>
  <c r="I637" i="57"/>
  <c r="I638" i="57"/>
  <c r="I639" i="57"/>
  <c r="I640" i="57"/>
  <c r="I641" i="57"/>
  <c r="I642" i="57"/>
  <c r="I643" i="57"/>
  <c r="I644" i="57"/>
  <c r="K630" i="57"/>
  <c r="K631" i="57"/>
  <c r="K632" i="57"/>
  <c r="K633" i="57"/>
  <c r="K624" i="57"/>
  <c r="K623" i="57"/>
  <c r="K622" i="57"/>
  <c r="K621" i="57"/>
  <c r="L572" i="57"/>
  <c r="I572" i="57" s="1"/>
  <c r="L573" i="57"/>
  <c r="K573" i="57" s="1"/>
  <c r="L574" i="57"/>
  <c r="K574" i="57" s="1"/>
  <c r="L575" i="57"/>
  <c r="L576" i="57"/>
  <c r="L577" i="57"/>
  <c r="L578" i="57"/>
  <c r="L579" i="57"/>
  <c r="L580" i="57"/>
  <c r="L581" i="57"/>
  <c r="L582" i="57"/>
  <c r="L583" i="57"/>
  <c r="L584" i="57"/>
  <c r="I584" i="57" s="1"/>
  <c r="L585" i="57"/>
  <c r="I585" i="57" s="1"/>
  <c r="L586" i="57"/>
  <c r="I586" i="57" s="1"/>
  <c r="L587" i="57"/>
  <c r="I587" i="57" s="1"/>
  <c r="L588" i="57"/>
  <c r="I588" i="57" s="1"/>
  <c r="L589" i="57"/>
  <c r="I589" i="57" s="1"/>
  <c r="L590" i="57"/>
  <c r="K590" i="57" s="1"/>
  <c r="L591" i="57"/>
  <c r="K591" i="57" s="1"/>
  <c r="L592" i="57"/>
  <c r="L571" i="57"/>
  <c r="K572" i="57"/>
  <c r="K576" i="57"/>
  <c r="K577" i="57"/>
  <c r="K578" i="57"/>
  <c r="K579" i="57"/>
  <c r="K580" i="57"/>
  <c r="K581" i="57"/>
  <c r="K582" i="57"/>
  <c r="K583" i="57"/>
  <c r="K584" i="57"/>
  <c r="K585" i="57"/>
  <c r="K586" i="57"/>
  <c r="K587" i="57"/>
  <c r="K588" i="57"/>
  <c r="K589" i="57"/>
  <c r="K592" i="57"/>
  <c r="I576" i="57"/>
  <c r="I577" i="57"/>
  <c r="I578" i="57"/>
  <c r="I579" i="57"/>
  <c r="I580" i="57"/>
  <c r="I581" i="57"/>
  <c r="I582" i="57"/>
  <c r="I583" i="57"/>
  <c r="I592" i="57"/>
  <c r="L517" i="57"/>
  <c r="K517" i="57" s="1"/>
  <c r="L518" i="57"/>
  <c r="L519" i="57"/>
  <c r="I519" i="57" s="1"/>
  <c r="L520" i="57"/>
  <c r="I520" i="57" s="1"/>
  <c r="L521" i="57"/>
  <c r="L522" i="57"/>
  <c r="I522" i="57" s="1"/>
  <c r="L523" i="57"/>
  <c r="I523" i="57" s="1"/>
  <c r="L524" i="57"/>
  <c r="K524" i="57" s="1"/>
  <c r="L525" i="57"/>
  <c r="K525" i="57" s="1"/>
  <c r="L526" i="57"/>
  <c r="K526" i="57" s="1"/>
  <c r="L527" i="57"/>
  <c r="K527" i="57" s="1"/>
  <c r="L528" i="57"/>
  <c r="K528" i="57" s="1"/>
  <c r="L529" i="57"/>
  <c r="L530" i="57"/>
  <c r="K530" i="57" s="1"/>
  <c r="L531" i="57"/>
  <c r="K531" i="57" s="1"/>
  <c r="L532" i="57"/>
  <c r="L533" i="57"/>
  <c r="K533" i="57" s="1"/>
  <c r="L534" i="57"/>
  <c r="K534" i="57" s="1"/>
  <c r="L535" i="57"/>
  <c r="I535" i="57" s="1"/>
  <c r="L536" i="57"/>
  <c r="L537" i="57"/>
  <c r="K537" i="57" s="1"/>
  <c r="L516" i="57"/>
  <c r="K516" i="57" s="1"/>
  <c r="I517" i="57"/>
  <c r="I518" i="57"/>
  <c r="I521" i="57"/>
  <c r="I532" i="57"/>
  <c r="I533" i="57"/>
  <c r="I534" i="57"/>
  <c r="I537" i="57"/>
  <c r="I516" i="57"/>
  <c r="K518" i="57"/>
  <c r="K521" i="57"/>
  <c r="K522" i="57"/>
  <c r="K523" i="57"/>
  <c r="K532" i="57"/>
  <c r="K512" i="57"/>
  <c r="L462" i="57"/>
  <c r="I462" i="57" s="1"/>
  <c r="L463" i="57"/>
  <c r="I463" i="57" s="1"/>
  <c r="L464" i="57"/>
  <c r="I464" i="57" s="1"/>
  <c r="L465" i="57"/>
  <c r="I465" i="57" s="1"/>
  <c r="L466" i="57"/>
  <c r="K466" i="57" s="1"/>
  <c r="L467" i="57"/>
  <c r="K467" i="57" s="1"/>
  <c r="L468" i="57"/>
  <c r="I468" i="57" s="1"/>
  <c r="L469" i="57"/>
  <c r="L470" i="57"/>
  <c r="L471" i="57"/>
  <c r="L472" i="57"/>
  <c r="I472" i="57" s="1"/>
  <c r="L473" i="57"/>
  <c r="I473" i="57" s="1"/>
  <c r="L474" i="57"/>
  <c r="I474" i="57" s="1"/>
  <c r="L475" i="57"/>
  <c r="I475" i="57" s="1"/>
  <c r="L476" i="57"/>
  <c r="I476" i="57" s="1"/>
  <c r="L477" i="57"/>
  <c r="I477" i="57" s="1"/>
  <c r="L478" i="57"/>
  <c r="I478" i="57" s="1"/>
  <c r="L479" i="57"/>
  <c r="I479" i="57" s="1"/>
  <c r="L480" i="57"/>
  <c r="K480" i="57" s="1"/>
  <c r="L481" i="57"/>
  <c r="K481" i="57" s="1"/>
  <c r="L482" i="57"/>
  <c r="L461" i="57"/>
  <c r="K462" i="57"/>
  <c r="K463" i="57"/>
  <c r="K464" i="57"/>
  <c r="K465" i="57"/>
  <c r="K468" i="57"/>
  <c r="K469" i="57"/>
  <c r="K470" i="57"/>
  <c r="K471" i="57"/>
  <c r="K472" i="57"/>
  <c r="K473" i="57"/>
  <c r="K474" i="57"/>
  <c r="K475" i="57"/>
  <c r="K476" i="57"/>
  <c r="K477" i="57"/>
  <c r="K478" i="57"/>
  <c r="K479" i="57"/>
  <c r="K482" i="57"/>
  <c r="I469" i="57"/>
  <c r="I470" i="57"/>
  <c r="I471" i="57"/>
  <c r="I482" i="57"/>
  <c r="I461" i="57"/>
  <c r="K461" i="57"/>
  <c r="K460" i="57"/>
  <c r="K409" i="57"/>
  <c r="K410" i="57"/>
  <c r="K411" i="57"/>
  <c r="K412" i="57"/>
  <c r="K414" i="57"/>
  <c r="K415" i="57"/>
  <c r="K426" i="57"/>
  <c r="K427" i="57"/>
  <c r="K403" i="57"/>
  <c r="I409" i="57"/>
  <c r="I410" i="57"/>
  <c r="I411" i="57"/>
  <c r="I412" i="57"/>
  <c r="I413" i="57"/>
  <c r="I425" i="57"/>
  <c r="I427" i="57"/>
  <c r="L407" i="57"/>
  <c r="K407" i="57" s="1"/>
  <c r="L408" i="57"/>
  <c r="K408" i="57" s="1"/>
  <c r="L409" i="57"/>
  <c r="L410" i="57"/>
  <c r="L411" i="57"/>
  <c r="L412" i="57"/>
  <c r="L413" i="57"/>
  <c r="K413" i="57" s="1"/>
  <c r="L414" i="57"/>
  <c r="I414" i="57" s="1"/>
  <c r="L415" i="57"/>
  <c r="I415" i="57" s="1"/>
  <c r="L416" i="57"/>
  <c r="K416" i="57" s="1"/>
  <c r="L417" i="57"/>
  <c r="K417" i="57" s="1"/>
  <c r="L418" i="57"/>
  <c r="K418" i="57" s="1"/>
  <c r="L419" i="57"/>
  <c r="K419" i="57" s="1"/>
  <c r="L420" i="57"/>
  <c r="K420" i="57" s="1"/>
  <c r="L421" i="57"/>
  <c r="L422" i="57"/>
  <c r="L423" i="57"/>
  <c r="K423" i="57" s="1"/>
  <c r="L424" i="57"/>
  <c r="K424" i="57" s="1"/>
  <c r="L425" i="57"/>
  <c r="K425" i="57" s="1"/>
  <c r="L426" i="57"/>
  <c r="L427" i="57"/>
  <c r="L406" i="57"/>
  <c r="K406" i="57" s="1"/>
  <c r="L405" i="57"/>
  <c r="K405" i="57" s="1"/>
  <c r="L404" i="57"/>
  <c r="K404" i="57" s="1"/>
  <c r="L403" i="57"/>
  <c r="L402" i="57"/>
  <c r="K402" i="57" s="1"/>
  <c r="L401" i="57"/>
  <c r="K401" i="57"/>
  <c r="I352" i="57"/>
  <c r="I353" i="57"/>
  <c r="I354" i="57"/>
  <c r="I355" i="57"/>
  <c r="I356" i="57"/>
  <c r="I357" i="57"/>
  <c r="I358" i="57"/>
  <c r="I359" i="57"/>
  <c r="I360" i="57"/>
  <c r="I361" i="57"/>
  <c r="I362" i="57"/>
  <c r="I363" i="57"/>
  <c r="I364" i="57"/>
  <c r="I365" i="57"/>
  <c r="I366" i="57"/>
  <c r="I367" i="57"/>
  <c r="I372" i="57"/>
  <c r="K352" i="57"/>
  <c r="K353" i="57"/>
  <c r="K354" i="57"/>
  <c r="K355" i="57"/>
  <c r="K356" i="57"/>
  <c r="K357" i="57"/>
  <c r="K358" i="57"/>
  <c r="K362" i="57"/>
  <c r="K363" i="57"/>
  <c r="K364" i="57"/>
  <c r="K365" i="57"/>
  <c r="K366" i="57"/>
  <c r="K372" i="57"/>
  <c r="K351" i="57"/>
  <c r="K350" i="57"/>
  <c r="K348" i="57"/>
  <c r="K347" i="57"/>
  <c r="L352" i="57"/>
  <c r="L353" i="57"/>
  <c r="L354" i="57"/>
  <c r="L355" i="57"/>
  <c r="L356" i="57"/>
  <c r="L357" i="57"/>
  <c r="L358" i="57"/>
  <c r="L359" i="57"/>
  <c r="K359" i="57" s="1"/>
  <c r="L360" i="57"/>
  <c r="K360" i="57" s="1"/>
  <c r="L361" i="57"/>
  <c r="K361" i="57" s="1"/>
  <c r="L362" i="57"/>
  <c r="L363" i="57"/>
  <c r="L364" i="57"/>
  <c r="L365" i="57"/>
  <c r="L366" i="57"/>
  <c r="L367" i="57"/>
  <c r="K367" i="57" s="1"/>
  <c r="L368" i="57"/>
  <c r="I368" i="57" s="1"/>
  <c r="L369" i="57"/>
  <c r="I369" i="57" s="1"/>
  <c r="L370" i="57"/>
  <c r="I370" i="57" s="1"/>
  <c r="L371" i="57"/>
  <c r="K371" i="57" s="1"/>
  <c r="L372" i="57"/>
  <c r="L351" i="57"/>
  <c r="I351" i="57"/>
  <c r="L350" i="57"/>
  <c r="L349" i="57"/>
  <c r="K349" i="57" s="1"/>
  <c r="L348" i="57"/>
  <c r="L347" i="57"/>
  <c r="L346" i="57"/>
  <c r="K346" i="57" s="1"/>
  <c r="K297" i="57"/>
  <c r="K298" i="57"/>
  <c r="K299" i="57"/>
  <c r="K300" i="57"/>
  <c r="K301" i="57"/>
  <c r="K302" i="57"/>
  <c r="K303" i="57"/>
  <c r="K308" i="57"/>
  <c r="K312" i="57"/>
  <c r="K313" i="57"/>
  <c r="K314" i="57"/>
  <c r="K315" i="57"/>
  <c r="K316" i="57"/>
  <c r="K317" i="57"/>
  <c r="I307" i="57"/>
  <c r="I308" i="57"/>
  <c r="I309" i="57"/>
  <c r="I310" i="57"/>
  <c r="I312" i="57"/>
  <c r="I313" i="57"/>
  <c r="I314" i="57"/>
  <c r="I315" i="57"/>
  <c r="I317" i="57"/>
  <c r="K295" i="57"/>
  <c r="L297" i="57"/>
  <c r="I297" i="57" s="1"/>
  <c r="L298" i="57"/>
  <c r="I298" i="57" s="1"/>
  <c r="L299" i="57"/>
  <c r="I299" i="57" s="1"/>
  <c r="L300" i="57"/>
  <c r="I300" i="57" s="1"/>
  <c r="L301" i="57"/>
  <c r="I301" i="57" s="1"/>
  <c r="L302" i="57"/>
  <c r="I302" i="57" s="1"/>
  <c r="L303" i="57"/>
  <c r="I303" i="57" s="1"/>
  <c r="L304" i="57"/>
  <c r="L305" i="57"/>
  <c r="L306" i="57"/>
  <c r="L307" i="57"/>
  <c r="K307" i="57" s="1"/>
  <c r="L308" i="57"/>
  <c r="L309" i="57"/>
  <c r="K309" i="57" s="1"/>
  <c r="L310" i="57"/>
  <c r="K310" i="57" s="1"/>
  <c r="L311" i="57"/>
  <c r="I311" i="57" s="1"/>
  <c r="L312" i="57"/>
  <c r="L313" i="57"/>
  <c r="L314" i="57"/>
  <c r="L315" i="57"/>
  <c r="L316" i="57"/>
  <c r="L317" i="57"/>
  <c r="L296" i="57"/>
  <c r="K296" i="57" s="1"/>
  <c r="L295" i="57"/>
  <c r="L294" i="57"/>
  <c r="K294" i="57" s="1"/>
  <c r="L293" i="57"/>
  <c r="K293" i="57" s="1"/>
  <c r="L292" i="57"/>
  <c r="K292" i="57" s="1"/>
  <c r="L291" i="57"/>
  <c r="K291" i="57" s="1"/>
  <c r="L242" i="57"/>
  <c r="I242" i="57" s="1"/>
  <c r="L243" i="57"/>
  <c r="I243" i="57" s="1"/>
  <c r="L244" i="57"/>
  <c r="I244" i="57" s="1"/>
  <c r="L245" i="57"/>
  <c r="I245" i="57" s="1"/>
  <c r="L246" i="57"/>
  <c r="I246" i="57" s="1"/>
  <c r="L247" i="57"/>
  <c r="K247" i="57" s="1"/>
  <c r="L248" i="57"/>
  <c r="I248" i="57" s="1"/>
  <c r="L249" i="57"/>
  <c r="K249" i="57" s="1"/>
  <c r="L250" i="57"/>
  <c r="L251" i="57"/>
  <c r="I251" i="57" s="1"/>
  <c r="L252" i="57"/>
  <c r="I252" i="57" s="1"/>
  <c r="L253" i="57"/>
  <c r="K253" i="57" s="1"/>
  <c r="L254" i="57"/>
  <c r="K254" i="57" s="1"/>
  <c r="L255" i="57"/>
  <c r="I255" i="57" s="1"/>
  <c r="L256" i="57"/>
  <c r="I256" i="57" s="1"/>
  <c r="L257" i="57"/>
  <c r="I257" i="57" s="1"/>
  <c r="L258" i="57"/>
  <c r="I258" i="57" s="1"/>
  <c r="L259" i="57"/>
  <c r="I259" i="57" s="1"/>
  <c r="L260" i="57"/>
  <c r="K260" i="57" s="1"/>
  <c r="L261" i="57"/>
  <c r="K261" i="57" s="1"/>
  <c r="L262" i="57"/>
  <c r="L241" i="57"/>
  <c r="I241" i="57" s="1"/>
  <c r="K242" i="57"/>
  <c r="K243" i="57"/>
  <c r="K244" i="57"/>
  <c r="K245" i="57"/>
  <c r="K246" i="57"/>
  <c r="K250" i="57"/>
  <c r="K251" i="57"/>
  <c r="K252" i="57"/>
  <c r="K255" i="57"/>
  <c r="K256" i="57"/>
  <c r="K257" i="57"/>
  <c r="K258" i="57"/>
  <c r="K259" i="57"/>
  <c r="K262" i="57"/>
  <c r="I250" i="57"/>
  <c r="I262" i="57"/>
  <c r="K236" i="57"/>
  <c r="L187" i="57"/>
  <c r="I187" i="57" s="1"/>
  <c r="L188" i="57"/>
  <c r="I188" i="57" s="1"/>
  <c r="L189" i="57"/>
  <c r="I189" i="57" s="1"/>
  <c r="L190" i="57"/>
  <c r="I190" i="57" s="1"/>
  <c r="L191" i="57"/>
  <c r="I191" i="57" s="1"/>
  <c r="L192" i="57"/>
  <c r="I192" i="57" s="1"/>
  <c r="L193" i="57"/>
  <c r="K193" i="57" s="1"/>
  <c r="L194" i="57"/>
  <c r="K194" i="57" s="1"/>
  <c r="L195" i="57"/>
  <c r="L196" i="57"/>
  <c r="L197" i="57"/>
  <c r="L198" i="57"/>
  <c r="L199" i="57"/>
  <c r="I199" i="57" s="1"/>
  <c r="L200" i="57"/>
  <c r="K200" i="57" s="1"/>
  <c r="L201" i="57"/>
  <c r="K201" i="57" s="1"/>
  <c r="L202" i="57"/>
  <c r="K202" i="57" s="1"/>
  <c r="L203" i="57"/>
  <c r="K203" i="57" s="1"/>
  <c r="L204" i="57"/>
  <c r="K204" i="57" s="1"/>
  <c r="L205" i="57"/>
  <c r="K205" i="57" s="1"/>
  <c r="L206" i="57"/>
  <c r="K206" i="57" s="1"/>
  <c r="L207" i="57"/>
  <c r="L186" i="57"/>
  <c r="K186" i="57" s="1"/>
  <c r="L185" i="57"/>
  <c r="K185" i="57" s="1"/>
  <c r="L184" i="57"/>
  <c r="K184" i="57" s="1"/>
  <c r="L183" i="57"/>
  <c r="L182" i="57"/>
  <c r="L181" i="57"/>
  <c r="K187" i="57"/>
  <c r="K188" i="57"/>
  <c r="K189" i="57"/>
  <c r="K190" i="57"/>
  <c r="K191" i="57"/>
  <c r="K192" i="57"/>
  <c r="K196" i="57"/>
  <c r="K197" i="57"/>
  <c r="K198" i="57"/>
  <c r="K199" i="57"/>
  <c r="K207" i="57"/>
  <c r="I194" i="57"/>
  <c r="I196" i="57"/>
  <c r="I197" i="57"/>
  <c r="I198" i="57"/>
  <c r="I207" i="57"/>
  <c r="I186" i="57"/>
  <c r="K183" i="57"/>
  <c r="K182" i="57"/>
  <c r="K181" i="57"/>
  <c r="K130" i="57"/>
  <c r="K129" i="57"/>
  <c r="K128" i="57"/>
  <c r="K139" i="57"/>
  <c r="K150" i="57"/>
  <c r="K152" i="57"/>
  <c r="K131" i="57"/>
  <c r="I132" i="57"/>
  <c r="I133" i="57"/>
  <c r="I134" i="57"/>
  <c r="I148" i="57"/>
  <c r="I149" i="57"/>
  <c r="I150" i="57"/>
  <c r="I152" i="57"/>
  <c r="K126" i="57"/>
  <c r="K72" i="57"/>
  <c r="K74" i="57"/>
  <c r="L132" i="57"/>
  <c r="K132" i="57" s="1"/>
  <c r="L133" i="57"/>
  <c r="K133" i="57" s="1"/>
  <c r="L134" i="57"/>
  <c r="K134" i="57" s="1"/>
  <c r="L135" i="57"/>
  <c r="I135" i="57" s="1"/>
  <c r="L136" i="57"/>
  <c r="I136" i="57" s="1"/>
  <c r="L137" i="57"/>
  <c r="K137" i="57" s="1"/>
  <c r="L138" i="57"/>
  <c r="I138" i="57" s="1"/>
  <c r="L139" i="57"/>
  <c r="I139" i="57" s="1"/>
  <c r="L140" i="57"/>
  <c r="K140" i="57" s="1"/>
  <c r="L141" i="57"/>
  <c r="K141" i="57" s="1"/>
  <c r="L142" i="57"/>
  <c r="K142" i="57" s="1"/>
  <c r="L143" i="57"/>
  <c r="L144" i="57"/>
  <c r="L145" i="57"/>
  <c r="L146" i="57"/>
  <c r="L147" i="57"/>
  <c r="L148" i="57"/>
  <c r="K148" i="57" s="1"/>
  <c r="L149" i="57"/>
  <c r="K149" i="57" s="1"/>
  <c r="L150" i="57"/>
  <c r="L151" i="57"/>
  <c r="K151" i="57" s="1"/>
  <c r="L152" i="57"/>
  <c r="L131" i="57"/>
  <c r="I131" i="57" s="1"/>
  <c r="L130" i="57"/>
  <c r="L129" i="57"/>
  <c r="L128" i="57"/>
  <c r="L127" i="57"/>
  <c r="K127" i="57" s="1"/>
  <c r="L126" i="57"/>
  <c r="L79" i="57"/>
  <c r="L80" i="57"/>
  <c r="L81" i="57"/>
  <c r="L82" i="57"/>
  <c r="L83" i="57"/>
  <c r="L84" i="57"/>
  <c r="L85" i="57"/>
  <c r="K85" i="57" s="1"/>
  <c r="L86" i="57"/>
  <c r="K86" i="57" s="1"/>
  <c r="L87" i="57"/>
  <c r="L88" i="57"/>
  <c r="L89" i="57"/>
  <c r="L90" i="57"/>
  <c r="L91" i="57"/>
  <c r="K91" i="57" s="1"/>
  <c r="L92" i="57"/>
  <c r="K92" i="57" s="1"/>
  <c r="L93" i="57"/>
  <c r="K93" i="57" s="1"/>
  <c r="L94" i="57"/>
  <c r="K94" i="57" s="1"/>
  <c r="L95" i="57"/>
  <c r="K95" i="57" s="1"/>
  <c r="L96" i="57"/>
  <c r="K96" i="57" s="1"/>
  <c r="L97" i="57"/>
  <c r="K97" i="57"/>
  <c r="I91" i="57"/>
  <c r="L78" i="57"/>
  <c r="L77" i="57"/>
  <c r="K80" i="57"/>
  <c r="K81" i="57"/>
  <c r="K82" i="57"/>
  <c r="K83" i="57"/>
  <c r="K84" i="57"/>
  <c r="K79" i="57"/>
  <c r="K78" i="57"/>
  <c r="K77" i="57"/>
  <c r="K75" i="57"/>
  <c r="I78" i="57"/>
  <c r="I79" i="57"/>
  <c r="I80" i="57"/>
  <c r="I81" i="57"/>
  <c r="I82" i="57"/>
  <c r="I83" i="57"/>
  <c r="I84" i="57"/>
  <c r="I77" i="57"/>
  <c r="L76" i="57"/>
  <c r="K76" i="57" s="1"/>
  <c r="L75" i="57"/>
  <c r="L74" i="57"/>
  <c r="L73" i="57"/>
  <c r="K73" i="57" s="1"/>
  <c r="L72" i="57"/>
  <c r="C3" i="4"/>
  <c r="B45" i="79"/>
  <c r="B39" i="79"/>
  <c r="M101" i="57"/>
  <c r="M156" i="57" s="1"/>
  <c r="M211" i="57" s="1"/>
  <c r="M266" i="57" s="1"/>
  <c r="M321" i="57" s="1"/>
  <c r="M376" i="57" s="1"/>
  <c r="M431" i="57" s="1"/>
  <c r="M486" i="57" s="1"/>
  <c r="M541" i="57" s="1"/>
  <c r="M596" i="57" s="1"/>
  <c r="M651" i="57" s="1"/>
  <c r="M706" i="57" s="1"/>
  <c r="M761" i="57" s="1"/>
  <c r="M816" i="57" s="1"/>
  <c r="M871" i="57" s="1"/>
  <c r="M926" i="57" s="1"/>
  <c r="M981" i="57" s="1"/>
  <c r="M1036" i="57" s="1"/>
  <c r="M1091" i="57" s="1"/>
  <c r="M1146" i="57" s="1"/>
  <c r="M1201" i="57" s="1"/>
  <c r="M1256" i="57" s="1"/>
  <c r="M1311" i="57" s="1"/>
  <c r="M1366" i="57" s="1"/>
  <c r="M1421" i="57" s="1"/>
  <c r="M1476" i="57" s="1"/>
  <c r="M1531" i="57" s="1"/>
  <c r="M1586" i="57" s="1"/>
  <c r="M1640" i="57" s="1"/>
  <c r="H104" i="57"/>
  <c r="H105" i="57"/>
  <c r="H106" i="57" s="1"/>
  <c r="H107" i="57" s="1"/>
  <c r="H108" i="57" s="1"/>
  <c r="H51" i="57"/>
  <c r="H52" i="57" s="1"/>
  <c r="H53" i="57" s="1"/>
  <c r="H54" i="57" s="1"/>
  <c r="A1" i="71"/>
  <c r="E44" i="13"/>
  <c r="F8" i="13"/>
  <c r="D8" i="13"/>
  <c r="K7" i="74"/>
  <c r="B1" i="74"/>
  <c r="O237" i="81"/>
  <c r="N237" i="81"/>
  <c r="M237" i="81"/>
  <c r="I237" i="81"/>
  <c r="H237" i="81"/>
  <c r="D237" i="81"/>
  <c r="E237" i="81" s="1"/>
  <c r="L236" i="81"/>
  <c r="O192" i="81"/>
  <c r="N192" i="81"/>
  <c r="M192" i="81"/>
  <c r="I192" i="81"/>
  <c r="H192" i="81"/>
  <c r="E192" i="81"/>
  <c r="D192" i="81"/>
  <c r="L191" i="81"/>
  <c r="O147" i="81"/>
  <c r="N147" i="81"/>
  <c r="M147" i="81"/>
  <c r="I147" i="81"/>
  <c r="H147" i="81"/>
  <c r="E147" i="81"/>
  <c r="D147" i="81"/>
  <c r="L146" i="81"/>
  <c r="O102" i="81"/>
  <c r="N102" i="81"/>
  <c r="M102" i="81"/>
  <c r="I102" i="81"/>
  <c r="H102" i="81"/>
  <c r="E102" i="81"/>
  <c r="D102" i="81"/>
  <c r="L101" i="81"/>
  <c r="O57" i="81"/>
  <c r="N57" i="81"/>
  <c r="M57" i="81"/>
  <c r="I57" i="81"/>
  <c r="H57" i="81"/>
  <c r="E57" i="81"/>
  <c r="D57" i="81"/>
  <c r="N12" i="81"/>
  <c r="E12" i="81"/>
  <c r="L11" i="81"/>
  <c r="O237" i="80"/>
  <c r="N237" i="80"/>
  <c r="M237" i="80"/>
  <c r="I237" i="80"/>
  <c r="H237" i="80"/>
  <c r="E237" i="80"/>
  <c r="D237" i="80"/>
  <c r="L236" i="80"/>
  <c r="O192" i="80"/>
  <c r="N192" i="80"/>
  <c r="M192" i="80"/>
  <c r="I192" i="80"/>
  <c r="H192" i="80"/>
  <c r="D192" i="80"/>
  <c r="E192" i="80" s="1"/>
  <c r="L191" i="80"/>
  <c r="O147" i="80"/>
  <c r="N147" i="80"/>
  <c r="M147" i="80"/>
  <c r="I147" i="80"/>
  <c r="H147" i="80"/>
  <c r="E147" i="80"/>
  <c r="D147" i="80"/>
  <c r="L146" i="80"/>
  <c r="O102" i="80"/>
  <c r="N102" i="80"/>
  <c r="M102" i="80"/>
  <c r="I102" i="80"/>
  <c r="H102" i="80"/>
  <c r="D102" i="80"/>
  <c r="E102" i="80" s="1"/>
  <c r="L101" i="80"/>
  <c r="O57" i="80"/>
  <c r="N57" i="80"/>
  <c r="M57" i="80"/>
  <c r="I57" i="80"/>
  <c r="H57" i="80"/>
  <c r="E57" i="80"/>
  <c r="D57" i="80"/>
  <c r="N12" i="80"/>
  <c r="E12" i="80"/>
  <c r="L11" i="80"/>
  <c r="B7" i="80"/>
  <c r="O237" i="44"/>
  <c r="N237" i="44"/>
  <c r="M237" i="44"/>
  <c r="I237" i="44"/>
  <c r="H237" i="44"/>
  <c r="E237" i="44"/>
  <c r="D237" i="44"/>
  <c r="D192" i="44"/>
  <c r="E192" i="44"/>
  <c r="H192" i="44"/>
  <c r="I192" i="44"/>
  <c r="M192" i="44"/>
  <c r="N192" i="44"/>
  <c r="O192" i="44"/>
  <c r="O147" i="44"/>
  <c r="N147" i="44"/>
  <c r="M147" i="44"/>
  <c r="I57" i="44"/>
  <c r="I147" i="44"/>
  <c r="H147" i="44"/>
  <c r="E147" i="44"/>
  <c r="D147" i="44"/>
  <c r="D102" i="44"/>
  <c r="E102" i="44"/>
  <c r="H102" i="44"/>
  <c r="I102" i="44"/>
  <c r="M102" i="44"/>
  <c r="N102" i="44"/>
  <c r="O102" i="44"/>
  <c r="O57" i="44"/>
  <c r="N57" i="44"/>
  <c r="M57" i="44"/>
  <c r="H57" i="44"/>
  <c r="E57" i="44"/>
  <c r="D57" i="44"/>
  <c r="N12" i="44"/>
  <c r="E12" i="44"/>
  <c r="D47" i="10"/>
  <c r="D46" i="10"/>
  <c r="C8" i="28"/>
  <c r="C7" i="28"/>
  <c r="G7" i="28"/>
  <c r="F55" i="37"/>
  <c r="E17" i="82"/>
  <c r="E20" i="82"/>
  <c r="J147" i="43"/>
  <c r="H147" i="43"/>
  <c r="F147" i="43"/>
  <c r="D147" i="43"/>
  <c r="B147" i="43"/>
  <c r="B102" i="43"/>
  <c r="D102" i="43"/>
  <c r="F102" i="43"/>
  <c r="H102" i="43"/>
  <c r="J102" i="43"/>
  <c r="J57" i="43"/>
  <c r="H57" i="43"/>
  <c r="F57" i="43"/>
  <c r="D57" i="43"/>
  <c r="B57" i="43"/>
  <c r="J12" i="43"/>
  <c r="H12" i="43"/>
  <c r="F12" i="43"/>
  <c r="D12" i="43"/>
  <c r="F144" i="43"/>
  <c r="C144" i="43"/>
  <c r="F99" i="43"/>
  <c r="C99" i="43"/>
  <c r="F54" i="43"/>
  <c r="C54" i="43"/>
  <c r="D243" i="49"/>
  <c r="E243" i="49"/>
  <c r="F243" i="49"/>
  <c r="J243" i="49"/>
  <c r="K243" i="49"/>
  <c r="L243" i="49"/>
  <c r="L184" i="49"/>
  <c r="K184" i="49"/>
  <c r="J184" i="49"/>
  <c r="F184" i="49"/>
  <c r="E184" i="49"/>
  <c r="D184" i="49"/>
  <c r="D125" i="49"/>
  <c r="E125" i="49"/>
  <c r="F125" i="49"/>
  <c r="J125" i="49"/>
  <c r="K125" i="49"/>
  <c r="L125" i="49"/>
  <c r="L66" i="49"/>
  <c r="K66" i="49"/>
  <c r="J66" i="49"/>
  <c r="F66" i="49"/>
  <c r="E66" i="49"/>
  <c r="D66" i="49"/>
  <c r="D21" i="49"/>
  <c r="E21" i="49"/>
  <c r="F21" i="49"/>
  <c r="L21" i="49"/>
  <c r="K21" i="49"/>
  <c r="D39" i="45"/>
  <c r="D50" i="45" s="1"/>
  <c r="N39" i="45"/>
  <c r="X39" i="45" s="1"/>
  <c r="S8" i="45"/>
  <c r="AC8" i="45" s="1"/>
  <c r="S24" i="45"/>
  <c r="AC24" i="45" s="1"/>
  <c r="I24" i="45"/>
  <c r="G50" i="45" s="1"/>
  <c r="J82" i="6"/>
  <c r="H69" i="6"/>
  <c r="I68" i="6"/>
  <c r="I76" i="6"/>
  <c r="E80" i="6"/>
  <c r="H79" i="6"/>
  <c r="H71" i="6"/>
  <c r="H68" i="6"/>
  <c r="D73" i="6"/>
  <c r="E6" i="82"/>
  <c r="E3" i="82"/>
  <c r="E2" i="82"/>
  <c r="L43" i="57"/>
  <c r="L33" i="57"/>
  <c r="L34" i="57"/>
  <c r="L35" i="57"/>
  <c r="L36" i="57"/>
  <c r="L37" i="57"/>
  <c r="L38" i="57"/>
  <c r="L39" i="57"/>
  <c r="L40" i="57"/>
  <c r="L41" i="57"/>
  <c r="L42" i="57"/>
  <c r="L25" i="57"/>
  <c r="L26" i="57"/>
  <c r="L27" i="57"/>
  <c r="L28" i="57"/>
  <c r="L29" i="57"/>
  <c r="L30" i="57"/>
  <c r="L31" i="57"/>
  <c r="L32" i="57"/>
  <c r="L23" i="57"/>
  <c r="L24" i="57"/>
  <c r="L22" i="57"/>
  <c r="K43" i="57"/>
  <c r="K40" i="57"/>
  <c r="K41" i="57"/>
  <c r="K42" i="57"/>
  <c r="K23" i="57"/>
  <c r="K24" i="57"/>
  <c r="K25" i="57"/>
  <c r="K26" i="57"/>
  <c r="K28" i="57"/>
  <c r="K29" i="57"/>
  <c r="K30" i="57"/>
  <c r="L21" i="57"/>
  <c r="L20" i="57"/>
  <c r="L19" i="57"/>
  <c r="L18" i="57"/>
  <c r="L17" i="57"/>
  <c r="I37" i="57"/>
  <c r="I25" i="57"/>
  <c r="K20" i="57"/>
  <c r="K19" i="57"/>
  <c r="K17" i="57"/>
  <c r="A69" i="40"/>
  <c r="A147" i="40" s="1"/>
  <c r="A225" i="40" s="1"/>
  <c r="A70" i="40"/>
  <c r="A71" i="40"/>
  <c r="A149" i="40" s="1"/>
  <c r="A227" i="40" s="1"/>
  <c r="A72" i="40"/>
  <c r="A150" i="40" s="1"/>
  <c r="A228" i="40" s="1"/>
  <c r="A73" i="40"/>
  <c r="A68" i="40"/>
  <c r="A146" i="40" s="1"/>
  <c r="A224" i="40" s="1"/>
  <c r="A61" i="40"/>
  <c r="A139" i="40" s="1"/>
  <c r="A217" i="40" s="1"/>
  <c r="A62" i="40"/>
  <c r="A140" i="40" s="1"/>
  <c r="A218" i="40" s="1"/>
  <c r="A63" i="40"/>
  <c r="A64" i="40"/>
  <c r="A65" i="40"/>
  <c r="A66" i="40"/>
  <c r="A144" i="40" s="1"/>
  <c r="A222" i="40" s="1"/>
  <c r="A60" i="40"/>
  <c r="A54" i="40"/>
  <c r="A132" i="40" s="1"/>
  <c r="A210" i="40" s="1"/>
  <c r="A55" i="40"/>
  <c r="A133" i="40" s="1"/>
  <c r="A211" i="40" s="1"/>
  <c r="A56" i="40"/>
  <c r="A134" i="40" s="1"/>
  <c r="A212" i="40" s="1"/>
  <c r="A57" i="40"/>
  <c r="A135" i="40" s="1"/>
  <c r="A213" i="40" s="1"/>
  <c r="A58" i="40"/>
  <c r="A136" i="40" s="1"/>
  <c r="A214" i="40" s="1"/>
  <c r="A53" i="40"/>
  <c r="K18" i="57" s="1"/>
  <c r="A41" i="40"/>
  <c r="A119" i="40" s="1"/>
  <c r="A197" i="40" s="1"/>
  <c r="A42" i="40"/>
  <c r="A120" i="40" s="1"/>
  <c r="A198" i="40" s="1"/>
  <c r="A43" i="40"/>
  <c r="A44" i="40"/>
  <c r="A122" i="40" s="1"/>
  <c r="A200" i="40" s="1"/>
  <c r="A45" i="40"/>
  <c r="A123" i="40" s="1"/>
  <c r="A201" i="40" s="1"/>
  <c r="A46" i="40"/>
  <c r="A124" i="40" s="1"/>
  <c r="A202" i="40" s="1"/>
  <c r="A47" i="40"/>
  <c r="A125" i="40" s="1"/>
  <c r="A203" i="40" s="1"/>
  <c r="A48" i="40"/>
  <c r="A126" i="40" s="1"/>
  <c r="A204" i="40" s="1"/>
  <c r="A49" i="40"/>
  <c r="A127" i="40" s="1"/>
  <c r="A205" i="40" s="1"/>
  <c r="A50" i="40"/>
  <c r="A51" i="40"/>
  <c r="A40" i="40"/>
  <c r="A19" i="40"/>
  <c r="A20" i="40"/>
  <c r="A98" i="40" s="1"/>
  <c r="A176" i="40" s="1"/>
  <c r="A21" i="40"/>
  <c r="A22" i="40"/>
  <c r="A23" i="40"/>
  <c r="K27" i="57" s="1"/>
  <c r="A24" i="40"/>
  <c r="A25" i="40"/>
  <c r="A103" i="40" s="1"/>
  <c r="A181" i="40" s="1"/>
  <c r="A26" i="40"/>
  <c r="A104" i="40" s="1"/>
  <c r="A182" i="40" s="1"/>
  <c r="A27" i="40"/>
  <c r="A105" i="40" s="1"/>
  <c r="A183" i="40" s="1"/>
  <c r="A28" i="40"/>
  <c r="A106" i="40" s="1"/>
  <c r="A184" i="40" s="1"/>
  <c r="A29" i="40"/>
  <c r="K33" i="57" s="1"/>
  <c r="A30" i="40"/>
  <c r="A108" i="40" s="1"/>
  <c r="A186" i="40" s="1"/>
  <c r="A31" i="40"/>
  <c r="A109" i="40" s="1"/>
  <c r="A187" i="40" s="1"/>
  <c r="A32" i="40"/>
  <c r="A110" i="40" s="1"/>
  <c r="A188" i="40" s="1"/>
  <c r="A33" i="40"/>
  <c r="A111" i="40" s="1"/>
  <c r="A189" i="40" s="1"/>
  <c r="A34" i="40"/>
  <c r="A112" i="40" s="1"/>
  <c r="A190" i="40" s="1"/>
  <c r="A35" i="40"/>
  <c r="K39" i="57" s="1"/>
  <c r="A36" i="40"/>
  <c r="A114" i="40" s="1"/>
  <c r="A192" i="40" s="1"/>
  <c r="A37" i="40"/>
  <c r="A115" i="40" s="1"/>
  <c r="A193" i="40" s="1"/>
  <c r="A38" i="40"/>
  <c r="A116" i="40" s="1"/>
  <c r="A194" i="40" s="1"/>
  <c r="A18" i="40"/>
  <c r="K22" i="57" s="1"/>
  <c r="A8" i="40"/>
  <c r="A86" i="40" s="1"/>
  <c r="A164" i="40" s="1"/>
  <c r="A9" i="40"/>
  <c r="A10" i="40"/>
  <c r="A11" i="40"/>
  <c r="A89" i="40" s="1"/>
  <c r="A167" i="40" s="1"/>
  <c r="A12" i="40"/>
  <c r="A90" i="40" s="1"/>
  <c r="A168" i="40" s="1"/>
  <c r="A13" i="40"/>
  <c r="A91" i="40" s="1"/>
  <c r="A169" i="40" s="1"/>
  <c r="A14" i="40"/>
  <c r="A15" i="40"/>
  <c r="A93" i="40" s="1"/>
  <c r="A171" i="40" s="1"/>
  <c r="G83" i="73"/>
  <c r="B69" i="40"/>
  <c r="B70" i="40"/>
  <c r="B71" i="40"/>
  <c r="B72" i="40"/>
  <c r="B150" i="40" s="1"/>
  <c r="B228" i="40" s="1"/>
  <c r="B73" i="40"/>
  <c r="B68" i="40"/>
  <c r="B61" i="40"/>
  <c r="B139" i="40" s="1"/>
  <c r="B62" i="40"/>
  <c r="B218" i="40" s="1"/>
  <c r="B63" i="40"/>
  <c r="B141" i="40" s="1"/>
  <c r="B64" i="40"/>
  <c r="B220" i="40" s="1"/>
  <c r="B65" i="40"/>
  <c r="B66" i="40"/>
  <c r="B144" i="40" s="1"/>
  <c r="B222" i="40" s="1"/>
  <c r="B60" i="40"/>
  <c r="B54" i="40"/>
  <c r="B132" i="40" s="1"/>
  <c r="B210" i="40" s="1"/>
  <c r="B55" i="40"/>
  <c r="B56" i="40"/>
  <c r="B134" i="40" s="1"/>
  <c r="B212" i="40" s="1"/>
  <c r="B57" i="40"/>
  <c r="B135" i="40" s="1"/>
  <c r="B213" i="40" s="1"/>
  <c r="B58" i="40"/>
  <c r="B53" i="40"/>
  <c r="H73" i="73"/>
  <c r="H74" i="73"/>
  <c r="H75" i="73"/>
  <c r="H76" i="73"/>
  <c r="H77" i="73"/>
  <c r="H78" i="73"/>
  <c r="G79" i="73"/>
  <c r="G65" i="73"/>
  <c r="H51" i="73"/>
  <c r="H52" i="73"/>
  <c r="H53" i="73"/>
  <c r="H54" i="73"/>
  <c r="H55" i="73"/>
  <c r="H56" i="73"/>
  <c r="H57" i="73"/>
  <c r="H58" i="73"/>
  <c r="H59" i="73"/>
  <c r="H60" i="73"/>
  <c r="H61" i="73"/>
  <c r="H62" i="73"/>
  <c r="H63" i="73"/>
  <c r="H64" i="73"/>
  <c r="B60" i="73"/>
  <c r="B61" i="73"/>
  <c r="B62" i="73"/>
  <c r="B63" i="73"/>
  <c r="B59" i="73"/>
  <c r="B64" i="73"/>
  <c r="A59" i="73"/>
  <c r="A60" i="73"/>
  <c r="A61" i="73"/>
  <c r="A62" i="73"/>
  <c r="A63" i="73"/>
  <c r="B58" i="73"/>
  <c r="A58" i="73"/>
  <c r="A77" i="73"/>
  <c r="A78" i="73"/>
  <c r="A71" i="73"/>
  <c r="A51" i="23" s="1"/>
  <c r="A72" i="73"/>
  <c r="A73" i="73"/>
  <c r="A74" i="73"/>
  <c r="A75" i="73"/>
  <c r="A76" i="73"/>
  <c r="A70" i="73"/>
  <c r="A46" i="23" s="1"/>
  <c r="C33" i="23"/>
  <c r="A64" i="73"/>
  <c r="A40" i="23" s="1"/>
  <c r="B51" i="73"/>
  <c r="B52" i="73"/>
  <c r="B53" i="73"/>
  <c r="B54" i="73"/>
  <c r="B55" i="73"/>
  <c r="B56" i="73"/>
  <c r="B57" i="73"/>
  <c r="A51" i="73"/>
  <c r="A52" i="73"/>
  <c r="A53" i="73"/>
  <c r="A54" i="73"/>
  <c r="A55" i="73"/>
  <c r="A56" i="73"/>
  <c r="A57" i="73"/>
  <c r="H44" i="73"/>
  <c r="H43" i="73"/>
  <c r="H42" i="73"/>
  <c r="H41" i="73"/>
  <c r="H40" i="73"/>
  <c r="H39" i="73"/>
  <c r="H38" i="73"/>
  <c r="H37" i="73"/>
  <c r="H36" i="73"/>
  <c r="H35" i="73"/>
  <c r="H34" i="73"/>
  <c r="H33" i="73"/>
  <c r="B35" i="73"/>
  <c r="B36" i="73"/>
  <c r="B37" i="73"/>
  <c r="B38" i="73"/>
  <c r="B39" i="73"/>
  <c r="B40" i="73"/>
  <c r="B41" i="73"/>
  <c r="B42" i="73"/>
  <c r="B43" i="73"/>
  <c r="B44" i="73"/>
  <c r="B33" i="73"/>
  <c r="B34" i="73"/>
  <c r="A46" i="73"/>
  <c r="A35" i="23" s="1"/>
  <c r="A47" i="73"/>
  <c r="A29" i="23" s="1"/>
  <c r="A48" i="73"/>
  <c r="A30" i="23" s="1"/>
  <c r="A49" i="73"/>
  <c r="A38" i="23" s="1"/>
  <c r="A50" i="73"/>
  <c r="A39" i="23" s="1"/>
  <c r="A34" i="73"/>
  <c r="A35" i="73"/>
  <c r="A36" i="73"/>
  <c r="A37" i="73"/>
  <c r="A38" i="73"/>
  <c r="A39" i="73"/>
  <c r="A40" i="73"/>
  <c r="A41" i="73"/>
  <c r="A42" i="73"/>
  <c r="A43" i="73"/>
  <c r="A44" i="73"/>
  <c r="A45" i="73"/>
  <c r="A27" i="23" s="1"/>
  <c r="A33" i="73"/>
  <c r="B41" i="40"/>
  <c r="B119" i="40" s="1"/>
  <c r="B197" i="40" s="1"/>
  <c r="B42" i="40"/>
  <c r="B120" i="40" s="1"/>
  <c r="B198" i="40" s="1"/>
  <c r="B43" i="40"/>
  <c r="B121" i="40" s="1"/>
  <c r="B199" i="40" s="1"/>
  <c r="B44" i="40"/>
  <c r="B122" i="40" s="1"/>
  <c r="B200" i="40" s="1"/>
  <c r="B45" i="40"/>
  <c r="B123" i="40" s="1"/>
  <c r="B201" i="40" s="1"/>
  <c r="B46" i="40"/>
  <c r="B124" i="40" s="1"/>
  <c r="B202" i="40" s="1"/>
  <c r="B47" i="40"/>
  <c r="B125" i="40" s="1"/>
  <c r="B203" i="40" s="1"/>
  <c r="B48" i="40"/>
  <c r="B126" i="40" s="1"/>
  <c r="B204" i="40" s="1"/>
  <c r="B49" i="40"/>
  <c r="B127" i="40" s="1"/>
  <c r="B205" i="40" s="1"/>
  <c r="B50" i="40"/>
  <c r="B51" i="40"/>
  <c r="B129" i="40" s="1"/>
  <c r="B207" i="40" s="1"/>
  <c r="B40" i="40"/>
  <c r="B118" i="40" s="1"/>
  <c r="B196" i="40" s="1"/>
  <c r="B45" i="73"/>
  <c r="C27" i="23" s="1"/>
  <c r="B46" i="73"/>
  <c r="C28" i="23" s="1"/>
  <c r="B47" i="73"/>
  <c r="C29" i="23" s="1"/>
  <c r="B48" i="73"/>
  <c r="C30" i="23" s="1"/>
  <c r="B49" i="73"/>
  <c r="C31" i="23" s="1"/>
  <c r="B50" i="73"/>
  <c r="C32" i="23" s="1"/>
  <c r="B24" i="73"/>
  <c r="B32" i="40" s="1"/>
  <c r="B110" i="40" s="1"/>
  <c r="B188" i="40" s="1"/>
  <c r="B25" i="73"/>
  <c r="B33" i="40" s="1"/>
  <c r="B111" i="40" s="1"/>
  <c r="B189" i="40" s="1"/>
  <c r="B26" i="73"/>
  <c r="C20" i="23" s="1"/>
  <c r="B27" i="73"/>
  <c r="B35" i="40" s="1"/>
  <c r="B113" i="40" s="1"/>
  <c r="B191" i="40" s="1"/>
  <c r="B28" i="73"/>
  <c r="C22" i="23" s="1"/>
  <c r="B29" i="73"/>
  <c r="B12" i="73"/>
  <c r="C6" i="23" s="1"/>
  <c r="B13" i="73"/>
  <c r="B21" i="40" s="1"/>
  <c r="B99" i="40" s="1"/>
  <c r="B177" i="40" s="1"/>
  <c r="B14" i="73"/>
  <c r="B22" i="40" s="1"/>
  <c r="B100" i="40" s="1"/>
  <c r="B178" i="40" s="1"/>
  <c r="B15" i="73"/>
  <c r="C9" i="23" s="1"/>
  <c r="B16" i="73"/>
  <c r="C10" i="23" s="1"/>
  <c r="B17" i="73"/>
  <c r="C11" i="23" s="1"/>
  <c r="B18" i="73"/>
  <c r="C12" i="23" s="1"/>
  <c r="B19" i="73"/>
  <c r="C13" i="23" s="1"/>
  <c r="B20" i="73"/>
  <c r="C14" i="23" s="1"/>
  <c r="B21" i="73"/>
  <c r="C15" i="23" s="1"/>
  <c r="B22" i="73"/>
  <c r="C16" i="23" s="1"/>
  <c r="B23" i="73"/>
  <c r="C17" i="23" s="1"/>
  <c r="B11" i="73"/>
  <c r="C5" i="23" s="1"/>
  <c r="A45" i="23"/>
  <c r="A44" i="23"/>
  <c r="A43" i="23"/>
  <c r="B78" i="73"/>
  <c r="C46" i="23" s="1"/>
  <c r="B15" i="40" s="1"/>
  <c r="B93" i="40" s="1"/>
  <c r="B171" i="40" s="1"/>
  <c r="B77" i="73"/>
  <c r="C45" i="23" s="1"/>
  <c r="B14" i="40" s="1"/>
  <c r="B92" i="40" s="1"/>
  <c r="B170" i="40" s="1"/>
  <c r="B76" i="73"/>
  <c r="C44" i="23" s="1"/>
  <c r="B13" i="40" s="1"/>
  <c r="B91" i="40" s="1"/>
  <c r="B169" i="40" s="1"/>
  <c r="B75" i="73"/>
  <c r="C43" i="23" s="1"/>
  <c r="B12" i="40" s="1"/>
  <c r="B90" i="40" s="1"/>
  <c r="B168" i="40" s="1"/>
  <c r="A7" i="40"/>
  <c r="A85" i="40" s="1"/>
  <c r="A163" i="40" s="1"/>
  <c r="B71" i="73"/>
  <c r="C39" i="23" s="1"/>
  <c r="B8" i="40" s="1"/>
  <c r="B86" i="40" s="1"/>
  <c r="B164" i="40" s="1"/>
  <c r="B72" i="73"/>
  <c r="C40" i="23" s="1"/>
  <c r="B9" i="40" s="1"/>
  <c r="B87" i="40" s="1"/>
  <c r="B165" i="40" s="1"/>
  <c r="B73" i="73"/>
  <c r="C41" i="23" s="1"/>
  <c r="B10" i="40" s="1"/>
  <c r="B88" i="40" s="1"/>
  <c r="B166" i="40" s="1"/>
  <c r="B74" i="73"/>
  <c r="C42" i="23" s="1"/>
  <c r="B11" i="40" s="1"/>
  <c r="B70" i="73"/>
  <c r="C38" i="23" s="1"/>
  <c r="B7" i="40" s="1"/>
  <c r="B85" i="40" s="1"/>
  <c r="B163" i="40" s="1"/>
  <c r="B82" i="73"/>
  <c r="C49" i="23" s="1"/>
  <c r="A82" i="73"/>
  <c r="A50" i="23"/>
  <c r="A49" i="23"/>
  <c r="A48" i="23"/>
  <c r="A47" i="23"/>
  <c r="A42" i="23"/>
  <c r="A41" i="23"/>
  <c r="B30" i="73"/>
  <c r="C24" i="23" s="1"/>
  <c r="B31" i="73"/>
  <c r="C25" i="23" s="1"/>
  <c r="B32" i="73"/>
  <c r="C26" i="23" s="1"/>
  <c r="H48" i="73"/>
  <c r="H47" i="73"/>
  <c r="H46" i="73"/>
  <c r="H45" i="73"/>
  <c r="A11" i="73"/>
  <c r="A5" i="23" s="1"/>
  <c r="A12" i="73"/>
  <c r="A6" i="23" s="1"/>
  <c r="A13" i="73"/>
  <c r="A7" i="23" s="1"/>
  <c r="A14" i="73"/>
  <c r="A8" i="23" s="1"/>
  <c r="A15" i="73"/>
  <c r="A9" i="23" s="1"/>
  <c r="A16" i="73"/>
  <c r="A10" i="23" s="1"/>
  <c r="A17" i="73"/>
  <c r="A11" i="23" s="1"/>
  <c r="A18" i="73"/>
  <c r="A12" i="23" s="1"/>
  <c r="A19" i="73"/>
  <c r="A13" i="23" s="1"/>
  <c r="A20" i="73"/>
  <c r="A14" i="23" s="1"/>
  <c r="A21" i="73"/>
  <c r="A15" i="23" s="1"/>
  <c r="A22" i="73"/>
  <c r="A16" i="23" s="1"/>
  <c r="A23" i="73"/>
  <c r="A17" i="23" s="1"/>
  <c r="A24" i="73"/>
  <c r="A18" i="23" s="1"/>
  <c r="A25" i="73"/>
  <c r="A19" i="23" s="1"/>
  <c r="A26" i="73"/>
  <c r="A20" i="23" s="1"/>
  <c r="A27" i="73"/>
  <c r="A21" i="23" s="1"/>
  <c r="A28" i="73"/>
  <c r="A22" i="23" s="1"/>
  <c r="A29" i="73"/>
  <c r="A23" i="23" s="1"/>
  <c r="A30" i="73"/>
  <c r="A24" i="23" s="1"/>
  <c r="A31" i="73"/>
  <c r="A25" i="23" s="1"/>
  <c r="A32" i="73"/>
  <c r="A26" i="23" s="1"/>
  <c r="A10" i="73"/>
  <c r="A4" i="23" s="1"/>
  <c r="B10" i="73"/>
  <c r="C4" i="23" s="1"/>
  <c r="A1" i="73"/>
  <c r="B2" i="81"/>
  <c r="Q4" i="81"/>
  <c r="Q49" i="81"/>
  <c r="C53" i="81"/>
  <c r="T49" i="81"/>
  <c r="T4" i="81"/>
  <c r="C6" i="4"/>
  <c r="C21" i="4"/>
  <c r="K8" i="81"/>
  <c r="K53" i="81"/>
  <c r="K98" i="81"/>
  <c r="K143" i="81"/>
  <c r="K188" i="81"/>
  <c r="K233" i="81"/>
  <c r="P8" i="81"/>
  <c r="C32" i="4"/>
  <c r="K9" i="81"/>
  <c r="K54" i="81"/>
  <c r="K99" i="81"/>
  <c r="K144" i="81"/>
  <c r="K189" i="81"/>
  <c r="K234" i="81"/>
  <c r="C33" i="4"/>
  <c r="M9" i="81"/>
  <c r="M54" i="81"/>
  <c r="M99" i="81"/>
  <c r="M144" i="81"/>
  <c r="M189" i="81"/>
  <c r="M234" i="81"/>
  <c r="C34" i="4"/>
  <c r="C35" i="4"/>
  <c r="Q9" i="81"/>
  <c r="Q54" i="81"/>
  <c r="Q99" i="81"/>
  <c r="Q144" i="81"/>
  <c r="Q189" i="81"/>
  <c r="Q234" i="81"/>
  <c r="J28" i="41"/>
  <c r="J46" i="41"/>
  <c r="J64" i="41"/>
  <c r="J82" i="41"/>
  <c r="J100" i="41"/>
  <c r="J118" i="41"/>
  <c r="J136" i="41"/>
  <c r="J154" i="41"/>
  <c r="J172" i="41"/>
  <c r="J190" i="41"/>
  <c r="J208" i="41"/>
  <c r="J226" i="41"/>
  <c r="J244" i="41"/>
  <c r="J262" i="41"/>
  <c r="J280" i="41"/>
  <c r="J298" i="41"/>
  <c r="J316" i="41"/>
  <c r="J334" i="41"/>
  <c r="J352" i="41"/>
  <c r="J370" i="41"/>
  <c r="J388" i="41"/>
  <c r="J406" i="41"/>
  <c r="J424" i="41"/>
  <c r="J442" i="41"/>
  <c r="J460" i="41"/>
  <c r="J478" i="41"/>
  <c r="J496" i="41"/>
  <c r="J514" i="41"/>
  <c r="J532" i="41"/>
  <c r="F13" i="81"/>
  <c r="G13" i="81"/>
  <c r="H13" i="81"/>
  <c r="F15" i="81"/>
  <c r="G15" i="81"/>
  <c r="H15" i="81"/>
  <c r="L15" i="81"/>
  <c r="B47" i="81"/>
  <c r="G53" i="81"/>
  <c r="P53" i="81"/>
  <c r="P98" i="81"/>
  <c r="P143" i="81"/>
  <c r="B92" i="81"/>
  <c r="Q94" i="81"/>
  <c r="Q139" i="81"/>
  <c r="C143" i="81"/>
  <c r="T139" i="81"/>
  <c r="T94" i="81"/>
  <c r="F103" i="81"/>
  <c r="G103" i="81"/>
  <c r="H103" i="81"/>
  <c r="B137" i="81"/>
  <c r="B182" i="81"/>
  <c r="B227" i="81"/>
  <c r="G143" i="81"/>
  <c r="Q184" i="81"/>
  <c r="Q229" i="81"/>
  <c r="P188" i="81"/>
  <c r="P233" i="81"/>
  <c r="F193" i="81"/>
  <c r="G193" i="81"/>
  <c r="H193" i="81"/>
  <c r="F195" i="81"/>
  <c r="G195" i="81"/>
  <c r="H195" i="81"/>
  <c r="L195" i="81"/>
  <c r="F197" i="81"/>
  <c r="G197" i="81"/>
  <c r="H197" i="81"/>
  <c r="L197" i="81"/>
  <c r="G233" i="81"/>
  <c r="B2" i="80"/>
  <c r="Q4" i="80"/>
  <c r="Q49" i="80"/>
  <c r="T49" i="80"/>
  <c r="K8" i="80"/>
  <c r="K53" i="80"/>
  <c r="K98" i="80"/>
  <c r="K143" i="80"/>
  <c r="K188" i="80"/>
  <c r="K233" i="80"/>
  <c r="P8" i="80"/>
  <c r="P53" i="80"/>
  <c r="P98" i="80"/>
  <c r="P143" i="80"/>
  <c r="M9" i="80"/>
  <c r="M54" i="80"/>
  <c r="M99" i="80"/>
  <c r="M144" i="80"/>
  <c r="M189" i="80"/>
  <c r="M234" i="80"/>
  <c r="Q9" i="80"/>
  <c r="Q54" i="80"/>
  <c r="Q99" i="80"/>
  <c r="Q144" i="80"/>
  <c r="Q189" i="80"/>
  <c r="Q234" i="80"/>
  <c r="F13" i="80"/>
  <c r="G13" i="80"/>
  <c r="H13" i="80"/>
  <c r="L13" i="80"/>
  <c r="F15" i="80"/>
  <c r="F17" i="80"/>
  <c r="G17" i="80"/>
  <c r="G15" i="80"/>
  <c r="H15" i="80"/>
  <c r="H17" i="80"/>
  <c r="L17" i="80"/>
  <c r="B47" i="80"/>
  <c r="C53" i="80"/>
  <c r="G53" i="80"/>
  <c r="B92" i="80"/>
  <c r="Q94" i="80"/>
  <c r="Q139" i="80"/>
  <c r="F103" i="80"/>
  <c r="G103" i="80"/>
  <c r="H103" i="80"/>
  <c r="F105" i="80"/>
  <c r="G105" i="80"/>
  <c r="H105" i="80"/>
  <c r="L105" i="80"/>
  <c r="F107" i="80"/>
  <c r="B137" i="80"/>
  <c r="B182" i="80"/>
  <c r="B227" i="80"/>
  <c r="G143" i="80"/>
  <c r="Q184" i="80"/>
  <c r="Q229" i="80"/>
  <c r="T229" i="80"/>
  <c r="T184" i="80"/>
  <c r="P188" i="80"/>
  <c r="P233" i="80"/>
  <c r="F193" i="80"/>
  <c r="G193" i="80"/>
  <c r="H193" i="80"/>
  <c r="F195" i="80"/>
  <c r="C233" i="80"/>
  <c r="G233" i="80"/>
  <c r="E2" i="4"/>
  <c r="J8" i="57"/>
  <c r="C11" i="71"/>
  <c r="N31" i="71"/>
  <c r="N32" i="71"/>
  <c r="C43" i="71"/>
  <c r="C5" i="4"/>
  <c r="A183" i="4"/>
  <c r="B1" i="13"/>
  <c r="B37" i="13"/>
  <c r="O3" i="13"/>
  <c r="O39" i="13"/>
  <c r="O42" i="13"/>
  <c r="D5" i="13"/>
  <c r="M12" i="13"/>
  <c r="L12" i="13"/>
  <c r="S12" i="13"/>
  <c r="M13" i="13"/>
  <c r="L13" i="13"/>
  <c r="M14" i="13"/>
  <c r="L14" i="13"/>
  <c r="J14" i="13"/>
  <c r="M15" i="13"/>
  <c r="L15" i="13"/>
  <c r="S15" i="13"/>
  <c r="M16" i="13"/>
  <c r="L16" i="13"/>
  <c r="M17" i="13"/>
  <c r="L17" i="13"/>
  <c r="J17" i="13"/>
  <c r="M18" i="13"/>
  <c r="L18" i="13"/>
  <c r="M19" i="13"/>
  <c r="L19" i="13"/>
  <c r="M20" i="13"/>
  <c r="L20" i="13"/>
  <c r="M21" i="13"/>
  <c r="L21" i="13"/>
  <c r="M22" i="13"/>
  <c r="L22" i="13"/>
  <c r="J22" i="13"/>
  <c r="M23" i="13"/>
  <c r="L23" i="13"/>
  <c r="M24" i="13"/>
  <c r="L24" i="13"/>
  <c r="M25" i="13"/>
  <c r="L25" i="13"/>
  <c r="M26" i="13"/>
  <c r="L26" i="13"/>
  <c r="J26" i="13"/>
  <c r="M27" i="13"/>
  <c r="L27" i="13"/>
  <c r="M28" i="13"/>
  <c r="L28" i="13"/>
  <c r="M29" i="13"/>
  <c r="L29" i="13"/>
  <c r="J29" i="13"/>
  <c r="M30" i="13"/>
  <c r="L30" i="13"/>
  <c r="J30" i="13"/>
  <c r="M31" i="13"/>
  <c r="L31" i="13"/>
  <c r="B12" i="13"/>
  <c r="N12" i="13"/>
  <c r="Q12" i="13"/>
  <c r="R12" i="13"/>
  <c r="B13" i="13"/>
  <c r="N13" i="13"/>
  <c r="Q13" i="13"/>
  <c r="R13" i="13"/>
  <c r="B14" i="13"/>
  <c r="N14" i="13"/>
  <c r="Q14" i="13"/>
  <c r="R14" i="13"/>
  <c r="S14" i="13"/>
  <c r="B15" i="13"/>
  <c r="N15" i="13"/>
  <c r="Q15" i="13"/>
  <c r="R15" i="13"/>
  <c r="B16" i="13"/>
  <c r="N16" i="13"/>
  <c r="Q16" i="13"/>
  <c r="R16" i="13"/>
  <c r="B17" i="13"/>
  <c r="N17" i="13"/>
  <c r="Q17" i="13"/>
  <c r="R17" i="13"/>
  <c r="S17" i="13"/>
  <c r="B18" i="13"/>
  <c r="N18" i="13"/>
  <c r="Q18" i="13"/>
  <c r="R18" i="13"/>
  <c r="B19" i="13"/>
  <c r="N19" i="13"/>
  <c r="Q19" i="13"/>
  <c r="R19" i="13"/>
  <c r="B20" i="13"/>
  <c r="N20" i="13"/>
  <c r="Q20" i="13"/>
  <c r="R20" i="13"/>
  <c r="B21" i="13"/>
  <c r="N21" i="13"/>
  <c r="Q21" i="13"/>
  <c r="R21" i="13"/>
  <c r="B22" i="13"/>
  <c r="N22" i="13"/>
  <c r="Q22" i="13"/>
  <c r="R22" i="13"/>
  <c r="S22" i="13"/>
  <c r="B23" i="13"/>
  <c r="N23" i="13"/>
  <c r="Q23" i="13"/>
  <c r="R23" i="13"/>
  <c r="B24" i="13"/>
  <c r="N24" i="13"/>
  <c r="Q24" i="13"/>
  <c r="R24" i="13"/>
  <c r="B25" i="13"/>
  <c r="N25" i="13"/>
  <c r="Q25" i="13"/>
  <c r="R25" i="13"/>
  <c r="B26" i="13"/>
  <c r="N26" i="13"/>
  <c r="Q26" i="13"/>
  <c r="R26" i="13"/>
  <c r="S26" i="13"/>
  <c r="B27" i="13"/>
  <c r="N27" i="13"/>
  <c r="Q27" i="13"/>
  <c r="R27" i="13"/>
  <c r="B28" i="13"/>
  <c r="N28" i="13"/>
  <c r="Q28" i="13"/>
  <c r="R28" i="13"/>
  <c r="B29" i="13"/>
  <c r="N29" i="13"/>
  <c r="Q29" i="13"/>
  <c r="R29" i="13"/>
  <c r="S29" i="13"/>
  <c r="B30" i="13"/>
  <c r="N30" i="13"/>
  <c r="Q30" i="13"/>
  <c r="R30" i="13"/>
  <c r="S30" i="13"/>
  <c r="B31" i="13"/>
  <c r="N31" i="13"/>
  <c r="Q31" i="13"/>
  <c r="R31" i="13"/>
  <c r="C32" i="13"/>
  <c r="D35" i="13"/>
  <c r="G36" i="13"/>
  <c r="G35" i="13"/>
  <c r="O35" i="13"/>
  <c r="O71" i="13"/>
  <c r="D41" i="13"/>
  <c r="D43" i="13"/>
  <c r="M48" i="13"/>
  <c r="L48" i="13"/>
  <c r="M49" i="13"/>
  <c r="L49" i="13"/>
  <c r="M50" i="13"/>
  <c r="L50" i="13"/>
  <c r="M51" i="13"/>
  <c r="L51" i="13"/>
  <c r="M52" i="13"/>
  <c r="L52" i="13"/>
  <c r="S52" i="13"/>
  <c r="J52" i="13"/>
  <c r="M53" i="13"/>
  <c r="L53" i="13"/>
  <c r="M54" i="13"/>
  <c r="L54" i="13"/>
  <c r="M55" i="13"/>
  <c r="L55" i="13"/>
  <c r="M56" i="13"/>
  <c r="L56" i="13"/>
  <c r="M57" i="13"/>
  <c r="L57" i="13"/>
  <c r="S57" i="13"/>
  <c r="J57" i="13"/>
  <c r="M58" i="13"/>
  <c r="L58" i="13"/>
  <c r="M59" i="13"/>
  <c r="L59" i="13"/>
  <c r="S59" i="13"/>
  <c r="M60" i="13"/>
  <c r="L60" i="13"/>
  <c r="J60" i="13"/>
  <c r="M61" i="13"/>
  <c r="L61" i="13"/>
  <c r="M62" i="13"/>
  <c r="L62" i="13"/>
  <c r="M63" i="13"/>
  <c r="L63" i="13"/>
  <c r="M64" i="13"/>
  <c r="L64" i="13"/>
  <c r="S64" i="13"/>
  <c r="J64" i="13"/>
  <c r="M65" i="13"/>
  <c r="L65" i="13"/>
  <c r="M66" i="13"/>
  <c r="L66" i="13"/>
  <c r="M67" i="13"/>
  <c r="L67" i="13"/>
  <c r="B48" i="13"/>
  <c r="N48" i="13"/>
  <c r="Q48" i="13"/>
  <c r="R48" i="13"/>
  <c r="B49" i="13"/>
  <c r="N49" i="13"/>
  <c r="Q49" i="13"/>
  <c r="R49" i="13"/>
  <c r="B50" i="13"/>
  <c r="N50" i="13"/>
  <c r="Q50" i="13"/>
  <c r="R50" i="13"/>
  <c r="B51" i="13"/>
  <c r="N51" i="13"/>
  <c r="Q51" i="13"/>
  <c r="R51" i="13"/>
  <c r="B52" i="13"/>
  <c r="N52" i="13"/>
  <c r="Q52" i="13"/>
  <c r="R52" i="13"/>
  <c r="B53" i="13"/>
  <c r="N53" i="13"/>
  <c r="Q53" i="13"/>
  <c r="R53" i="13"/>
  <c r="B54" i="13"/>
  <c r="N54" i="13"/>
  <c r="Q54" i="13"/>
  <c r="R54" i="13"/>
  <c r="B55" i="13"/>
  <c r="N55" i="13"/>
  <c r="Q55" i="13"/>
  <c r="R55" i="13"/>
  <c r="B56" i="13"/>
  <c r="N56" i="13"/>
  <c r="Q56" i="13"/>
  <c r="R56" i="13"/>
  <c r="B57" i="13"/>
  <c r="N57" i="13"/>
  <c r="Q57" i="13"/>
  <c r="R57" i="13"/>
  <c r="B58" i="13"/>
  <c r="N58" i="13"/>
  <c r="Q58" i="13"/>
  <c r="R58" i="13"/>
  <c r="B59" i="13"/>
  <c r="N59" i="13"/>
  <c r="Q59" i="13"/>
  <c r="R59" i="13"/>
  <c r="B60" i="13"/>
  <c r="N60" i="13"/>
  <c r="Q60" i="13"/>
  <c r="R60" i="13"/>
  <c r="S60" i="13"/>
  <c r="B61" i="13"/>
  <c r="N61" i="13"/>
  <c r="Q61" i="13"/>
  <c r="R61" i="13"/>
  <c r="B62" i="13"/>
  <c r="N62" i="13"/>
  <c r="Q62" i="13"/>
  <c r="R62" i="13"/>
  <c r="B63" i="13"/>
  <c r="N63" i="13"/>
  <c r="Q63" i="13"/>
  <c r="R63" i="13"/>
  <c r="B64" i="13"/>
  <c r="N64" i="13"/>
  <c r="Q64" i="13"/>
  <c r="R64" i="13"/>
  <c r="B65" i="13"/>
  <c r="N65" i="13"/>
  <c r="Q65" i="13"/>
  <c r="R65" i="13"/>
  <c r="B66" i="13"/>
  <c r="N66" i="13"/>
  <c r="Q66" i="13"/>
  <c r="R66" i="13"/>
  <c r="B67" i="13"/>
  <c r="N67" i="13"/>
  <c r="Q67" i="13"/>
  <c r="R67" i="13"/>
  <c r="C68" i="13"/>
  <c r="G68" i="13"/>
  <c r="D71" i="13"/>
  <c r="G72" i="13"/>
  <c r="G71" i="13"/>
  <c r="L10" i="50"/>
  <c r="I10" i="50"/>
  <c r="M10" i="50"/>
  <c r="L11" i="50"/>
  <c r="I11" i="50"/>
  <c r="M11" i="50"/>
  <c r="L12" i="50"/>
  <c r="I12" i="50"/>
  <c r="M12" i="50"/>
  <c r="L13" i="50"/>
  <c r="I13" i="50"/>
  <c r="M13" i="50"/>
  <c r="L14" i="50"/>
  <c r="I14" i="50"/>
  <c r="M14" i="50"/>
  <c r="L15" i="50"/>
  <c r="M15" i="50"/>
  <c r="L23" i="50"/>
  <c r="I23" i="50"/>
  <c r="M23" i="50"/>
  <c r="L24" i="50"/>
  <c r="I24" i="50"/>
  <c r="M24" i="50"/>
  <c r="L25" i="50"/>
  <c r="I25" i="50"/>
  <c r="M25" i="50"/>
  <c r="L26" i="50"/>
  <c r="I26" i="50"/>
  <c r="M26" i="50"/>
  <c r="L27" i="50"/>
  <c r="I27" i="50"/>
  <c r="M27" i="50"/>
  <c r="L28" i="50"/>
  <c r="M28" i="50"/>
  <c r="O47" i="74"/>
  <c r="D5" i="74"/>
  <c r="D47" i="74"/>
  <c r="D89" i="74"/>
  <c r="D131" i="74"/>
  <c r="D173" i="74"/>
  <c r="D215" i="74"/>
  <c r="J6" i="74"/>
  <c r="M12" i="74"/>
  <c r="L12" i="74"/>
  <c r="J12" i="74"/>
  <c r="M13" i="74"/>
  <c r="L13" i="74"/>
  <c r="J13" i="74"/>
  <c r="M14" i="74"/>
  <c r="L14" i="74"/>
  <c r="J14" i="74"/>
  <c r="M15" i="74"/>
  <c r="L15" i="74"/>
  <c r="J15" i="74"/>
  <c r="M16" i="74"/>
  <c r="L16" i="74"/>
  <c r="J16" i="74"/>
  <c r="M17" i="74"/>
  <c r="L17" i="74"/>
  <c r="J17" i="74"/>
  <c r="M18" i="74"/>
  <c r="L18" i="74"/>
  <c r="J18" i="74"/>
  <c r="M19" i="74"/>
  <c r="L19" i="74"/>
  <c r="J19" i="74"/>
  <c r="M20" i="74"/>
  <c r="L20" i="74"/>
  <c r="J20" i="74"/>
  <c r="M21" i="74"/>
  <c r="L21" i="74"/>
  <c r="J21" i="74"/>
  <c r="D8" i="74"/>
  <c r="F8" i="74"/>
  <c r="M22" i="74"/>
  <c r="L22" i="74"/>
  <c r="J22" i="74"/>
  <c r="M23" i="74"/>
  <c r="L23" i="74"/>
  <c r="J23" i="74"/>
  <c r="M24" i="74"/>
  <c r="L24" i="74"/>
  <c r="J24" i="74"/>
  <c r="M25" i="74"/>
  <c r="L25" i="74"/>
  <c r="J25" i="74"/>
  <c r="M26" i="74"/>
  <c r="L26" i="74"/>
  <c r="J26" i="74"/>
  <c r="M27" i="74"/>
  <c r="L27" i="74"/>
  <c r="J27" i="74"/>
  <c r="M28" i="74"/>
  <c r="L28" i="74"/>
  <c r="J28" i="74"/>
  <c r="M29" i="74"/>
  <c r="L29" i="74"/>
  <c r="J29" i="74"/>
  <c r="M30" i="74"/>
  <c r="L30" i="74"/>
  <c r="J30" i="74"/>
  <c r="M31" i="74"/>
  <c r="L31" i="74"/>
  <c r="J31" i="74"/>
  <c r="M34" i="74"/>
  <c r="L34" i="74"/>
  <c r="J34" i="74"/>
  <c r="M35" i="74"/>
  <c r="L35" i="74"/>
  <c r="J35" i="74"/>
  <c r="N12" i="74"/>
  <c r="P12" i="74"/>
  <c r="Q12" i="74"/>
  <c r="N13" i="74"/>
  <c r="P13" i="74"/>
  <c r="Q13" i="74"/>
  <c r="N14" i="74"/>
  <c r="P14" i="74"/>
  <c r="Q14" i="74"/>
  <c r="N15" i="74"/>
  <c r="P15" i="74"/>
  <c r="Q15" i="74"/>
  <c r="N16" i="74"/>
  <c r="P16" i="74"/>
  <c r="Q16" i="74"/>
  <c r="N17" i="74"/>
  <c r="P17" i="74"/>
  <c r="Q17" i="74"/>
  <c r="N18" i="74"/>
  <c r="P18" i="74"/>
  <c r="Q18" i="74"/>
  <c r="N19" i="74"/>
  <c r="P19" i="74"/>
  <c r="Q19" i="74"/>
  <c r="N20" i="74"/>
  <c r="P20" i="74"/>
  <c r="Q20" i="74"/>
  <c r="N21" i="74"/>
  <c r="P21" i="74"/>
  <c r="Q21" i="74"/>
  <c r="N22" i="74"/>
  <c r="P22" i="74"/>
  <c r="Q22" i="74"/>
  <c r="N23" i="74"/>
  <c r="P23" i="74"/>
  <c r="Q23" i="74"/>
  <c r="N24" i="74"/>
  <c r="P24" i="74"/>
  <c r="Q24" i="74"/>
  <c r="N25" i="74"/>
  <c r="P25" i="74"/>
  <c r="Q25" i="74"/>
  <c r="N26" i="74"/>
  <c r="P26" i="74"/>
  <c r="Q26" i="74"/>
  <c r="N27" i="74"/>
  <c r="P27" i="74"/>
  <c r="Q27" i="74"/>
  <c r="N28" i="74"/>
  <c r="P28" i="74"/>
  <c r="Q28" i="74"/>
  <c r="N29" i="74"/>
  <c r="P29" i="74"/>
  <c r="Q29" i="74"/>
  <c r="N30" i="74"/>
  <c r="P30" i="74"/>
  <c r="Q30" i="74"/>
  <c r="N31" i="74"/>
  <c r="P31" i="74"/>
  <c r="Q31" i="74"/>
  <c r="N34" i="74"/>
  <c r="P34" i="74"/>
  <c r="Q34" i="74"/>
  <c r="N35" i="74"/>
  <c r="P35" i="74"/>
  <c r="Q35" i="74"/>
  <c r="C36" i="74"/>
  <c r="G36" i="74"/>
  <c r="Q36" i="74"/>
  <c r="Q37" i="74"/>
  <c r="Q38" i="74"/>
  <c r="D39" i="74"/>
  <c r="D40" i="74"/>
  <c r="G39" i="74"/>
  <c r="G40" i="74"/>
  <c r="K40" i="74"/>
  <c r="B43" i="74"/>
  <c r="B85" i="74"/>
  <c r="B127" i="74"/>
  <c r="B169" i="74"/>
  <c r="B211" i="74" s="1"/>
  <c r="J48" i="74"/>
  <c r="J90" i="74"/>
  <c r="J132" i="74"/>
  <c r="J174" i="74"/>
  <c r="D49" i="74"/>
  <c r="D91" i="74"/>
  <c r="O49" i="74"/>
  <c r="O91" i="74"/>
  <c r="M54" i="74"/>
  <c r="L54" i="74"/>
  <c r="J54" i="74"/>
  <c r="M55" i="74"/>
  <c r="L55" i="74"/>
  <c r="J55" i="74"/>
  <c r="M56" i="74"/>
  <c r="L56" i="74"/>
  <c r="J56" i="74"/>
  <c r="M57" i="74"/>
  <c r="L57" i="74"/>
  <c r="J57" i="74"/>
  <c r="M58" i="74"/>
  <c r="L58" i="74"/>
  <c r="J58" i="74"/>
  <c r="M59" i="74"/>
  <c r="L59" i="74"/>
  <c r="J59" i="74"/>
  <c r="M60" i="74"/>
  <c r="L60" i="74"/>
  <c r="J60" i="74"/>
  <c r="M61" i="74"/>
  <c r="L61" i="74"/>
  <c r="J61" i="74"/>
  <c r="M62" i="74"/>
  <c r="L62" i="74"/>
  <c r="J62" i="74"/>
  <c r="M63" i="74"/>
  <c r="L63" i="74"/>
  <c r="J63" i="74"/>
  <c r="M64" i="74"/>
  <c r="L64" i="74"/>
  <c r="J64" i="74"/>
  <c r="M65" i="74"/>
  <c r="L65" i="74"/>
  <c r="J65" i="74"/>
  <c r="M66" i="74"/>
  <c r="L66" i="74"/>
  <c r="J66" i="74"/>
  <c r="M67" i="74"/>
  <c r="L67" i="74"/>
  <c r="J67" i="74"/>
  <c r="M68" i="74"/>
  <c r="L68" i="74"/>
  <c r="J68" i="74"/>
  <c r="M69" i="74"/>
  <c r="L69" i="74"/>
  <c r="J69" i="74"/>
  <c r="M70" i="74"/>
  <c r="L70" i="74"/>
  <c r="J70" i="74"/>
  <c r="M71" i="74"/>
  <c r="L71" i="74"/>
  <c r="J71" i="74"/>
  <c r="M72" i="74"/>
  <c r="L72" i="74"/>
  <c r="J72" i="74"/>
  <c r="M73" i="74"/>
  <c r="L73" i="74"/>
  <c r="J73" i="74"/>
  <c r="M74" i="74"/>
  <c r="L74" i="74"/>
  <c r="J74" i="74"/>
  <c r="M75" i="74"/>
  <c r="L75" i="74"/>
  <c r="J75" i="74"/>
  <c r="M77" i="74"/>
  <c r="L77" i="74"/>
  <c r="J77" i="74"/>
  <c r="J50" i="74"/>
  <c r="O50" i="74"/>
  <c r="N54" i="74"/>
  <c r="P54" i="74"/>
  <c r="Q54" i="74"/>
  <c r="N55" i="74"/>
  <c r="P55" i="74"/>
  <c r="Q55" i="74"/>
  <c r="N56" i="74"/>
  <c r="P56" i="74"/>
  <c r="Q56" i="74"/>
  <c r="N57" i="74"/>
  <c r="P57" i="74"/>
  <c r="Q57" i="74"/>
  <c r="N58" i="74"/>
  <c r="P58" i="74"/>
  <c r="Q58" i="74"/>
  <c r="N59" i="74"/>
  <c r="P59" i="74"/>
  <c r="Q59" i="74"/>
  <c r="N60" i="74"/>
  <c r="P60" i="74"/>
  <c r="Q60" i="74"/>
  <c r="N61" i="74"/>
  <c r="P61" i="74"/>
  <c r="Q61" i="74"/>
  <c r="N62" i="74"/>
  <c r="P62" i="74"/>
  <c r="Q62" i="74"/>
  <c r="N63" i="74"/>
  <c r="P63" i="74"/>
  <c r="Q63" i="74"/>
  <c r="N64" i="74"/>
  <c r="P64" i="74"/>
  <c r="Q64" i="74"/>
  <c r="N65" i="74"/>
  <c r="P65" i="74"/>
  <c r="Q65" i="74"/>
  <c r="N66" i="74"/>
  <c r="P66" i="74"/>
  <c r="Q66" i="74"/>
  <c r="N67" i="74"/>
  <c r="P67" i="74"/>
  <c r="Q67" i="74"/>
  <c r="N68" i="74"/>
  <c r="P68" i="74"/>
  <c r="Q68" i="74"/>
  <c r="N69" i="74"/>
  <c r="P69" i="74"/>
  <c r="Q69" i="74"/>
  <c r="N70" i="74"/>
  <c r="P70" i="74"/>
  <c r="Q70" i="74"/>
  <c r="N71" i="74"/>
  <c r="P71" i="74"/>
  <c r="Q71" i="74"/>
  <c r="N72" i="74"/>
  <c r="P72" i="74"/>
  <c r="Q72" i="74"/>
  <c r="N73" i="74"/>
  <c r="P73" i="74"/>
  <c r="Q73" i="74"/>
  <c r="N74" i="74"/>
  <c r="P74" i="74"/>
  <c r="Q74" i="74"/>
  <c r="N75" i="74"/>
  <c r="P75" i="74"/>
  <c r="Q75" i="74"/>
  <c r="N77" i="74"/>
  <c r="P77" i="74"/>
  <c r="Q77" i="74"/>
  <c r="C78" i="74"/>
  <c r="Q78" i="74"/>
  <c r="Q79" i="74"/>
  <c r="D83" i="74"/>
  <c r="G83" i="74"/>
  <c r="O83" i="74"/>
  <c r="M84" i="74"/>
  <c r="M96" i="74"/>
  <c r="L96" i="74"/>
  <c r="J96" i="74"/>
  <c r="M97" i="74"/>
  <c r="L97" i="74"/>
  <c r="J97" i="74"/>
  <c r="M98" i="74"/>
  <c r="L98" i="74"/>
  <c r="J98" i="74"/>
  <c r="M99" i="74"/>
  <c r="L99" i="74"/>
  <c r="J99" i="74"/>
  <c r="M100" i="74"/>
  <c r="L100" i="74"/>
  <c r="J100" i="74"/>
  <c r="M101" i="74"/>
  <c r="L101" i="74"/>
  <c r="J101" i="74"/>
  <c r="M102" i="74"/>
  <c r="L102" i="74"/>
  <c r="J102" i="74"/>
  <c r="M103" i="74"/>
  <c r="L103" i="74"/>
  <c r="J103" i="74"/>
  <c r="M104" i="74"/>
  <c r="L104" i="74"/>
  <c r="J104" i="74"/>
  <c r="M105" i="74"/>
  <c r="L105" i="74"/>
  <c r="J105" i="74"/>
  <c r="M106" i="74"/>
  <c r="L106" i="74"/>
  <c r="J106" i="74"/>
  <c r="M107" i="74"/>
  <c r="L107" i="74"/>
  <c r="J107" i="74"/>
  <c r="M108" i="74"/>
  <c r="L108" i="74"/>
  <c r="J108" i="74"/>
  <c r="M109" i="74"/>
  <c r="L109" i="74"/>
  <c r="J109" i="74"/>
  <c r="M110" i="74"/>
  <c r="L110" i="74"/>
  <c r="J110" i="74"/>
  <c r="M111" i="74"/>
  <c r="L111" i="74"/>
  <c r="J111" i="74"/>
  <c r="M112" i="74"/>
  <c r="L112" i="74"/>
  <c r="J112" i="74"/>
  <c r="M113" i="74"/>
  <c r="L113" i="74"/>
  <c r="J113" i="74"/>
  <c r="M114" i="74"/>
  <c r="L114" i="74"/>
  <c r="J114" i="74"/>
  <c r="M115" i="74"/>
  <c r="L115" i="74"/>
  <c r="J115" i="74"/>
  <c r="M116" i="74"/>
  <c r="L116" i="74"/>
  <c r="J116" i="74"/>
  <c r="M117" i="74"/>
  <c r="L117" i="74"/>
  <c r="J117" i="74"/>
  <c r="M118" i="74"/>
  <c r="L118" i="74"/>
  <c r="J118" i="74"/>
  <c r="M119" i="74"/>
  <c r="L119" i="74"/>
  <c r="J119" i="74"/>
  <c r="O92" i="74"/>
  <c r="N96" i="74"/>
  <c r="P96" i="74"/>
  <c r="Q96" i="74"/>
  <c r="N97" i="74"/>
  <c r="P97" i="74"/>
  <c r="Q97" i="74"/>
  <c r="N98" i="74"/>
  <c r="P98" i="74"/>
  <c r="Q98" i="74"/>
  <c r="N99" i="74"/>
  <c r="P99" i="74"/>
  <c r="Q99" i="74"/>
  <c r="N100" i="74"/>
  <c r="P100" i="74"/>
  <c r="Q100" i="74"/>
  <c r="N101" i="74"/>
  <c r="P101" i="74"/>
  <c r="Q101" i="74"/>
  <c r="N102" i="74"/>
  <c r="P102" i="74"/>
  <c r="Q102" i="74"/>
  <c r="N103" i="74"/>
  <c r="P103" i="74"/>
  <c r="Q103" i="74"/>
  <c r="N104" i="74"/>
  <c r="P104" i="74"/>
  <c r="Q104" i="74"/>
  <c r="N105" i="74"/>
  <c r="P105" i="74"/>
  <c r="Q105" i="74"/>
  <c r="N106" i="74"/>
  <c r="P106" i="74"/>
  <c r="Q106" i="74"/>
  <c r="N107" i="74"/>
  <c r="P107" i="74"/>
  <c r="Q107" i="74"/>
  <c r="N108" i="74"/>
  <c r="P108" i="74"/>
  <c r="Q108" i="74"/>
  <c r="N109" i="74"/>
  <c r="P109" i="74"/>
  <c r="Q109" i="74"/>
  <c r="N110" i="74"/>
  <c r="P110" i="74"/>
  <c r="Q110" i="74"/>
  <c r="N111" i="74"/>
  <c r="P111" i="74"/>
  <c r="Q111" i="74"/>
  <c r="N112" i="74"/>
  <c r="P112" i="74"/>
  <c r="Q112" i="74"/>
  <c r="N113" i="74"/>
  <c r="P113" i="74"/>
  <c r="Q113" i="74"/>
  <c r="N114" i="74"/>
  <c r="P114" i="74"/>
  <c r="Q114" i="74"/>
  <c r="N115" i="74"/>
  <c r="P115" i="74"/>
  <c r="Q115" i="74"/>
  <c r="N116" i="74"/>
  <c r="P116" i="74"/>
  <c r="Q116" i="74"/>
  <c r="N117" i="74"/>
  <c r="P117" i="74"/>
  <c r="Q117" i="74"/>
  <c r="N118" i="74"/>
  <c r="P118" i="74"/>
  <c r="Q118" i="74"/>
  <c r="N119" i="74"/>
  <c r="P119" i="74"/>
  <c r="Q119" i="74"/>
  <c r="C120" i="74"/>
  <c r="D125" i="74"/>
  <c r="D126" i="74"/>
  <c r="O126" i="74"/>
  <c r="G125" i="74"/>
  <c r="O125" i="74"/>
  <c r="O167" i="74"/>
  <c r="O209" i="74"/>
  <c r="O251" i="74"/>
  <c r="M126" i="74"/>
  <c r="O173" i="74"/>
  <c r="M138" i="74"/>
  <c r="L138" i="74"/>
  <c r="J138" i="74"/>
  <c r="M139" i="74"/>
  <c r="L139" i="74"/>
  <c r="J139" i="74"/>
  <c r="M140" i="74"/>
  <c r="L140" i="74"/>
  <c r="J140" i="74"/>
  <c r="M141" i="74"/>
  <c r="L141" i="74"/>
  <c r="J141" i="74"/>
  <c r="M142" i="74"/>
  <c r="L142" i="74"/>
  <c r="J142" i="74"/>
  <c r="M143" i="74"/>
  <c r="L143" i="74"/>
  <c r="J143" i="74"/>
  <c r="M144" i="74"/>
  <c r="L144" i="74"/>
  <c r="J144" i="74"/>
  <c r="M145" i="74"/>
  <c r="L145" i="74"/>
  <c r="J145" i="74"/>
  <c r="M146" i="74"/>
  <c r="L146" i="74"/>
  <c r="J146" i="74"/>
  <c r="M147" i="74"/>
  <c r="L147" i="74"/>
  <c r="J147" i="74"/>
  <c r="M148" i="74"/>
  <c r="L148" i="74"/>
  <c r="J148" i="74"/>
  <c r="M149" i="74"/>
  <c r="L149" i="74"/>
  <c r="J149" i="74"/>
  <c r="M150" i="74"/>
  <c r="L150" i="74"/>
  <c r="J150" i="74"/>
  <c r="M151" i="74"/>
  <c r="L151" i="74"/>
  <c r="J151" i="74"/>
  <c r="M152" i="74"/>
  <c r="L152" i="74"/>
  <c r="J152" i="74"/>
  <c r="M153" i="74"/>
  <c r="L153" i="74"/>
  <c r="J153" i="74"/>
  <c r="M154" i="74"/>
  <c r="L154" i="74"/>
  <c r="J154" i="74"/>
  <c r="M155" i="74"/>
  <c r="L155" i="74"/>
  <c r="J155" i="74"/>
  <c r="M156" i="74"/>
  <c r="L156" i="74"/>
  <c r="J156" i="74"/>
  <c r="M157" i="74"/>
  <c r="L157" i="74"/>
  <c r="J157" i="74"/>
  <c r="M158" i="74"/>
  <c r="L158" i="74"/>
  <c r="J158" i="74"/>
  <c r="M159" i="74"/>
  <c r="L159" i="74"/>
  <c r="J159" i="74"/>
  <c r="M160" i="74"/>
  <c r="L160" i="74"/>
  <c r="J160" i="74"/>
  <c r="M161" i="74"/>
  <c r="L161" i="74"/>
  <c r="J161" i="74"/>
  <c r="N138" i="74"/>
  <c r="P138" i="74"/>
  <c r="Q138" i="74"/>
  <c r="N139" i="74"/>
  <c r="P139" i="74"/>
  <c r="Q139" i="74"/>
  <c r="N140" i="74"/>
  <c r="P140" i="74"/>
  <c r="Q140" i="74"/>
  <c r="N141" i="74"/>
  <c r="P141" i="74"/>
  <c r="Q141" i="74"/>
  <c r="N142" i="74"/>
  <c r="P142" i="74"/>
  <c r="Q142" i="74"/>
  <c r="N143" i="74"/>
  <c r="P143" i="74"/>
  <c r="Q143" i="74"/>
  <c r="N144" i="74"/>
  <c r="P144" i="74"/>
  <c r="Q144" i="74"/>
  <c r="N145" i="74"/>
  <c r="P145" i="74"/>
  <c r="Q145" i="74"/>
  <c r="N146" i="74"/>
  <c r="P146" i="74"/>
  <c r="Q146" i="74"/>
  <c r="N147" i="74"/>
  <c r="P147" i="74"/>
  <c r="Q147" i="74"/>
  <c r="N148" i="74"/>
  <c r="P148" i="74"/>
  <c r="Q148" i="74"/>
  <c r="N149" i="74"/>
  <c r="P149" i="74"/>
  <c r="Q149" i="74"/>
  <c r="N150" i="74"/>
  <c r="P150" i="74"/>
  <c r="Q150" i="74"/>
  <c r="N151" i="74"/>
  <c r="P151" i="74"/>
  <c r="Q151" i="74"/>
  <c r="N152" i="74"/>
  <c r="P152" i="74"/>
  <c r="Q152" i="74"/>
  <c r="N153" i="74"/>
  <c r="P153" i="74"/>
  <c r="Q153" i="74"/>
  <c r="N154" i="74"/>
  <c r="P154" i="74"/>
  <c r="Q154" i="74"/>
  <c r="N155" i="74"/>
  <c r="P155" i="74"/>
  <c r="Q155" i="74"/>
  <c r="N156" i="74"/>
  <c r="P156" i="74"/>
  <c r="Q156" i="74"/>
  <c r="N157" i="74"/>
  <c r="P157" i="74"/>
  <c r="Q157" i="74"/>
  <c r="N158" i="74"/>
  <c r="P158" i="74"/>
  <c r="Q158" i="74"/>
  <c r="N159" i="74"/>
  <c r="P159" i="74"/>
  <c r="Q159" i="74"/>
  <c r="N160" i="74"/>
  <c r="P160" i="74"/>
  <c r="Q160" i="74"/>
  <c r="N161" i="74"/>
  <c r="P161" i="74"/>
  <c r="Q161" i="74"/>
  <c r="C162" i="74"/>
  <c r="D167" i="74"/>
  <c r="D168" i="74"/>
  <c r="O168" i="74"/>
  <c r="G167" i="74"/>
  <c r="G168" i="74"/>
  <c r="M168" i="74"/>
  <c r="D175" i="74"/>
  <c r="O175" i="74"/>
  <c r="O217" i="74"/>
  <c r="M180" i="74"/>
  <c r="L180" i="74"/>
  <c r="J180" i="74"/>
  <c r="M181" i="74"/>
  <c r="L181" i="74"/>
  <c r="J181" i="74"/>
  <c r="M182" i="74"/>
  <c r="L182" i="74"/>
  <c r="J182" i="74"/>
  <c r="M183" i="74"/>
  <c r="L183" i="74"/>
  <c r="J183" i="74"/>
  <c r="M184" i="74"/>
  <c r="L184" i="74"/>
  <c r="J184" i="74"/>
  <c r="M185" i="74"/>
  <c r="L185" i="74"/>
  <c r="J185" i="74"/>
  <c r="M186" i="74"/>
  <c r="L186" i="74"/>
  <c r="J186" i="74"/>
  <c r="M187" i="74"/>
  <c r="L187" i="74"/>
  <c r="J187" i="74"/>
  <c r="M188" i="74"/>
  <c r="L188" i="74"/>
  <c r="J188" i="74"/>
  <c r="M189" i="74"/>
  <c r="L189" i="74"/>
  <c r="J189" i="74"/>
  <c r="M190" i="74"/>
  <c r="L190" i="74"/>
  <c r="J190" i="74"/>
  <c r="D176" i="74"/>
  <c r="F176" i="74"/>
  <c r="M191" i="74"/>
  <c r="L191" i="74"/>
  <c r="J191" i="74"/>
  <c r="M192" i="74"/>
  <c r="L192" i="74"/>
  <c r="J192" i="74"/>
  <c r="M193" i="74"/>
  <c r="L193" i="74"/>
  <c r="J193" i="74"/>
  <c r="M194" i="74"/>
  <c r="L194" i="74"/>
  <c r="J194" i="74"/>
  <c r="M195" i="74"/>
  <c r="L195" i="74"/>
  <c r="J195" i="74"/>
  <c r="M196" i="74"/>
  <c r="L196" i="74"/>
  <c r="J196" i="74"/>
  <c r="M197" i="74"/>
  <c r="L197" i="74"/>
  <c r="J197" i="74"/>
  <c r="M198" i="74"/>
  <c r="L198" i="74"/>
  <c r="J198" i="74"/>
  <c r="M199" i="74"/>
  <c r="L199" i="74"/>
  <c r="J199" i="74"/>
  <c r="M200" i="74"/>
  <c r="L200" i="74"/>
  <c r="J200" i="74"/>
  <c r="M201" i="74"/>
  <c r="L201" i="74"/>
  <c r="J201" i="74"/>
  <c r="M202" i="74"/>
  <c r="L202" i="74"/>
  <c r="J202" i="74"/>
  <c r="M203" i="74"/>
  <c r="L203" i="74"/>
  <c r="J203" i="74"/>
  <c r="O176" i="74"/>
  <c r="N180" i="74"/>
  <c r="P180" i="74"/>
  <c r="Q180" i="74"/>
  <c r="N181" i="74"/>
  <c r="P181" i="74"/>
  <c r="Q181" i="74"/>
  <c r="N182" i="74"/>
  <c r="P182" i="74"/>
  <c r="Q182" i="74"/>
  <c r="N183" i="74"/>
  <c r="P183" i="74"/>
  <c r="Q183" i="74"/>
  <c r="N184" i="74"/>
  <c r="P184" i="74"/>
  <c r="Q184" i="74"/>
  <c r="N185" i="74"/>
  <c r="P185" i="74"/>
  <c r="Q185" i="74"/>
  <c r="N186" i="74"/>
  <c r="P186" i="74"/>
  <c r="Q186" i="74"/>
  <c r="N187" i="74"/>
  <c r="P187" i="74"/>
  <c r="Q187" i="74"/>
  <c r="N188" i="74"/>
  <c r="P188" i="74"/>
  <c r="Q188" i="74"/>
  <c r="N189" i="74"/>
  <c r="P189" i="74"/>
  <c r="Q189" i="74"/>
  <c r="N190" i="74"/>
  <c r="P190" i="74"/>
  <c r="Q190" i="74"/>
  <c r="N191" i="74"/>
  <c r="P191" i="74"/>
  <c r="Q191" i="74"/>
  <c r="N192" i="74"/>
  <c r="P192" i="74"/>
  <c r="Q192" i="74"/>
  <c r="N193" i="74"/>
  <c r="P193" i="74"/>
  <c r="Q193" i="74"/>
  <c r="N194" i="74"/>
  <c r="P194" i="74"/>
  <c r="Q194" i="74"/>
  <c r="N195" i="74"/>
  <c r="P195" i="74"/>
  <c r="Q195" i="74"/>
  <c r="N196" i="74"/>
  <c r="P196" i="74"/>
  <c r="Q196" i="74"/>
  <c r="N197" i="74"/>
  <c r="P197" i="74"/>
  <c r="Q197" i="74"/>
  <c r="N198" i="74"/>
  <c r="P198" i="74"/>
  <c r="Q198" i="74"/>
  <c r="N199" i="74"/>
  <c r="P199" i="74"/>
  <c r="Q199" i="74"/>
  <c r="N200" i="74"/>
  <c r="P200" i="74"/>
  <c r="Q200" i="74"/>
  <c r="N201" i="74"/>
  <c r="P201" i="74"/>
  <c r="Q201" i="74"/>
  <c r="N202" i="74"/>
  <c r="P202" i="74"/>
  <c r="Q202" i="74"/>
  <c r="N203" i="74"/>
  <c r="P203" i="74"/>
  <c r="Q203" i="74"/>
  <c r="C204" i="74"/>
  <c r="D209" i="74"/>
  <c r="G209" i="74"/>
  <c r="D210" i="74"/>
  <c r="O210" i="74"/>
  <c r="M210" i="74"/>
  <c r="J216" i="74"/>
  <c r="D217" i="74"/>
  <c r="M222" i="74"/>
  <c r="L222" i="74"/>
  <c r="J222" i="74"/>
  <c r="M223" i="74"/>
  <c r="L223" i="74"/>
  <c r="J223" i="74"/>
  <c r="M224" i="74"/>
  <c r="L224" i="74"/>
  <c r="J224" i="74"/>
  <c r="M225" i="74"/>
  <c r="L225" i="74"/>
  <c r="J225" i="74"/>
  <c r="M226" i="74"/>
  <c r="L226" i="74"/>
  <c r="J226" i="74"/>
  <c r="M227" i="74"/>
  <c r="L227" i="74"/>
  <c r="J227" i="74"/>
  <c r="M228" i="74"/>
  <c r="L228" i="74"/>
  <c r="J228" i="74"/>
  <c r="M229" i="74"/>
  <c r="L229" i="74"/>
  <c r="J229" i="74"/>
  <c r="M230" i="74"/>
  <c r="L230" i="74"/>
  <c r="J230" i="74"/>
  <c r="M231" i="74"/>
  <c r="L231" i="74"/>
  <c r="J231" i="74"/>
  <c r="M232" i="74"/>
  <c r="L232" i="74"/>
  <c r="J232" i="74"/>
  <c r="M233" i="74"/>
  <c r="L233" i="74"/>
  <c r="J233" i="74"/>
  <c r="M234" i="74"/>
  <c r="L234" i="74"/>
  <c r="J234" i="74"/>
  <c r="M235" i="74"/>
  <c r="L235" i="74"/>
  <c r="J235" i="74"/>
  <c r="M236" i="74"/>
  <c r="L236" i="74"/>
  <c r="J236" i="74"/>
  <c r="M237" i="74"/>
  <c r="L237" i="74"/>
  <c r="J237" i="74"/>
  <c r="M238" i="74"/>
  <c r="L238" i="74"/>
  <c r="J238" i="74"/>
  <c r="M239" i="74"/>
  <c r="L239" i="74"/>
  <c r="J239" i="74"/>
  <c r="M240" i="74"/>
  <c r="L240" i="74"/>
  <c r="J240" i="74"/>
  <c r="M241" i="74"/>
  <c r="L241" i="74"/>
  <c r="J241" i="74"/>
  <c r="M242" i="74"/>
  <c r="L242" i="74"/>
  <c r="J242" i="74"/>
  <c r="M243" i="74"/>
  <c r="L243" i="74"/>
  <c r="J243" i="74"/>
  <c r="M244" i="74"/>
  <c r="L244" i="74"/>
  <c r="J244" i="74"/>
  <c r="M245" i="74"/>
  <c r="L245" i="74"/>
  <c r="J245" i="74"/>
  <c r="O218" i="74"/>
  <c r="N222" i="74"/>
  <c r="P222" i="74"/>
  <c r="Q222" i="74"/>
  <c r="N223" i="74"/>
  <c r="P223" i="74"/>
  <c r="Q223" i="74"/>
  <c r="N224" i="74"/>
  <c r="P224" i="74"/>
  <c r="Q224" i="74"/>
  <c r="N225" i="74"/>
  <c r="P225" i="74"/>
  <c r="Q225" i="74"/>
  <c r="N226" i="74"/>
  <c r="P226" i="74"/>
  <c r="Q226" i="74"/>
  <c r="N227" i="74"/>
  <c r="P227" i="74"/>
  <c r="Q227" i="74"/>
  <c r="N228" i="74"/>
  <c r="P228" i="74"/>
  <c r="Q228" i="74"/>
  <c r="N229" i="74"/>
  <c r="P229" i="74"/>
  <c r="Q229" i="74"/>
  <c r="N230" i="74"/>
  <c r="P230" i="74"/>
  <c r="Q230" i="74"/>
  <c r="N231" i="74"/>
  <c r="P231" i="74"/>
  <c r="Q231" i="74"/>
  <c r="N232" i="74"/>
  <c r="P232" i="74"/>
  <c r="Q232" i="74"/>
  <c r="N233" i="74"/>
  <c r="P233" i="74"/>
  <c r="Q233" i="74"/>
  <c r="N234" i="74"/>
  <c r="P234" i="74"/>
  <c r="Q234" i="74"/>
  <c r="N235" i="74"/>
  <c r="P235" i="74"/>
  <c r="Q235" i="74"/>
  <c r="N236" i="74"/>
  <c r="P236" i="74"/>
  <c r="Q236" i="74"/>
  <c r="N237" i="74"/>
  <c r="P237" i="74"/>
  <c r="Q237" i="74"/>
  <c r="N238" i="74"/>
  <c r="P238" i="74"/>
  <c r="Q238" i="74"/>
  <c r="N239" i="74"/>
  <c r="P239" i="74"/>
  <c r="Q239" i="74"/>
  <c r="N240" i="74"/>
  <c r="P240" i="74"/>
  <c r="Q240" i="74"/>
  <c r="N241" i="74"/>
  <c r="P241" i="74"/>
  <c r="Q241" i="74"/>
  <c r="N242" i="74"/>
  <c r="P242" i="74"/>
  <c r="Q242" i="74"/>
  <c r="N243" i="74"/>
  <c r="P243" i="74"/>
  <c r="Q243" i="74"/>
  <c r="N244" i="74"/>
  <c r="P244" i="74"/>
  <c r="Q244" i="74"/>
  <c r="N245" i="74"/>
  <c r="P245" i="74"/>
  <c r="Q245" i="74"/>
  <c r="C246" i="74"/>
  <c r="D251" i="74"/>
  <c r="G251" i="74"/>
  <c r="M252" i="74"/>
  <c r="A1" i="11"/>
  <c r="E2" i="11"/>
  <c r="H5" i="11"/>
  <c r="C8" i="11"/>
  <c r="H8" i="11"/>
  <c r="I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H9" i="11"/>
  <c r="I9" i="11"/>
  <c r="H10" i="11"/>
  <c r="I10" i="11"/>
  <c r="H11" i="11"/>
  <c r="I11" i="11"/>
  <c r="H12" i="11"/>
  <c r="I12" i="11"/>
  <c r="H13" i="11"/>
  <c r="I13" i="11"/>
  <c r="H14" i="11"/>
  <c r="I14" i="11"/>
  <c r="H15" i="11"/>
  <c r="I15" i="11"/>
  <c r="H16" i="11"/>
  <c r="I16" i="11"/>
  <c r="H17" i="11"/>
  <c r="I17" i="11"/>
  <c r="H18" i="11"/>
  <c r="I18" i="11"/>
  <c r="H19" i="11"/>
  <c r="I19" i="11"/>
  <c r="H20" i="11"/>
  <c r="I20" i="11"/>
  <c r="H21" i="11"/>
  <c r="I21" i="11"/>
  <c r="H22" i="11"/>
  <c r="I22" i="11"/>
  <c r="H23" i="11"/>
  <c r="I23" i="11"/>
  <c r="H24" i="11"/>
  <c r="I24" i="11"/>
  <c r="H25" i="11"/>
  <c r="I25" i="11"/>
  <c r="H26" i="11"/>
  <c r="I26" i="11"/>
  <c r="H27" i="11"/>
  <c r="I27" i="11"/>
  <c r="H28" i="11"/>
  <c r="I28" i="11"/>
  <c r="H29" i="11"/>
  <c r="I29" i="11"/>
  <c r="H30" i="11"/>
  <c r="I30" i="11"/>
  <c r="H31" i="11"/>
  <c r="I31" i="11"/>
  <c r="H32" i="11"/>
  <c r="I32" i="11"/>
  <c r="H33" i="11"/>
  <c r="I33" i="11"/>
  <c r="H34" i="11"/>
  <c r="I34" i="11"/>
  <c r="D36" i="11"/>
  <c r="B2" i="44"/>
  <c r="Q4" i="44"/>
  <c r="Q49" i="44"/>
  <c r="C6" i="44"/>
  <c r="K8" i="44"/>
  <c r="K53" i="44"/>
  <c r="K98" i="44"/>
  <c r="K143" i="44"/>
  <c r="K188" i="44"/>
  <c r="K233" i="44"/>
  <c r="P8" i="44"/>
  <c r="Q9" i="44"/>
  <c r="Q54" i="44"/>
  <c r="Q99" i="44"/>
  <c r="F13" i="44"/>
  <c r="G13" i="44"/>
  <c r="H13" i="44"/>
  <c r="F15" i="44"/>
  <c r="B47" i="44"/>
  <c r="B92" i="44"/>
  <c r="C51" i="44"/>
  <c r="C96" i="44"/>
  <c r="C141" i="44"/>
  <c r="G53" i="44"/>
  <c r="P53" i="44"/>
  <c r="P98" i="44"/>
  <c r="P143" i="44"/>
  <c r="P188" i="44"/>
  <c r="P233" i="44"/>
  <c r="Q94" i="44"/>
  <c r="Q139" i="44"/>
  <c r="F103" i="44"/>
  <c r="G103" i="44"/>
  <c r="H103" i="44"/>
  <c r="F105" i="44"/>
  <c r="G105" i="44"/>
  <c r="H105" i="44"/>
  <c r="L105" i="44"/>
  <c r="F107" i="44"/>
  <c r="F109" i="44"/>
  <c r="G109" i="44"/>
  <c r="H109" i="44"/>
  <c r="G107" i="44"/>
  <c r="H107" i="44"/>
  <c r="L107" i="44"/>
  <c r="L109" i="44"/>
  <c r="B137" i="44"/>
  <c r="G143" i="44"/>
  <c r="Q144" i="44"/>
  <c r="Q189" i="44"/>
  <c r="B182" i="44"/>
  <c r="B227" i="44"/>
  <c r="Q184" i="44"/>
  <c r="Q229" i="44"/>
  <c r="T229" i="44"/>
  <c r="T184" i="44"/>
  <c r="C186" i="44"/>
  <c r="C231" i="44"/>
  <c r="F193" i="44"/>
  <c r="G193" i="44"/>
  <c r="H193" i="44"/>
  <c r="F195" i="44"/>
  <c r="C233" i="44"/>
  <c r="G233" i="44"/>
  <c r="Q234" i="44"/>
  <c r="A1" i="10"/>
  <c r="I5" i="10"/>
  <c r="D7" i="10"/>
  <c r="D8" i="10"/>
  <c r="D9" i="10"/>
  <c r="D10" i="10"/>
  <c r="D11" i="10"/>
  <c r="D12" i="10"/>
  <c r="D13" i="10"/>
  <c r="D14" i="10"/>
  <c r="D15" i="10"/>
  <c r="D16" i="10"/>
  <c r="D17" i="10"/>
  <c r="D18" i="10"/>
  <c r="D19" i="10"/>
  <c r="D20" i="10"/>
  <c r="D21" i="10"/>
  <c r="F23" i="10"/>
  <c r="C48" i="10"/>
  <c r="A1" i="28"/>
  <c r="D12" i="4"/>
  <c r="F12" i="4"/>
  <c r="B7" i="28"/>
  <c r="C19" i="4"/>
  <c r="G8" i="28"/>
  <c r="A9" i="28"/>
  <c r="C23" i="4"/>
  <c r="D11" i="37"/>
  <c r="I9" i="28"/>
  <c r="E23" i="28"/>
  <c r="G23" i="28"/>
  <c r="A12" i="28"/>
  <c r="B12" i="28"/>
  <c r="E24" i="28"/>
  <c r="E13" i="4"/>
  <c r="E145" i="4"/>
  <c r="E53" i="37"/>
  <c r="E25" i="28"/>
  <c r="E14" i="28"/>
  <c r="E26" i="28"/>
  <c r="E27" i="28"/>
  <c r="E28" i="28"/>
  <c r="E29" i="28"/>
  <c r="E30" i="28"/>
  <c r="E31" i="28"/>
  <c r="E32" i="28"/>
  <c r="E21" i="28"/>
  <c r="E33" i="28"/>
  <c r="E22" i="28"/>
  <c r="G22" i="28"/>
  <c r="A23" i="28"/>
  <c r="G24" i="28"/>
  <c r="C62" i="4"/>
  <c r="C1" i="22"/>
  <c r="A4" i="22"/>
  <c r="A5" i="22"/>
  <c r="I29" i="22"/>
  <c r="I30" i="22"/>
  <c r="F30" i="22"/>
  <c r="H30" i="22"/>
  <c r="H31" i="22"/>
  <c r="H33" i="22"/>
  <c r="D31" i="22"/>
  <c r="D33" i="22"/>
  <c r="F31" i="22"/>
  <c r="F33" i="22"/>
  <c r="F32" i="22"/>
  <c r="H32" i="22"/>
  <c r="D35" i="22"/>
  <c r="D36" i="22"/>
  <c r="F36" i="22"/>
  <c r="H36" i="22"/>
  <c r="H37" i="22"/>
  <c r="H39" i="22"/>
  <c r="D37" i="22"/>
  <c r="D39" i="22"/>
  <c r="F37" i="22"/>
  <c r="F39" i="22"/>
  <c r="D38" i="22"/>
  <c r="F38" i="22"/>
  <c r="H38" i="22"/>
  <c r="C1" i="35"/>
  <c r="A7" i="35"/>
  <c r="G14" i="35"/>
  <c r="H14" i="35"/>
  <c r="G16" i="35"/>
  <c r="H16" i="35"/>
  <c r="G18" i="35"/>
  <c r="H18" i="35"/>
  <c r="G20" i="35"/>
  <c r="H20" i="35"/>
  <c r="G22" i="35"/>
  <c r="H22" i="35"/>
  <c r="G24" i="35"/>
  <c r="H24" i="35"/>
  <c r="G26" i="35"/>
  <c r="H26" i="35"/>
  <c r="I28" i="35"/>
  <c r="A3" i="37"/>
  <c r="D3" i="37"/>
  <c r="A4" i="37"/>
  <c r="A59" i="37"/>
  <c r="D4" i="37"/>
  <c r="A5" i="37"/>
  <c r="D5" i="37"/>
  <c r="F5" i="37"/>
  <c r="H5" i="37"/>
  <c r="A6" i="37"/>
  <c r="D6" i="37"/>
  <c r="D7" i="37"/>
  <c r="A7" i="37"/>
  <c r="A8" i="37"/>
  <c r="D8" i="37"/>
  <c r="A9" i="37"/>
  <c r="D9" i="37"/>
  <c r="A10" i="37"/>
  <c r="C22" i="4"/>
  <c r="D10" i="37"/>
  <c r="A11" i="37"/>
  <c r="A13" i="37"/>
  <c r="F32" i="4"/>
  <c r="H32" i="4"/>
  <c r="I13" i="37"/>
  <c r="A14" i="37"/>
  <c r="F33" i="4"/>
  <c r="H33" i="4"/>
  <c r="I14" i="37"/>
  <c r="F34" i="4"/>
  <c r="G15" i="37"/>
  <c r="H34" i="4"/>
  <c r="I15" i="37"/>
  <c r="E16" i="37"/>
  <c r="F35" i="4"/>
  <c r="H35" i="4"/>
  <c r="I16" i="37"/>
  <c r="E17" i="37"/>
  <c r="G17" i="37"/>
  <c r="I17" i="37"/>
  <c r="D18" i="37"/>
  <c r="C7" i="4"/>
  <c r="D19" i="37"/>
  <c r="A61" i="37"/>
  <c r="G24" i="37"/>
  <c r="C175" i="4"/>
  <c r="D26" i="37"/>
  <c r="D27" i="37"/>
  <c r="C174" i="4"/>
  <c r="G27" i="37"/>
  <c r="D28" i="37"/>
  <c r="D29" i="37"/>
  <c r="D30" i="37"/>
  <c r="D31" i="37"/>
  <c r="A36" i="37"/>
  <c r="B36" i="37"/>
  <c r="E36" i="37"/>
  <c r="G128" i="4"/>
  <c r="G36" i="37"/>
  <c r="A37" i="37"/>
  <c r="B37" i="37"/>
  <c r="E37" i="37"/>
  <c r="G129" i="4"/>
  <c r="A38" i="37"/>
  <c r="B38" i="37"/>
  <c r="E38" i="37"/>
  <c r="G130" i="4"/>
  <c r="G38" i="37"/>
  <c r="A39" i="37"/>
  <c r="B39" i="37"/>
  <c r="E39" i="37"/>
  <c r="G131" i="4"/>
  <c r="G39" i="37"/>
  <c r="A40" i="37"/>
  <c r="B40" i="37"/>
  <c r="E40" i="37"/>
  <c r="G132" i="4"/>
  <c r="G40" i="37"/>
  <c r="A41" i="37"/>
  <c r="B41" i="37"/>
  <c r="E41" i="37"/>
  <c r="G133" i="4"/>
  <c r="A42" i="37"/>
  <c r="B42" i="37"/>
  <c r="E42" i="37"/>
  <c r="G134" i="4"/>
  <c r="G42" i="37"/>
  <c r="A43" i="37"/>
  <c r="B43" i="37"/>
  <c r="E43" i="37"/>
  <c r="G135" i="4"/>
  <c r="G43" i="37"/>
  <c r="A44" i="37"/>
  <c r="B44" i="37"/>
  <c r="E44" i="37"/>
  <c r="G136" i="4"/>
  <c r="A45" i="37"/>
  <c r="B45" i="37"/>
  <c r="E45" i="37"/>
  <c r="G137" i="4"/>
  <c r="G45" i="37"/>
  <c r="A46" i="37"/>
  <c r="B46" i="37"/>
  <c r="E46" i="37"/>
  <c r="G138" i="4"/>
  <c r="G46" i="37"/>
  <c r="A47" i="37"/>
  <c r="B47" i="37"/>
  <c r="E47" i="37"/>
  <c r="G139" i="4"/>
  <c r="G47" i="37"/>
  <c r="A48" i="37"/>
  <c r="B48" i="37"/>
  <c r="E48" i="37"/>
  <c r="G140" i="4"/>
  <c r="G48" i="37"/>
  <c r="A49" i="37"/>
  <c r="B49" i="37"/>
  <c r="E49" i="37"/>
  <c r="G141" i="4"/>
  <c r="G49" i="37"/>
  <c r="A50" i="37"/>
  <c r="B50" i="37"/>
  <c r="E50" i="37"/>
  <c r="G142" i="4"/>
  <c r="G50" i="37"/>
  <c r="A51" i="37"/>
  <c r="B51" i="37"/>
  <c r="E51" i="37"/>
  <c r="G143" i="4"/>
  <c r="G51" i="37"/>
  <c r="A52" i="37"/>
  <c r="B52" i="37"/>
  <c r="E52" i="37"/>
  <c r="G144" i="4"/>
  <c r="G52" i="37"/>
  <c r="A53" i="37"/>
  <c r="B53" i="37"/>
  <c r="G53" i="37"/>
  <c r="A54" i="37"/>
  <c r="B54" i="37"/>
  <c r="G54" i="37"/>
  <c r="A55" i="37"/>
  <c r="B55" i="37"/>
  <c r="G55" i="37"/>
  <c r="A58" i="37"/>
  <c r="D58" i="37"/>
  <c r="D59" i="37"/>
  <c r="A62" i="37"/>
  <c r="D62" i="37"/>
  <c r="F67" i="37"/>
  <c r="D69" i="37"/>
  <c r="F69" i="37"/>
  <c r="A1" i="31"/>
  <c r="F6" i="31"/>
  <c r="I12" i="31"/>
  <c r="I13" i="31"/>
  <c r="I14" i="31"/>
  <c r="I15" i="31"/>
  <c r="C24" i="31"/>
  <c r="C25" i="31"/>
  <c r="C26" i="31"/>
  <c r="C27" i="31"/>
  <c r="C28" i="31"/>
  <c r="C29" i="31"/>
  <c r="C30" i="31"/>
  <c r="C31" i="31"/>
  <c r="C32" i="31"/>
  <c r="C33" i="31"/>
  <c r="C34" i="31"/>
  <c r="C35" i="31"/>
  <c r="C36" i="31"/>
  <c r="C37" i="31"/>
  <c r="C38" i="31"/>
  <c r="C39" i="31"/>
  <c r="C40" i="31"/>
  <c r="C41" i="31"/>
  <c r="C42" i="31"/>
  <c r="C43" i="31"/>
  <c r="C44" i="31"/>
  <c r="C45" i="31"/>
  <c r="C46" i="31"/>
  <c r="C47" i="31"/>
  <c r="C1" i="18"/>
  <c r="A2" i="18"/>
  <c r="U3" i="18"/>
  <c r="I4" i="18"/>
  <c r="C14" i="4"/>
  <c r="H14" i="4"/>
  <c r="H5" i="64"/>
  <c r="S10" i="18"/>
  <c r="S13" i="18"/>
  <c r="S16" i="18"/>
  <c r="S19" i="18"/>
  <c r="S22" i="18"/>
  <c r="S25" i="18"/>
  <c r="S28" i="18"/>
  <c r="S31" i="18"/>
  <c r="S34" i="18"/>
  <c r="L36" i="18"/>
  <c r="C4" i="4"/>
  <c r="I5" i="45" s="1"/>
  <c r="C1" i="43"/>
  <c r="C46" i="43"/>
  <c r="C91" i="43"/>
  <c r="C136" i="43"/>
  <c r="H4" i="43"/>
  <c r="H139" i="43"/>
  <c r="J139" i="43" s="1"/>
  <c r="H94" i="43"/>
  <c r="A103" i="43"/>
  <c r="A104" i="43" s="1"/>
  <c r="A105" i="43" s="1"/>
  <c r="A106" i="43" s="1"/>
  <c r="A107" i="43" s="1"/>
  <c r="A108" i="43" s="1"/>
  <c r="A109" i="43" s="1"/>
  <c r="A110" i="43" s="1"/>
  <c r="A111" i="43" s="1"/>
  <c r="A112" i="43" s="1"/>
  <c r="A114" i="43" s="1"/>
  <c r="A115" i="43" s="1"/>
  <c r="A116" i="43" s="1"/>
  <c r="A117" i="43" s="1"/>
  <c r="A118" i="43" s="1"/>
  <c r="A119" i="43" s="1"/>
  <c r="A120" i="43" s="1"/>
  <c r="A121" i="43" s="1"/>
  <c r="A122" i="43" s="1"/>
  <c r="A123" i="43" s="1"/>
  <c r="C103" i="43" s="1"/>
  <c r="C104" i="43" s="1"/>
  <c r="C105" i="43" s="1"/>
  <c r="C106" i="43" s="1"/>
  <c r="C107" i="43" s="1"/>
  <c r="C108" i="43" s="1"/>
  <c r="C109" i="43" s="1"/>
  <c r="C110" i="43" s="1"/>
  <c r="C111" i="43" s="1"/>
  <c r="C112" i="43" s="1"/>
  <c r="C114" i="43" s="1"/>
  <c r="C115" i="43" s="1"/>
  <c r="C116" i="43" s="1"/>
  <c r="C117" i="43" s="1"/>
  <c r="C118" i="43" s="1"/>
  <c r="C119" i="43" s="1"/>
  <c r="C120" i="43" s="1"/>
  <c r="C121" i="43" s="1"/>
  <c r="C122" i="43" s="1"/>
  <c r="C123" i="43" s="1"/>
  <c r="E103" i="43" s="1"/>
  <c r="E104" i="43" s="1"/>
  <c r="E105" i="43" s="1"/>
  <c r="E106" i="43" s="1"/>
  <c r="E107" i="43" s="1"/>
  <c r="E108" i="43" s="1"/>
  <c r="E109" i="43" s="1"/>
  <c r="E110" i="43" s="1"/>
  <c r="E111" i="43" s="1"/>
  <c r="E112" i="43" s="1"/>
  <c r="E114" i="43" s="1"/>
  <c r="E115" i="43" s="1"/>
  <c r="E116" i="43" s="1"/>
  <c r="E117" i="43" s="1"/>
  <c r="E118" i="43" s="1"/>
  <c r="E119" i="43" s="1"/>
  <c r="E120" i="43" s="1"/>
  <c r="E121" i="43" s="1"/>
  <c r="E122" i="43" s="1"/>
  <c r="E123" i="43" s="1"/>
  <c r="G103" i="43" s="1"/>
  <c r="G104" i="43" s="1"/>
  <c r="G105" i="43" s="1"/>
  <c r="G106" i="43" s="1"/>
  <c r="G107" i="43" s="1"/>
  <c r="G108" i="43" s="1"/>
  <c r="G109" i="43" s="1"/>
  <c r="G110" i="43" s="1"/>
  <c r="G111" i="43" s="1"/>
  <c r="G112" i="43" s="1"/>
  <c r="G114" i="43" s="1"/>
  <c r="G115" i="43" s="1"/>
  <c r="G116" i="43" s="1"/>
  <c r="G117" i="43" s="1"/>
  <c r="G118" i="43" s="1"/>
  <c r="G119" i="43" s="1"/>
  <c r="G120" i="43" s="1"/>
  <c r="G121" i="43" s="1"/>
  <c r="G122" i="43" s="1"/>
  <c r="G123" i="43" s="1"/>
  <c r="I103" i="43" s="1"/>
  <c r="I104" i="43" s="1"/>
  <c r="I105" i="43" s="1"/>
  <c r="I106" i="43" s="1"/>
  <c r="I107" i="43" s="1"/>
  <c r="I108" i="43" s="1"/>
  <c r="I109" i="43" s="1"/>
  <c r="I110" i="43" s="1"/>
  <c r="I111" i="43" s="1"/>
  <c r="I112" i="43" s="1"/>
  <c r="I114" i="43" s="1"/>
  <c r="I115" i="43" s="1"/>
  <c r="I116" i="43" s="1"/>
  <c r="I117" i="43" s="1"/>
  <c r="I118" i="43" s="1"/>
  <c r="I119" i="43" s="1"/>
  <c r="I120" i="43" s="1"/>
  <c r="I121" i="43" s="1"/>
  <c r="I122" i="43" s="1"/>
  <c r="I123" i="43" s="1"/>
  <c r="H49" i="43"/>
  <c r="C5" i="43"/>
  <c r="C6" i="43"/>
  <c r="C51" i="43"/>
  <c r="C96" i="43"/>
  <c r="C141" i="43"/>
  <c r="H6" i="43"/>
  <c r="H8" i="43"/>
  <c r="B23" i="43"/>
  <c r="D23" i="43"/>
  <c r="F23" i="43"/>
  <c r="H23" i="43"/>
  <c r="J23" i="43"/>
  <c r="J35" i="43" s="1"/>
  <c r="B41" i="43" s="1"/>
  <c r="B34" i="43"/>
  <c r="D34" i="43"/>
  <c r="D35" i="43" s="1"/>
  <c r="B38" i="43" s="1"/>
  <c r="F34" i="43"/>
  <c r="O35" i="49" s="1"/>
  <c r="H34" i="43"/>
  <c r="H35" i="43"/>
  <c r="B40" i="43"/>
  <c r="J34" i="43"/>
  <c r="B35" i="43"/>
  <c r="B37" i="43" s="1"/>
  <c r="B68" i="43"/>
  <c r="B80" i="43"/>
  <c r="B82" i="43" s="1"/>
  <c r="B79" i="43"/>
  <c r="D68" i="43"/>
  <c r="D79" i="43"/>
  <c r="D80" i="43"/>
  <c r="B83" i="43" s="1"/>
  <c r="F68" i="43"/>
  <c r="F79" i="43"/>
  <c r="H68" i="43"/>
  <c r="H80" i="43" s="1"/>
  <c r="B85" i="43" s="1"/>
  <c r="H79" i="43"/>
  <c r="J68" i="43"/>
  <c r="J79" i="43"/>
  <c r="B113" i="43"/>
  <c r="B124" i="43"/>
  <c r="B125" i="43" s="1"/>
  <c r="B127" i="43" s="1"/>
  <c r="D113" i="43"/>
  <c r="D124" i="43"/>
  <c r="D125" i="43" s="1"/>
  <c r="B128" i="43" s="1"/>
  <c r="F113" i="43"/>
  <c r="F125" i="43"/>
  <c r="B129" i="43" s="1"/>
  <c r="F124" i="43"/>
  <c r="H113" i="43"/>
  <c r="H125" i="43" s="1"/>
  <c r="B130" i="43" s="1"/>
  <c r="H124" i="43"/>
  <c r="J113" i="43"/>
  <c r="J124" i="43"/>
  <c r="B158" i="43"/>
  <c r="B170" i="43"/>
  <c r="B172" i="43"/>
  <c r="B169" i="43"/>
  <c r="D158" i="43"/>
  <c r="D170" i="43" s="1"/>
  <c r="B173" i="43" s="1"/>
  <c r="D169" i="43"/>
  <c r="F158" i="43"/>
  <c r="F169" i="43"/>
  <c r="H158" i="43"/>
  <c r="H170" i="43" s="1"/>
  <c r="B175" i="43" s="1"/>
  <c r="H169" i="43"/>
  <c r="J158" i="43"/>
  <c r="J170" i="43"/>
  <c r="B176" i="43"/>
  <c r="J169" i="43"/>
  <c r="C50" i="43"/>
  <c r="C95" i="43"/>
  <c r="H50" i="43"/>
  <c r="H95" i="43"/>
  <c r="H140" i="43"/>
  <c r="H51" i="43"/>
  <c r="H96" i="43"/>
  <c r="H141" i="43"/>
  <c r="C52" i="43"/>
  <c r="H52" i="43"/>
  <c r="C53" i="43"/>
  <c r="H53" i="43"/>
  <c r="H98" i="43"/>
  <c r="H143" i="43"/>
  <c r="B54" i="43"/>
  <c r="E54" i="43"/>
  <c r="H54" i="43"/>
  <c r="J54" i="43"/>
  <c r="J99" i="43"/>
  <c r="J144" i="43"/>
  <c r="E55" i="43"/>
  <c r="E100" i="43"/>
  <c r="G55" i="43"/>
  <c r="G100" i="43"/>
  <c r="C97" i="43"/>
  <c r="C142" i="43"/>
  <c r="H97" i="43"/>
  <c r="H142" i="43"/>
  <c r="C98" i="43"/>
  <c r="C143" i="43"/>
  <c r="B99" i="43"/>
  <c r="E99" i="43"/>
  <c r="E144" i="43"/>
  <c r="H99" i="43"/>
  <c r="H144" i="43"/>
  <c r="G145" i="43"/>
  <c r="C140" i="43"/>
  <c r="B144" i="43"/>
  <c r="E145" i="43"/>
  <c r="B2" i="49"/>
  <c r="B119" i="49"/>
  <c r="D22" i="49"/>
  <c r="F6" i="49"/>
  <c r="F4" i="49"/>
  <c r="D67" i="49"/>
  <c r="M4" i="49"/>
  <c r="C8" i="4"/>
  <c r="G62" i="4"/>
  <c r="L6" i="49"/>
  <c r="B10" i="49"/>
  <c r="D10" i="49"/>
  <c r="E10" i="49"/>
  <c r="F10" i="49"/>
  <c r="H10" i="49"/>
  <c r="M17" i="49"/>
  <c r="M18" i="49"/>
  <c r="B23" i="49"/>
  <c r="B24" i="49"/>
  <c r="B25" i="49"/>
  <c r="B26" i="49"/>
  <c r="B27" i="49"/>
  <c r="B28" i="49"/>
  <c r="B29" i="49"/>
  <c r="B30" i="49"/>
  <c r="B31" i="49"/>
  <c r="B35" i="49"/>
  <c r="B36" i="49"/>
  <c r="B37" i="49"/>
  <c r="B38" i="49"/>
  <c r="B39" i="49"/>
  <c r="B40" i="49"/>
  <c r="B41" i="49"/>
  <c r="B42" i="49"/>
  <c r="B43" i="49"/>
  <c r="B44" i="49"/>
  <c r="B48" i="49"/>
  <c r="B49" i="49"/>
  <c r="B50" i="49"/>
  <c r="B51" i="49"/>
  <c r="B52" i="49"/>
  <c r="B53" i="49"/>
  <c r="B54" i="49"/>
  <c r="B55" i="49"/>
  <c r="B56" i="49"/>
  <c r="B57" i="49"/>
  <c r="H22" i="49"/>
  <c r="H23" i="49"/>
  <c r="H24" i="49"/>
  <c r="H25" i="49"/>
  <c r="H26" i="49"/>
  <c r="H27" i="49"/>
  <c r="H28" i="49"/>
  <c r="H29" i="49"/>
  <c r="H30" i="49"/>
  <c r="H31" i="49"/>
  <c r="H35" i="49"/>
  <c r="H36" i="49"/>
  <c r="H37" i="49"/>
  <c r="H38" i="49"/>
  <c r="H39" i="49"/>
  <c r="H40" i="49"/>
  <c r="H41" i="49"/>
  <c r="H42" i="49"/>
  <c r="H43" i="49"/>
  <c r="H44" i="49"/>
  <c r="H48" i="49"/>
  <c r="H49" i="49"/>
  <c r="H50" i="49"/>
  <c r="H51" i="49"/>
  <c r="H52" i="49"/>
  <c r="H53" i="49"/>
  <c r="H54" i="49"/>
  <c r="H55" i="49"/>
  <c r="H56" i="49"/>
  <c r="H57" i="49"/>
  <c r="B67" i="49"/>
  <c r="B68" i="49"/>
  <c r="B69" i="49"/>
  <c r="B70" i="49"/>
  <c r="B71" i="49"/>
  <c r="B72" i="49"/>
  <c r="B73" i="49"/>
  <c r="B74" i="49"/>
  <c r="B75" i="49"/>
  <c r="B76" i="49"/>
  <c r="B80" i="49"/>
  <c r="B81" i="49"/>
  <c r="B82" i="49"/>
  <c r="B83" i="49"/>
  <c r="B84" i="49"/>
  <c r="B85" i="49"/>
  <c r="B86" i="49"/>
  <c r="B87" i="49"/>
  <c r="B88" i="49"/>
  <c r="B89" i="49"/>
  <c r="B93" i="49"/>
  <c r="B94" i="49"/>
  <c r="B95" i="49"/>
  <c r="B96" i="49"/>
  <c r="B97" i="49"/>
  <c r="B98" i="49"/>
  <c r="B99" i="49"/>
  <c r="B100" i="49"/>
  <c r="B101" i="49"/>
  <c r="B102" i="49"/>
  <c r="B106" i="49"/>
  <c r="B107" i="49"/>
  <c r="B108" i="49"/>
  <c r="B109" i="49"/>
  <c r="B110" i="49"/>
  <c r="B111" i="49"/>
  <c r="B112" i="49"/>
  <c r="B113" i="49"/>
  <c r="B114" i="49"/>
  <c r="B115" i="49"/>
  <c r="H67" i="49"/>
  <c r="H68" i="49"/>
  <c r="H69" i="49"/>
  <c r="H70" i="49"/>
  <c r="H71" i="49"/>
  <c r="H72" i="49"/>
  <c r="H73" i="49"/>
  <c r="H74" i="49"/>
  <c r="H75" i="49"/>
  <c r="H76" i="49"/>
  <c r="H80" i="49"/>
  <c r="H81" i="49"/>
  <c r="H82" i="49"/>
  <c r="H83" i="49"/>
  <c r="H84" i="49"/>
  <c r="H85" i="49"/>
  <c r="H86" i="49"/>
  <c r="H87" i="49"/>
  <c r="H88" i="49"/>
  <c r="H89" i="49"/>
  <c r="H93" i="49"/>
  <c r="H94" i="49"/>
  <c r="H95" i="49"/>
  <c r="H96" i="49"/>
  <c r="H97" i="49"/>
  <c r="H98" i="49"/>
  <c r="H99" i="49"/>
  <c r="H100" i="49"/>
  <c r="H101" i="49"/>
  <c r="H102" i="49"/>
  <c r="H106" i="49"/>
  <c r="H107" i="49"/>
  <c r="H108" i="49"/>
  <c r="H109" i="49"/>
  <c r="H110" i="49"/>
  <c r="H111" i="49"/>
  <c r="H112" i="49"/>
  <c r="H113" i="49"/>
  <c r="H114" i="49"/>
  <c r="H115" i="49"/>
  <c r="B126" i="49"/>
  <c r="B127" i="49"/>
  <c r="B128" i="49"/>
  <c r="B129" i="49"/>
  <c r="B130" i="49"/>
  <c r="B131" i="49"/>
  <c r="B132" i="49"/>
  <c r="B133" i="49"/>
  <c r="B134" i="49"/>
  <c r="B135" i="49"/>
  <c r="B139" i="49"/>
  <c r="B140" i="49"/>
  <c r="B141" i="49"/>
  <c r="B142" i="49"/>
  <c r="B143" i="49"/>
  <c r="B144" i="49"/>
  <c r="B145" i="49"/>
  <c r="B146" i="49"/>
  <c r="B147" i="49"/>
  <c r="B148" i="49"/>
  <c r="B152" i="49"/>
  <c r="B153" i="49"/>
  <c r="B154" i="49"/>
  <c r="B155" i="49"/>
  <c r="B156" i="49"/>
  <c r="B157" i="49"/>
  <c r="B158" i="49"/>
  <c r="B159" i="49"/>
  <c r="B160" i="49"/>
  <c r="B161" i="49"/>
  <c r="B165" i="49"/>
  <c r="B166" i="49"/>
  <c r="B167" i="49"/>
  <c r="B168" i="49"/>
  <c r="B169" i="49"/>
  <c r="B170" i="49"/>
  <c r="B171" i="49"/>
  <c r="B172" i="49"/>
  <c r="B173" i="49"/>
  <c r="B174" i="49"/>
  <c r="H126" i="49"/>
  <c r="H127" i="49"/>
  <c r="H128" i="49"/>
  <c r="H129" i="49"/>
  <c r="H130" i="49"/>
  <c r="H131" i="49"/>
  <c r="H132" i="49"/>
  <c r="H133" i="49"/>
  <c r="H134" i="49"/>
  <c r="H135" i="49"/>
  <c r="H139" i="49"/>
  <c r="H140" i="49"/>
  <c r="H141" i="49"/>
  <c r="H142" i="49"/>
  <c r="H143" i="49"/>
  <c r="H144" i="49"/>
  <c r="H145" i="49"/>
  <c r="H146" i="49"/>
  <c r="H147" i="49"/>
  <c r="H148" i="49"/>
  <c r="H152" i="49"/>
  <c r="H153" i="49"/>
  <c r="H154" i="49"/>
  <c r="H155" i="49"/>
  <c r="H156" i="49"/>
  <c r="H157" i="49"/>
  <c r="H158" i="49"/>
  <c r="H159" i="49"/>
  <c r="H160" i="49"/>
  <c r="H161" i="49"/>
  <c r="H165" i="49"/>
  <c r="H166" i="49"/>
  <c r="H167" i="49"/>
  <c r="H168" i="49"/>
  <c r="H169" i="49"/>
  <c r="H170" i="49"/>
  <c r="H171" i="49"/>
  <c r="H172" i="49"/>
  <c r="H173" i="49"/>
  <c r="H174" i="49"/>
  <c r="B185" i="49"/>
  <c r="B186" i="49"/>
  <c r="B187" i="49"/>
  <c r="B188" i="49"/>
  <c r="B189" i="49"/>
  <c r="B190" i="49"/>
  <c r="B191" i="49"/>
  <c r="B192" i="49"/>
  <c r="B193" i="49"/>
  <c r="B194" i="49"/>
  <c r="B198" i="49"/>
  <c r="B199" i="49"/>
  <c r="B200" i="49"/>
  <c r="B201" i="49"/>
  <c r="B202" i="49"/>
  <c r="B203" i="49"/>
  <c r="B204" i="49"/>
  <c r="B205" i="49"/>
  <c r="B206" i="49"/>
  <c r="B207" i="49"/>
  <c r="B211" i="49"/>
  <c r="B212" i="49"/>
  <c r="B213" i="49"/>
  <c r="B214" i="49"/>
  <c r="B215" i="49"/>
  <c r="B216" i="49"/>
  <c r="B217" i="49"/>
  <c r="B218" i="49"/>
  <c r="B219" i="49"/>
  <c r="B220" i="49"/>
  <c r="B224" i="49"/>
  <c r="B225" i="49"/>
  <c r="B226" i="49"/>
  <c r="B227" i="49"/>
  <c r="B228" i="49"/>
  <c r="B229" i="49"/>
  <c r="B230" i="49"/>
  <c r="B231" i="49"/>
  <c r="B232" i="49"/>
  <c r="B233" i="49"/>
  <c r="H185" i="49"/>
  <c r="H186" i="49"/>
  <c r="H187" i="49"/>
  <c r="H188" i="49"/>
  <c r="H189" i="49"/>
  <c r="H190" i="49"/>
  <c r="H191" i="49"/>
  <c r="H192" i="49"/>
  <c r="H193" i="49"/>
  <c r="H194" i="49"/>
  <c r="H198" i="49"/>
  <c r="H199" i="49"/>
  <c r="H200" i="49"/>
  <c r="H201" i="49"/>
  <c r="H202" i="49"/>
  <c r="H203" i="49"/>
  <c r="H204" i="49"/>
  <c r="H205" i="49"/>
  <c r="H206" i="49"/>
  <c r="H207" i="49"/>
  <c r="H211" i="49"/>
  <c r="H212" i="49"/>
  <c r="H213" i="49"/>
  <c r="H214" i="49"/>
  <c r="H215" i="49"/>
  <c r="H216" i="49"/>
  <c r="H217" i="49"/>
  <c r="H218" i="49"/>
  <c r="H219" i="49"/>
  <c r="H220" i="49"/>
  <c r="H224" i="49"/>
  <c r="H225" i="49"/>
  <c r="H226" i="49"/>
  <c r="H227" i="49"/>
  <c r="H228" i="49"/>
  <c r="H229" i="49"/>
  <c r="H230" i="49"/>
  <c r="H231" i="49"/>
  <c r="H232" i="49"/>
  <c r="H233" i="49"/>
  <c r="B244" i="49"/>
  <c r="B245" i="49"/>
  <c r="B246" i="49"/>
  <c r="B247" i="49"/>
  <c r="B248" i="49"/>
  <c r="B249" i="49"/>
  <c r="B250" i="49"/>
  <c r="B251" i="49"/>
  <c r="B252" i="49"/>
  <c r="B253" i="49"/>
  <c r="B257" i="49"/>
  <c r="B258" i="49"/>
  <c r="B259" i="49"/>
  <c r="B260" i="49"/>
  <c r="B261" i="49"/>
  <c r="B262" i="49"/>
  <c r="B263" i="49"/>
  <c r="B264" i="49"/>
  <c r="B265" i="49"/>
  <c r="B266" i="49"/>
  <c r="B270" i="49"/>
  <c r="B271" i="49"/>
  <c r="B272" i="49"/>
  <c r="B273" i="49"/>
  <c r="B274" i="49"/>
  <c r="B275" i="49"/>
  <c r="B276" i="49"/>
  <c r="B277" i="49"/>
  <c r="B278" i="49"/>
  <c r="B279" i="49"/>
  <c r="B283" i="49"/>
  <c r="B284" i="49"/>
  <c r="B285" i="49"/>
  <c r="B286" i="49"/>
  <c r="B287" i="49"/>
  <c r="B288" i="49"/>
  <c r="B289" i="49"/>
  <c r="B290" i="49"/>
  <c r="B291" i="49"/>
  <c r="B292" i="49"/>
  <c r="H244" i="49"/>
  <c r="H245" i="49"/>
  <c r="H246" i="49"/>
  <c r="H247" i="49"/>
  <c r="H248" i="49"/>
  <c r="H249" i="49"/>
  <c r="H250" i="49"/>
  <c r="H251" i="49"/>
  <c r="H252" i="49"/>
  <c r="H253" i="49"/>
  <c r="H257" i="49"/>
  <c r="H258" i="49"/>
  <c r="H259" i="49"/>
  <c r="H260" i="49"/>
  <c r="H261" i="49"/>
  <c r="H262" i="49"/>
  <c r="H263" i="49"/>
  <c r="H264" i="49"/>
  <c r="H265" i="49"/>
  <c r="H266" i="49"/>
  <c r="H270" i="49"/>
  <c r="H271" i="49"/>
  <c r="H272" i="49"/>
  <c r="H273" i="49"/>
  <c r="H274" i="49"/>
  <c r="H275" i="49"/>
  <c r="H276" i="49"/>
  <c r="H277" i="49"/>
  <c r="H278" i="49"/>
  <c r="H279" i="49"/>
  <c r="H283" i="49"/>
  <c r="H284" i="49"/>
  <c r="H285" i="49"/>
  <c r="H286" i="49"/>
  <c r="H287" i="49"/>
  <c r="H288" i="49"/>
  <c r="H289" i="49"/>
  <c r="H290" i="49"/>
  <c r="H291" i="49"/>
  <c r="H292" i="49"/>
  <c r="J22" i="49"/>
  <c r="J33" i="49" s="1"/>
  <c r="O25" i="49" s="1"/>
  <c r="D23" i="49"/>
  <c r="D24" i="49"/>
  <c r="D25" i="49"/>
  <c r="D26" i="49"/>
  <c r="D27" i="49"/>
  <c r="D28" i="49"/>
  <c r="D29" i="49"/>
  <c r="D30" i="49"/>
  <c r="D31" i="49"/>
  <c r="D35" i="49"/>
  <c r="D46" i="49" s="1"/>
  <c r="O23" i="49" s="1"/>
  <c r="D36" i="49"/>
  <c r="D37" i="49"/>
  <c r="D38" i="49"/>
  <c r="D39" i="49"/>
  <c r="D40" i="49"/>
  <c r="D41" i="49"/>
  <c r="D42" i="49"/>
  <c r="D43" i="49"/>
  <c r="D44" i="49"/>
  <c r="D48" i="49"/>
  <c r="D49" i="49"/>
  <c r="D50" i="49"/>
  <c r="D51" i="49"/>
  <c r="D52" i="49"/>
  <c r="D53" i="49"/>
  <c r="D54" i="49"/>
  <c r="D55" i="49"/>
  <c r="D56" i="49"/>
  <c r="D57" i="49"/>
  <c r="J23" i="49"/>
  <c r="J24" i="49"/>
  <c r="J25" i="49"/>
  <c r="J26" i="49"/>
  <c r="J27" i="49"/>
  <c r="J28" i="49"/>
  <c r="J29" i="49"/>
  <c r="J30" i="49"/>
  <c r="J31" i="49"/>
  <c r="J35" i="49"/>
  <c r="J46" i="49"/>
  <c r="O26" i="49" s="1"/>
  <c r="J36" i="49"/>
  <c r="J37" i="49"/>
  <c r="J38" i="49"/>
  <c r="J39" i="49"/>
  <c r="J40" i="49"/>
  <c r="J41" i="49"/>
  <c r="J42" i="49"/>
  <c r="J43" i="49"/>
  <c r="J44" i="49"/>
  <c r="J48" i="49"/>
  <c r="J49" i="49"/>
  <c r="J50" i="49"/>
  <c r="J51" i="49"/>
  <c r="J52" i="49"/>
  <c r="J53" i="49"/>
  <c r="J54" i="49"/>
  <c r="J55" i="49"/>
  <c r="J56" i="49"/>
  <c r="J57" i="49"/>
  <c r="J59" i="49"/>
  <c r="J67" i="49"/>
  <c r="J78" i="49" s="1"/>
  <c r="O72" i="49" s="1"/>
  <c r="D68" i="49"/>
  <c r="D69" i="49"/>
  <c r="D78" i="49" s="1"/>
  <c r="O67" i="49" s="1"/>
  <c r="D70" i="49"/>
  <c r="D71" i="49"/>
  <c r="D72" i="49"/>
  <c r="D73" i="49"/>
  <c r="D74" i="49"/>
  <c r="D75" i="49"/>
  <c r="D76" i="49"/>
  <c r="D80" i="49"/>
  <c r="D81" i="49"/>
  <c r="D82" i="49"/>
  <c r="D83" i="49"/>
  <c r="D84" i="49"/>
  <c r="D85" i="49"/>
  <c r="D86" i="49"/>
  <c r="D87" i="49"/>
  <c r="D88" i="49"/>
  <c r="D91" i="49" s="1"/>
  <c r="O70" i="49" s="1"/>
  <c r="D89" i="49"/>
  <c r="D93" i="49"/>
  <c r="D104" i="49" s="1"/>
  <c r="O80" i="49" s="1"/>
  <c r="D94" i="49"/>
  <c r="D95" i="49"/>
  <c r="D96" i="49"/>
  <c r="D97" i="49"/>
  <c r="D98" i="49"/>
  <c r="D99" i="49"/>
  <c r="D100" i="49"/>
  <c r="D101" i="49"/>
  <c r="D102" i="49"/>
  <c r="D106" i="49"/>
  <c r="D107" i="49"/>
  <c r="D108" i="49"/>
  <c r="D109" i="49"/>
  <c r="D110" i="49"/>
  <c r="D111" i="49"/>
  <c r="D112" i="49"/>
  <c r="D113" i="49"/>
  <c r="D114" i="49"/>
  <c r="D115" i="49"/>
  <c r="J68" i="49"/>
  <c r="J69" i="49"/>
  <c r="J70" i="49"/>
  <c r="J71" i="49"/>
  <c r="J72" i="49"/>
  <c r="J73" i="49"/>
  <c r="J74" i="49"/>
  <c r="J75" i="49"/>
  <c r="J76" i="49"/>
  <c r="J80" i="49"/>
  <c r="J81" i="49"/>
  <c r="J91" i="49" s="1"/>
  <c r="O82" i="49" s="1"/>
  <c r="J82" i="49"/>
  <c r="J83" i="49"/>
  <c r="J84" i="49"/>
  <c r="J85" i="49"/>
  <c r="J86" i="49"/>
  <c r="J87" i="49"/>
  <c r="J88" i="49"/>
  <c r="J89" i="49"/>
  <c r="J93" i="49"/>
  <c r="J104" i="49" s="1"/>
  <c r="O94" i="49" s="1"/>
  <c r="J94" i="49"/>
  <c r="J95" i="49"/>
  <c r="J96" i="49"/>
  <c r="J97" i="49"/>
  <c r="J98" i="49"/>
  <c r="J99" i="49"/>
  <c r="J100" i="49"/>
  <c r="J101" i="49"/>
  <c r="J102" i="49"/>
  <c r="J106" i="49"/>
  <c r="J107" i="49"/>
  <c r="J108" i="49"/>
  <c r="J117" i="49" s="1"/>
  <c r="O106" i="49" s="1"/>
  <c r="J109" i="49"/>
  <c r="J110" i="49"/>
  <c r="J111" i="49"/>
  <c r="J112" i="49"/>
  <c r="J113" i="49"/>
  <c r="J114" i="49"/>
  <c r="J115" i="49"/>
  <c r="D126" i="49"/>
  <c r="D137" i="49" s="1"/>
  <c r="O126" i="49" s="1"/>
  <c r="D185" i="49"/>
  <c r="J126" i="49"/>
  <c r="D127" i="49"/>
  <c r="D128" i="49"/>
  <c r="D129" i="49"/>
  <c r="D130" i="49"/>
  <c r="D131" i="49"/>
  <c r="D132" i="49"/>
  <c r="D133" i="49"/>
  <c r="D134" i="49"/>
  <c r="D135" i="49"/>
  <c r="D139" i="49"/>
  <c r="D150" i="49" s="1"/>
  <c r="O139" i="49" s="1"/>
  <c r="D140" i="49"/>
  <c r="D141" i="49"/>
  <c r="D142" i="49"/>
  <c r="D143" i="49"/>
  <c r="D144" i="49"/>
  <c r="D145" i="49"/>
  <c r="D146" i="49"/>
  <c r="D147" i="49"/>
  <c r="D148" i="49"/>
  <c r="D152" i="49"/>
  <c r="D163" i="49" s="1"/>
  <c r="O152" i="49" s="1"/>
  <c r="D153" i="49"/>
  <c r="D154" i="49"/>
  <c r="D155" i="49"/>
  <c r="D156" i="49"/>
  <c r="D157" i="49"/>
  <c r="D158" i="49"/>
  <c r="D159" i="49"/>
  <c r="D160" i="49"/>
  <c r="D161" i="49"/>
  <c r="D165" i="49"/>
  <c r="D176" i="49" s="1"/>
  <c r="O164" i="49" s="1"/>
  <c r="D166" i="49"/>
  <c r="D167" i="49"/>
  <c r="D168" i="49"/>
  <c r="D169" i="49"/>
  <c r="D170" i="49"/>
  <c r="D171" i="49"/>
  <c r="D172" i="49"/>
  <c r="D173" i="49"/>
  <c r="D174" i="49"/>
  <c r="J127" i="49"/>
  <c r="J128" i="49"/>
  <c r="J129" i="49"/>
  <c r="J137" i="49" s="1"/>
  <c r="O129" i="49" s="1"/>
  <c r="J130" i="49"/>
  <c r="J131" i="49"/>
  <c r="J132" i="49"/>
  <c r="J133" i="49"/>
  <c r="J134" i="49"/>
  <c r="J135" i="49"/>
  <c r="J139" i="49"/>
  <c r="J140" i="49"/>
  <c r="J141" i="49"/>
  <c r="J142" i="49"/>
  <c r="J143" i="49"/>
  <c r="J144" i="49"/>
  <c r="J145" i="49"/>
  <c r="J150" i="49" s="1"/>
  <c r="O142" i="49" s="1"/>
  <c r="J146" i="49"/>
  <c r="J147" i="49"/>
  <c r="J148" i="49"/>
  <c r="J152" i="49"/>
  <c r="J163" i="49" s="1"/>
  <c r="O155" i="49" s="1"/>
  <c r="J153" i="49"/>
  <c r="J154" i="49"/>
  <c r="J155" i="49"/>
  <c r="J156" i="49"/>
  <c r="J157" i="49"/>
  <c r="J158" i="49"/>
  <c r="J159" i="49"/>
  <c r="J160" i="49"/>
  <c r="J161" i="49"/>
  <c r="J165" i="49"/>
  <c r="J166" i="49"/>
  <c r="J167" i="49"/>
  <c r="J168" i="49"/>
  <c r="J169" i="49"/>
  <c r="J170" i="49"/>
  <c r="J171" i="49"/>
  <c r="J172" i="49"/>
  <c r="J173" i="49"/>
  <c r="J174" i="49"/>
  <c r="D244" i="49"/>
  <c r="D255" i="49" s="1"/>
  <c r="O244" i="49" s="1"/>
  <c r="K237" i="49"/>
  <c r="M237" i="49" s="1"/>
  <c r="M178" i="49" s="1"/>
  <c r="J185" i="49"/>
  <c r="D186" i="49"/>
  <c r="D187" i="49"/>
  <c r="D188" i="49"/>
  <c r="D189" i="49"/>
  <c r="D190" i="49"/>
  <c r="D191" i="49"/>
  <c r="D192" i="49"/>
  <c r="D196" i="49" s="1"/>
  <c r="O185" i="49" s="1"/>
  <c r="D193" i="49"/>
  <c r="D194" i="49"/>
  <c r="D198" i="49"/>
  <c r="D199" i="49"/>
  <c r="D209" i="49" s="1"/>
  <c r="O198" i="49" s="1"/>
  <c r="D200" i="49"/>
  <c r="D201" i="49"/>
  <c r="D202" i="49"/>
  <c r="D203" i="49"/>
  <c r="D204" i="49"/>
  <c r="D205" i="49"/>
  <c r="D206" i="49"/>
  <c r="D207" i="49"/>
  <c r="D211" i="49"/>
  <c r="D212" i="49"/>
  <c r="D213" i="49"/>
  <c r="D214" i="49"/>
  <c r="D215" i="49"/>
  <c r="D216" i="49"/>
  <c r="D217" i="49"/>
  <c r="D218" i="49"/>
  <c r="D219" i="49"/>
  <c r="D220" i="49"/>
  <c r="D224" i="49"/>
  <c r="D235" i="49" s="1"/>
  <c r="O224" i="49" s="1"/>
  <c r="D225" i="49"/>
  <c r="D226" i="49"/>
  <c r="D227" i="49"/>
  <c r="D228" i="49"/>
  <c r="D229" i="49"/>
  <c r="D230" i="49"/>
  <c r="D231" i="49"/>
  <c r="D232" i="49"/>
  <c r="D233" i="49"/>
  <c r="J186" i="49"/>
  <c r="J187" i="49"/>
  <c r="J188" i="49"/>
  <c r="J189" i="49"/>
  <c r="J190" i="49"/>
  <c r="J191" i="49"/>
  <c r="J192" i="49"/>
  <c r="J193" i="49"/>
  <c r="J194" i="49"/>
  <c r="J198" i="49"/>
  <c r="J209" i="49" s="1"/>
  <c r="O201" i="49" s="1"/>
  <c r="J199" i="49"/>
  <c r="J200" i="49"/>
  <c r="J201" i="49"/>
  <c r="J202" i="49"/>
  <c r="J203" i="49"/>
  <c r="J204" i="49"/>
  <c r="J205" i="49"/>
  <c r="J206" i="49"/>
  <c r="J207" i="49"/>
  <c r="J211" i="49"/>
  <c r="J212" i="49"/>
  <c r="J222" i="49" s="1"/>
  <c r="O214" i="49" s="1"/>
  <c r="J213" i="49"/>
  <c r="J214" i="49"/>
  <c r="J215" i="49"/>
  <c r="J216" i="49"/>
  <c r="J217" i="49"/>
  <c r="J218" i="49"/>
  <c r="J219" i="49"/>
  <c r="J220" i="49"/>
  <c r="J224" i="49"/>
  <c r="J225" i="49"/>
  <c r="J226" i="49"/>
  <c r="J235" i="49" s="1"/>
  <c r="O227" i="49" s="1"/>
  <c r="J227" i="49"/>
  <c r="J228" i="49"/>
  <c r="J229" i="49"/>
  <c r="J230" i="49"/>
  <c r="J231" i="49"/>
  <c r="J232" i="49"/>
  <c r="J233" i="49"/>
  <c r="J244" i="49"/>
  <c r="D245" i="49"/>
  <c r="D246" i="49"/>
  <c r="D247" i="49"/>
  <c r="D248" i="49"/>
  <c r="D249" i="49"/>
  <c r="D250" i="49"/>
  <c r="D251" i="49"/>
  <c r="D252" i="49"/>
  <c r="D253" i="49"/>
  <c r="D257" i="49"/>
  <c r="D258" i="49"/>
  <c r="D268" i="49"/>
  <c r="O257" i="49"/>
  <c r="D259" i="49"/>
  <c r="D260" i="49"/>
  <c r="D261" i="49"/>
  <c r="D262" i="49"/>
  <c r="D263" i="49"/>
  <c r="D264" i="49"/>
  <c r="D265" i="49"/>
  <c r="D266" i="49"/>
  <c r="D270" i="49"/>
  <c r="D281" i="49" s="1"/>
  <c r="O270" i="49" s="1"/>
  <c r="D271" i="49"/>
  <c r="D272" i="49"/>
  <c r="D273" i="49"/>
  <c r="D274" i="49"/>
  <c r="D275" i="49"/>
  <c r="D276" i="49"/>
  <c r="D277" i="49"/>
  <c r="D278" i="49"/>
  <c r="D279" i="49"/>
  <c r="D283" i="49"/>
  <c r="D284" i="49"/>
  <c r="D285" i="49"/>
  <c r="D286" i="49"/>
  <c r="D287" i="49"/>
  <c r="D288" i="49"/>
  <c r="D289" i="49"/>
  <c r="D290" i="49"/>
  <c r="D291" i="49"/>
  <c r="D292" i="49"/>
  <c r="J245" i="49"/>
  <c r="J246" i="49"/>
  <c r="J247" i="49"/>
  <c r="J248" i="49"/>
  <c r="J255" i="49" s="1"/>
  <c r="O247" i="49" s="1"/>
  <c r="J249" i="49"/>
  <c r="J250" i="49"/>
  <c r="J251" i="49"/>
  <c r="J252" i="49"/>
  <c r="J253" i="49"/>
  <c r="J257" i="49"/>
  <c r="J258" i="49"/>
  <c r="J259" i="49"/>
  <c r="J260" i="49"/>
  <c r="J261" i="49"/>
  <c r="J262" i="49"/>
  <c r="J263" i="49"/>
  <c r="J264" i="49"/>
  <c r="J265" i="49"/>
  <c r="J266" i="49"/>
  <c r="J270" i="49"/>
  <c r="J281" i="49" s="1"/>
  <c r="O273" i="49" s="1"/>
  <c r="J271" i="49"/>
  <c r="J272" i="49"/>
  <c r="J273" i="49"/>
  <c r="J274" i="49"/>
  <c r="J275" i="49"/>
  <c r="J276" i="49"/>
  <c r="J277" i="49"/>
  <c r="J278" i="49"/>
  <c r="J279" i="49"/>
  <c r="J283" i="49"/>
  <c r="J284" i="49"/>
  <c r="J285" i="49"/>
  <c r="J286" i="49"/>
  <c r="J287" i="49"/>
  <c r="J288" i="49"/>
  <c r="J289" i="49"/>
  <c r="J290" i="49"/>
  <c r="J291" i="49"/>
  <c r="J292" i="49"/>
  <c r="C3" i="15"/>
  <c r="C51" i="15"/>
  <c r="C99" i="15"/>
  <c r="C147" i="15"/>
  <c r="E3" i="15"/>
  <c r="C4" i="15"/>
  <c r="O216" i="40"/>
  <c r="O217" i="40"/>
  <c r="O218" i="40"/>
  <c r="O219" i="40"/>
  <c r="O220" i="40"/>
  <c r="O221" i="40"/>
  <c r="O222" i="40"/>
  <c r="O138" i="40"/>
  <c r="O139" i="40"/>
  <c r="O140" i="40"/>
  <c r="O141" i="40"/>
  <c r="O142" i="40"/>
  <c r="O143" i="40"/>
  <c r="O144" i="40"/>
  <c r="O60" i="40"/>
  <c r="O61" i="40"/>
  <c r="O62" i="40"/>
  <c r="O63" i="40"/>
  <c r="O64" i="40"/>
  <c r="O65" i="40"/>
  <c r="O66" i="40"/>
  <c r="C28" i="15"/>
  <c r="E68" i="15"/>
  <c r="E116" i="15"/>
  <c r="E164" i="15"/>
  <c r="G5" i="16"/>
  <c r="G52" i="16" s="1"/>
  <c r="D6" i="16"/>
  <c r="D53" i="16" s="1"/>
  <c r="C9" i="16"/>
  <c r="D9" i="16"/>
  <c r="E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O163" i="40"/>
  <c r="O164" i="40"/>
  <c r="O165" i="40"/>
  <c r="O166" i="40"/>
  <c r="O167" i="40"/>
  <c r="O168" i="40"/>
  <c r="O169" i="40"/>
  <c r="O170" i="40"/>
  <c r="O171" i="40"/>
  <c r="O172" i="40"/>
  <c r="O173" i="40"/>
  <c r="O174" i="40"/>
  <c r="O175" i="40"/>
  <c r="O176" i="40"/>
  <c r="O177" i="40"/>
  <c r="O178" i="40"/>
  <c r="O179" i="40"/>
  <c r="O180" i="40"/>
  <c r="O181" i="40"/>
  <c r="O182" i="40"/>
  <c r="O183" i="40"/>
  <c r="O184" i="40"/>
  <c r="O185" i="40"/>
  <c r="O186" i="40"/>
  <c r="O187" i="40"/>
  <c r="O188" i="40"/>
  <c r="O189" i="40"/>
  <c r="O190" i="40"/>
  <c r="J17" i="23" s="1"/>
  <c r="O191" i="40"/>
  <c r="O192" i="40"/>
  <c r="O193" i="40"/>
  <c r="O194" i="40"/>
  <c r="O195" i="40"/>
  <c r="O196" i="40"/>
  <c r="O197" i="40"/>
  <c r="O198" i="40"/>
  <c r="O199" i="40"/>
  <c r="O200" i="40"/>
  <c r="O201" i="40"/>
  <c r="O202" i="40"/>
  <c r="O203" i="40"/>
  <c r="O204" i="40"/>
  <c r="O205" i="40"/>
  <c r="O206" i="40"/>
  <c r="O207" i="40"/>
  <c r="O208" i="40"/>
  <c r="O209" i="40"/>
  <c r="O210" i="40"/>
  <c r="O211" i="40"/>
  <c r="O212" i="40"/>
  <c r="O213" i="40"/>
  <c r="O214" i="40"/>
  <c r="O215" i="40"/>
  <c r="O223" i="40"/>
  <c r="O224" i="40"/>
  <c r="O225" i="40"/>
  <c r="O226" i="40"/>
  <c r="O227" i="40"/>
  <c r="O228" i="40"/>
  <c r="O229" i="40"/>
  <c r="N152" i="40"/>
  <c r="L1092" i="57" s="1"/>
  <c r="M152" i="40"/>
  <c r="L1037" i="57" s="1"/>
  <c r="L152" i="40"/>
  <c r="L982" i="57"/>
  <c r="K152" i="40"/>
  <c r="L927" i="57" s="1"/>
  <c r="J152" i="40"/>
  <c r="L872" i="57" s="1"/>
  <c r="I152" i="40"/>
  <c r="L817" i="57" s="1"/>
  <c r="H152" i="40"/>
  <c r="L762" i="57" s="1"/>
  <c r="G152" i="40"/>
  <c r="L707" i="57" s="1"/>
  <c r="F152" i="40"/>
  <c r="L652" i="57" s="1"/>
  <c r="E152" i="40"/>
  <c r="J82" i="40" s="1"/>
  <c r="N74" i="40"/>
  <c r="L542" i="57" s="1"/>
  <c r="M74" i="40"/>
  <c r="L487" i="57" s="1"/>
  <c r="L74" i="40"/>
  <c r="L432" i="57" s="1"/>
  <c r="K74" i="40"/>
  <c r="L377" i="57" s="1"/>
  <c r="J74" i="40"/>
  <c r="L322" i="57" s="1"/>
  <c r="I74" i="40"/>
  <c r="L267" i="57" s="1"/>
  <c r="H74" i="40"/>
  <c r="L212" i="57" s="1"/>
  <c r="G74" i="40"/>
  <c r="L157" i="57" s="1"/>
  <c r="F74" i="40"/>
  <c r="L102" i="57" s="1"/>
  <c r="E74" i="40"/>
  <c r="E76" i="40" s="1"/>
  <c r="F40" i="16"/>
  <c r="D41" i="16"/>
  <c r="E107" i="16"/>
  <c r="F99" i="16"/>
  <c r="E43" i="16"/>
  <c r="E103" i="16" s="1"/>
  <c r="O7" i="40"/>
  <c r="O85" i="40"/>
  <c r="O86" i="40"/>
  <c r="O8" i="40"/>
  <c r="O12" i="40"/>
  <c r="O90" i="40"/>
  <c r="O89" i="40"/>
  <c r="O11" i="40"/>
  <c r="O9" i="40"/>
  <c r="O10" i="40"/>
  <c r="O13" i="40"/>
  <c r="O87" i="40"/>
  <c r="O88" i="40"/>
  <c r="O91" i="40"/>
  <c r="O69" i="40"/>
  <c r="O147" i="40"/>
  <c r="J5" i="23"/>
  <c r="O113" i="40"/>
  <c r="O105" i="40"/>
  <c r="O35" i="40"/>
  <c r="O27" i="40"/>
  <c r="O14" i="40"/>
  <c r="O92" i="40"/>
  <c r="O18" i="40"/>
  <c r="O96" i="40"/>
  <c r="O98" i="40"/>
  <c r="O20" i="40"/>
  <c r="O21" i="40"/>
  <c r="O99" i="40"/>
  <c r="O104" i="40"/>
  <c r="O26" i="40"/>
  <c r="O24" i="40"/>
  <c r="O102" i="40"/>
  <c r="O101" i="40"/>
  <c r="O100" i="40"/>
  <c r="O22" i="40"/>
  <c r="O23" i="40"/>
  <c r="J14" i="23" s="1"/>
  <c r="O53" i="40"/>
  <c r="O54" i="40"/>
  <c r="O55" i="40"/>
  <c r="O56" i="40"/>
  <c r="O131" i="40"/>
  <c r="O132" i="40"/>
  <c r="O133" i="40"/>
  <c r="O134" i="40"/>
  <c r="O110" i="40"/>
  <c r="O109" i="40"/>
  <c r="O108" i="40"/>
  <c r="O32" i="40"/>
  <c r="O31" i="40"/>
  <c r="O30" i="40"/>
  <c r="O34" i="40"/>
  <c r="O112" i="40"/>
  <c r="O118" i="40"/>
  <c r="O119" i="40"/>
  <c r="O120" i="40"/>
  <c r="O121" i="40"/>
  <c r="O122" i="40"/>
  <c r="O123" i="40"/>
  <c r="O124" i="40"/>
  <c r="O125" i="40"/>
  <c r="O126" i="40"/>
  <c r="O127" i="40"/>
  <c r="O128" i="40"/>
  <c r="O129" i="40"/>
  <c r="O40" i="40"/>
  <c r="O41" i="40"/>
  <c r="O42" i="40"/>
  <c r="O43" i="40"/>
  <c r="O44" i="40"/>
  <c r="O45" i="40"/>
  <c r="O46" i="40"/>
  <c r="O47" i="40"/>
  <c r="O48" i="40"/>
  <c r="O49" i="40"/>
  <c r="O50" i="40"/>
  <c r="O51" i="40"/>
  <c r="O28" i="40"/>
  <c r="O106" i="40"/>
  <c r="O151" i="40"/>
  <c r="O150" i="40"/>
  <c r="O149" i="40"/>
  <c r="O148" i="40"/>
  <c r="O146" i="40"/>
  <c r="O73" i="40"/>
  <c r="O72" i="40"/>
  <c r="O71" i="40"/>
  <c r="O70" i="40"/>
  <c r="O68" i="40"/>
  <c r="J19" i="23"/>
  <c r="J21" i="23"/>
  <c r="J23" i="23"/>
  <c r="J25" i="23"/>
  <c r="J26" i="23"/>
  <c r="J27" i="23"/>
  <c r="D54" i="16"/>
  <c r="G99" i="16"/>
  <c r="V4" i="45"/>
  <c r="C5" i="45"/>
  <c r="M5" i="45"/>
  <c r="W5" i="45"/>
  <c r="S5" i="45"/>
  <c r="AC5" i="45" s="1"/>
  <c r="L12" i="41"/>
  <c r="L14" i="41" s="1"/>
  <c r="P38" i="41"/>
  <c r="L30" i="41"/>
  <c r="L48" i="41" s="1"/>
  <c r="P56" i="41"/>
  <c r="P74" i="41"/>
  <c r="N12" i="41"/>
  <c r="N30" i="41" s="1"/>
  <c r="I20" i="45"/>
  <c r="P12" i="41"/>
  <c r="P30" i="41" s="1"/>
  <c r="V20" i="41"/>
  <c r="R12" i="41"/>
  <c r="R14" i="41" s="1"/>
  <c r="T12" i="41"/>
  <c r="T28" i="41"/>
  <c r="T46" i="41"/>
  <c r="T64" i="41"/>
  <c r="S20" i="45"/>
  <c r="R39" i="41"/>
  <c r="R57" i="41"/>
  <c r="R75" i="41"/>
  <c r="R93" i="41"/>
  <c r="R111" i="41"/>
  <c r="R129" i="41"/>
  <c r="R147" i="41"/>
  <c r="R165" i="41"/>
  <c r="R183" i="41"/>
  <c r="R201" i="41"/>
  <c r="R219" i="41"/>
  <c r="R237" i="41"/>
  <c r="R255" i="41"/>
  <c r="R273" i="41"/>
  <c r="R291" i="41"/>
  <c r="R309" i="41"/>
  <c r="R327" i="41"/>
  <c r="R345" i="41"/>
  <c r="R363" i="41"/>
  <c r="R381" i="41"/>
  <c r="R399" i="41"/>
  <c r="R417" i="41"/>
  <c r="R435" i="41"/>
  <c r="R453" i="41"/>
  <c r="R471" i="41"/>
  <c r="R489" i="41"/>
  <c r="R507" i="41"/>
  <c r="R525" i="41"/>
  <c r="R543" i="41"/>
  <c r="AB20" i="41"/>
  <c r="Z28" i="41"/>
  <c r="Z46" i="41"/>
  <c r="Z64" i="41"/>
  <c r="Z82" i="41"/>
  <c r="Z100" i="41"/>
  <c r="Z118" i="41"/>
  <c r="Z136" i="41"/>
  <c r="Z154" i="41"/>
  <c r="Z172" i="41"/>
  <c r="Z190" i="41"/>
  <c r="Z208" i="41"/>
  <c r="Z226" i="41"/>
  <c r="Z244" i="41"/>
  <c r="Z262" i="41"/>
  <c r="Z280" i="41"/>
  <c r="Z298" i="41"/>
  <c r="Z316" i="41"/>
  <c r="Z334" i="41"/>
  <c r="Z352" i="41"/>
  <c r="Z370" i="41"/>
  <c r="Z388" i="41"/>
  <c r="Z406" i="41"/>
  <c r="Z424" i="41"/>
  <c r="Z442" i="41"/>
  <c r="Z460" i="41"/>
  <c r="Z478" i="41"/>
  <c r="Z496" i="41"/>
  <c r="Z514" i="41"/>
  <c r="Z532" i="41"/>
  <c r="AC20" i="45"/>
  <c r="L13" i="41"/>
  <c r="L31" i="41"/>
  <c r="L49" i="41" s="1"/>
  <c r="L67" i="41" s="1"/>
  <c r="N13" i="41"/>
  <c r="N31" i="41"/>
  <c r="I35" i="45"/>
  <c r="P13" i="41"/>
  <c r="S35" i="45"/>
  <c r="AC35" i="45"/>
  <c r="L29" i="41"/>
  <c r="L47" i="41"/>
  <c r="L16" i="41"/>
  <c r="L34" i="41" s="1"/>
  <c r="L52" i="41" s="1"/>
  <c r="L70" i="41" s="1"/>
  <c r="L33" i="41"/>
  <c r="L51" i="41"/>
  <c r="L69" i="41"/>
  <c r="L87" i="41"/>
  <c r="L105" i="41"/>
  <c r="L123" i="41"/>
  <c r="L141" i="41"/>
  <c r="L159" i="41"/>
  <c r="L177" i="41"/>
  <c r="L195" i="41"/>
  <c r="L213" i="41"/>
  <c r="L231" i="41"/>
  <c r="L249" i="41"/>
  <c r="L267" i="41"/>
  <c r="L285" i="41"/>
  <c r="L303" i="41"/>
  <c r="L321" i="41"/>
  <c r="L339" i="41"/>
  <c r="L357" i="41"/>
  <c r="L375" i="41"/>
  <c r="L393" i="41"/>
  <c r="L411" i="41"/>
  <c r="L429" i="41"/>
  <c r="L447" i="41"/>
  <c r="L465" i="41"/>
  <c r="L483" i="41"/>
  <c r="L501" i="41"/>
  <c r="L519" i="41"/>
  <c r="L537" i="41"/>
  <c r="N16" i="41"/>
  <c r="N34" i="41" s="1"/>
  <c r="N52" i="41" s="1"/>
  <c r="N70" i="41" s="1"/>
  <c r="N88" i="41" s="1"/>
  <c r="N106" i="41" s="1"/>
  <c r="N124" i="41" s="1"/>
  <c r="N142" i="41" s="1"/>
  <c r="N160" i="41" s="1"/>
  <c r="N178" i="41" s="1"/>
  <c r="N196" i="41" s="1"/>
  <c r="N214" i="41" s="1"/>
  <c r="N232" i="41" s="1"/>
  <c r="N250" i="41" s="1"/>
  <c r="N268" i="41" s="1"/>
  <c r="N286" i="41" s="1"/>
  <c r="N304" i="41" s="1"/>
  <c r="N322" i="41" s="1"/>
  <c r="N340" i="41" s="1"/>
  <c r="N358" i="41" s="1"/>
  <c r="N376" i="41" s="1"/>
  <c r="N394" i="41" s="1"/>
  <c r="N412" i="41" s="1"/>
  <c r="N430" i="41" s="1"/>
  <c r="N448" i="41" s="1"/>
  <c r="N466" i="41" s="1"/>
  <c r="N484" i="41" s="1"/>
  <c r="N502" i="41" s="1"/>
  <c r="N520" i="41" s="1"/>
  <c r="N538" i="41" s="1"/>
  <c r="D45" i="45" s="1"/>
  <c r="N29" i="41"/>
  <c r="N47" i="41"/>
  <c r="N65" i="41"/>
  <c r="N83" i="41"/>
  <c r="N101" i="41"/>
  <c r="N119" i="41"/>
  <c r="N137" i="41"/>
  <c r="N155" i="41"/>
  <c r="N173" i="41"/>
  <c r="N191" i="41"/>
  <c r="N209" i="41"/>
  <c r="N227" i="41"/>
  <c r="N245" i="41"/>
  <c r="N263" i="41"/>
  <c r="N281" i="41"/>
  <c r="N299" i="41"/>
  <c r="N317" i="41"/>
  <c r="N335" i="41"/>
  <c r="N353" i="41"/>
  <c r="N371" i="41"/>
  <c r="N389" i="41"/>
  <c r="N407" i="41"/>
  <c r="N425" i="41"/>
  <c r="N443" i="41"/>
  <c r="N461" i="41"/>
  <c r="N479" i="41"/>
  <c r="N497" i="41"/>
  <c r="N515" i="41"/>
  <c r="N533" i="41"/>
  <c r="N33" i="41"/>
  <c r="N51" i="41"/>
  <c r="N69" i="41"/>
  <c r="N87" i="41"/>
  <c r="N105" i="41"/>
  <c r="N123" i="41"/>
  <c r="N141" i="41"/>
  <c r="N159" i="41"/>
  <c r="N177" i="41"/>
  <c r="N195" i="41"/>
  <c r="N213" i="41"/>
  <c r="N231" i="41"/>
  <c r="N249" i="41"/>
  <c r="N267" i="41"/>
  <c r="N285" i="41"/>
  <c r="N303" i="41"/>
  <c r="N321" i="41"/>
  <c r="N339" i="41"/>
  <c r="N357" i="41"/>
  <c r="N375" i="41"/>
  <c r="N393" i="41"/>
  <c r="N411" i="41"/>
  <c r="N429" i="41"/>
  <c r="N447" i="41"/>
  <c r="N465" i="41"/>
  <c r="N483" i="41"/>
  <c r="N501" i="41"/>
  <c r="N519" i="41"/>
  <c r="N537" i="41"/>
  <c r="P29" i="41"/>
  <c r="P47" i="41"/>
  <c r="P65" i="41"/>
  <c r="P83" i="41"/>
  <c r="P101" i="41"/>
  <c r="P119" i="41"/>
  <c r="P137" i="41"/>
  <c r="P155" i="41"/>
  <c r="P173" i="41"/>
  <c r="P191" i="41"/>
  <c r="P209" i="41"/>
  <c r="P227" i="41"/>
  <c r="P245" i="41"/>
  <c r="P263" i="41"/>
  <c r="P281" i="41"/>
  <c r="P299" i="41"/>
  <c r="P317" i="41"/>
  <c r="P335" i="41"/>
  <c r="P353" i="41"/>
  <c r="P371" i="41"/>
  <c r="P389" i="41"/>
  <c r="P407" i="41"/>
  <c r="P425" i="41"/>
  <c r="P443" i="41"/>
  <c r="P461" i="41"/>
  <c r="P479" i="41"/>
  <c r="P497" i="41"/>
  <c r="P515" i="41"/>
  <c r="P533" i="41"/>
  <c r="P33" i="41"/>
  <c r="P51" i="41"/>
  <c r="P69" i="41"/>
  <c r="P87" i="41"/>
  <c r="P105" i="41"/>
  <c r="P123" i="41"/>
  <c r="P141" i="41"/>
  <c r="P159" i="41"/>
  <c r="P177" i="41"/>
  <c r="P195" i="41"/>
  <c r="P213" i="41"/>
  <c r="P231" i="41"/>
  <c r="P249" i="41"/>
  <c r="P267" i="41"/>
  <c r="P285" i="41"/>
  <c r="P303" i="41"/>
  <c r="P321" i="41"/>
  <c r="P339" i="41"/>
  <c r="P357" i="41"/>
  <c r="P375" i="41"/>
  <c r="P393" i="41"/>
  <c r="P411" i="41"/>
  <c r="P429" i="41"/>
  <c r="P447" i="41"/>
  <c r="P465" i="41"/>
  <c r="P483" i="41"/>
  <c r="P501" i="41"/>
  <c r="P519" i="41"/>
  <c r="P537" i="41"/>
  <c r="P16" i="41"/>
  <c r="P34" i="41"/>
  <c r="P52" i="41" s="1"/>
  <c r="P70" i="41" s="1"/>
  <c r="P88" i="41" s="1"/>
  <c r="P106" i="41" s="1"/>
  <c r="P124" i="41" s="1"/>
  <c r="P142" i="41" s="1"/>
  <c r="P160" i="41" s="1"/>
  <c r="P178" i="41" s="1"/>
  <c r="P196" i="41" s="1"/>
  <c r="P214" i="41" s="1"/>
  <c r="P232" i="41" s="1"/>
  <c r="P250" i="41" s="1"/>
  <c r="P268" i="41" s="1"/>
  <c r="P286" i="41" s="1"/>
  <c r="P304" i="41" s="1"/>
  <c r="P322" i="41" s="1"/>
  <c r="P340" i="41" s="1"/>
  <c r="P358" i="41" s="1"/>
  <c r="P376" i="41" s="1"/>
  <c r="P394" i="41" s="1"/>
  <c r="P412" i="41" s="1"/>
  <c r="P430" i="41" s="1"/>
  <c r="P448" i="41" s="1"/>
  <c r="P466" i="41" s="1"/>
  <c r="P484" i="41" s="1"/>
  <c r="P502" i="41" s="1"/>
  <c r="P520" i="41" s="1"/>
  <c r="P538" i="41" s="1"/>
  <c r="D46" i="45" s="1"/>
  <c r="R16" i="41"/>
  <c r="R34" i="41" s="1"/>
  <c r="R52" i="41" s="1"/>
  <c r="R70" i="41" s="1"/>
  <c r="T16" i="41"/>
  <c r="T34" i="41" s="1"/>
  <c r="T52" i="41" s="1"/>
  <c r="T70" i="41" s="1"/>
  <c r="T88" i="41" s="1"/>
  <c r="T106" i="41" s="1"/>
  <c r="T124" i="41" s="1"/>
  <c r="T142" i="41" s="1"/>
  <c r="T160" i="41" s="1"/>
  <c r="T178" i="41" s="1"/>
  <c r="T196" i="41" s="1"/>
  <c r="T214" i="41" s="1"/>
  <c r="T232" i="41" s="1"/>
  <c r="T250" i="41" s="1"/>
  <c r="T268" i="41" s="1"/>
  <c r="T286" i="41" s="1"/>
  <c r="T304" i="41" s="1"/>
  <c r="T322" i="41" s="1"/>
  <c r="T340" i="41" s="1"/>
  <c r="T358" i="41" s="1"/>
  <c r="T376" i="41" s="1"/>
  <c r="T394" i="41" s="1"/>
  <c r="T412" i="41" s="1"/>
  <c r="T430" i="41" s="1"/>
  <c r="T448" i="41" s="1"/>
  <c r="T466" i="41" s="1"/>
  <c r="T484" i="41" s="1"/>
  <c r="T502" i="41" s="1"/>
  <c r="T520" i="41" s="1"/>
  <c r="T538" i="41" s="1"/>
  <c r="N45" i="45" s="1"/>
  <c r="V16" i="41"/>
  <c r="V34" i="41" s="1"/>
  <c r="V52" i="41" s="1"/>
  <c r="V70" i="41" s="1"/>
  <c r="V88" i="41" s="1"/>
  <c r="V106" i="41" s="1"/>
  <c r="V124" i="41" s="1"/>
  <c r="V142" i="41" s="1"/>
  <c r="V160" i="41" s="1"/>
  <c r="V178" i="41" s="1"/>
  <c r="V196" i="41" s="1"/>
  <c r="V214" i="41" s="1"/>
  <c r="V232" i="41" s="1"/>
  <c r="V250" i="41" s="1"/>
  <c r="V268" i="41" s="1"/>
  <c r="V286" i="41" s="1"/>
  <c r="V304" i="41" s="1"/>
  <c r="V322" i="41" s="1"/>
  <c r="V340" i="41" s="1"/>
  <c r="V358" i="41" s="1"/>
  <c r="V376" i="41" s="1"/>
  <c r="V394" i="41" s="1"/>
  <c r="V412" i="41" s="1"/>
  <c r="V430" i="41" s="1"/>
  <c r="V448" i="41" s="1"/>
  <c r="V466" i="41" s="1"/>
  <c r="V484" i="41" s="1"/>
  <c r="V502" i="41" s="1"/>
  <c r="V520" i="41" s="1"/>
  <c r="V538" i="41" s="1"/>
  <c r="N46" i="45" s="1"/>
  <c r="H61" i="45"/>
  <c r="R61" i="45"/>
  <c r="AB61" i="45"/>
  <c r="C3" i="41"/>
  <c r="A66" i="45" s="1"/>
  <c r="I66" i="45"/>
  <c r="E5" i="40"/>
  <c r="F5" i="40" s="1"/>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A1" i="29"/>
  <c r="F5" i="29"/>
  <c r="G7" i="29"/>
  <c r="G43" i="29"/>
  <c r="G8" i="29"/>
  <c r="B49" i="29"/>
  <c r="F49" i="29"/>
  <c r="C49" i="29"/>
  <c r="G50" i="29"/>
  <c r="B1" i="57"/>
  <c r="B56" i="57"/>
  <c r="E1" i="4"/>
  <c r="J2" i="57"/>
  <c r="J57" i="57"/>
  <c r="J112" i="57"/>
  <c r="J167" i="57" s="1"/>
  <c r="J222" i="57" s="1"/>
  <c r="J277" i="57" s="1"/>
  <c r="J332" i="57" s="1"/>
  <c r="J387" i="57" s="1"/>
  <c r="J442" i="57" s="1"/>
  <c r="J497" i="57" s="1"/>
  <c r="J552" i="57" s="1"/>
  <c r="J607" i="57" s="1"/>
  <c r="J662" i="57" s="1"/>
  <c r="J717" i="57" s="1"/>
  <c r="J772" i="57" s="1"/>
  <c r="J827" i="57" s="1"/>
  <c r="J882" i="57" s="1"/>
  <c r="J937" i="57" s="1"/>
  <c r="J992" i="57" s="1"/>
  <c r="J1047" i="57" s="1"/>
  <c r="J1102" i="57" s="1"/>
  <c r="J1157" i="57" s="1"/>
  <c r="J1212" i="57" s="1"/>
  <c r="J1267" i="57" s="1"/>
  <c r="J1322" i="57" s="1"/>
  <c r="J1377" i="57" s="1"/>
  <c r="J1432" i="57" s="1"/>
  <c r="J1487" i="57" s="1"/>
  <c r="J1542" i="57" s="1"/>
  <c r="J1597" i="57" s="1"/>
  <c r="C5" i="57"/>
  <c r="C9" i="4"/>
  <c r="D7" i="57"/>
  <c r="D62" i="57"/>
  <c r="D116" i="57"/>
  <c r="D171" i="57"/>
  <c r="D226" i="57"/>
  <c r="D281" i="57"/>
  <c r="D336" i="57"/>
  <c r="D391" i="57"/>
  <c r="D446" i="57"/>
  <c r="D501" i="57"/>
  <c r="D556" i="57"/>
  <c r="D611" i="57"/>
  <c r="D666" i="57"/>
  <c r="D721" i="57"/>
  <c r="D776" i="57"/>
  <c r="D831" i="57"/>
  <c r="D886" i="57"/>
  <c r="D941" i="57"/>
  <c r="D996" i="57"/>
  <c r="D1051" i="57"/>
  <c r="D1106" i="57"/>
  <c r="D1161" i="57"/>
  <c r="D1216" i="57"/>
  <c r="D1271" i="57"/>
  <c r="D1326" i="57"/>
  <c r="D1381" i="57"/>
  <c r="D1436" i="57"/>
  <c r="D1491" i="57"/>
  <c r="D1546" i="57"/>
  <c r="D1601" i="57"/>
  <c r="E31" i="4"/>
  <c r="F9" i="57"/>
  <c r="F64" i="57"/>
  <c r="F118" i="57"/>
  <c r="F173" i="57"/>
  <c r="L9" i="57"/>
  <c r="G31" i="4"/>
  <c r="F11" i="57"/>
  <c r="F66" i="57"/>
  <c r="F120" i="57"/>
  <c r="F175" i="57"/>
  <c r="F230" i="57"/>
  <c r="F285" i="57"/>
  <c r="F340" i="57"/>
  <c r="F395" i="57"/>
  <c r="F450" i="57"/>
  <c r="F505" i="57"/>
  <c r="F560" i="57"/>
  <c r="F615" i="57"/>
  <c r="F670" i="57"/>
  <c r="F725" i="57"/>
  <c r="F780" i="57"/>
  <c r="F835" i="57"/>
  <c r="F890" i="57"/>
  <c r="F945" i="57"/>
  <c r="F1000" i="57"/>
  <c r="F1055" i="57"/>
  <c r="F1110" i="57"/>
  <c r="F1165" i="57"/>
  <c r="F1220" i="57"/>
  <c r="F1275" i="57"/>
  <c r="F1330" i="57"/>
  <c r="F1385" i="57"/>
  <c r="F1440" i="57"/>
  <c r="J11" i="57"/>
  <c r="D12" i="57"/>
  <c r="I31" i="4"/>
  <c r="F12" i="57"/>
  <c r="H12" i="57"/>
  <c r="J12" i="57"/>
  <c r="L12" i="57"/>
  <c r="L67" i="57"/>
  <c r="L121" i="57"/>
  <c r="D47" i="57"/>
  <c r="G47" i="57"/>
  <c r="G101" i="57"/>
  <c r="G156" i="57"/>
  <c r="G211" i="57"/>
  <c r="G266" i="57"/>
  <c r="G321" i="57"/>
  <c r="G376" i="57"/>
  <c r="G431" i="57"/>
  <c r="G486" i="57"/>
  <c r="G541" i="57"/>
  <c r="G596" i="57"/>
  <c r="G651" i="57"/>
  <c r="G706" i="57"/>
  <c r="L49" i="57"/>
  <c r="E52" i="57"/>
  <c r="E51" i="57"/>
  <c r="F52" i="57"/>
  <c r="F51" i="57"/>
  <c r="G52" i="57"/>
  <c r="G51" i="57"/>
  <c r="I53" i="57"/>
  <c r="I107" i="57"/>
  <c r="I162" i="57"/>
  <c r="I217" i="57"/>
  <c r="I272" i="57"/>
  <c r="I327" i="57"/>
  <c r="I382" i="57"/>
  <c r="I437" i="57"/>
  <c r="I492" i="57"/>
  <c r="I547" i="57"/>
  <c r="I602" i="57"/>
  <c r="I657" i="57"/>
  <c r="I712" i="57"/>
  <c r="I767" i="57"/>
  <c r="I822" i="57"/>
  <c r="I877" i="57"/>
  <c r="I932" i="57"/>
  <c r="I987" i="57"/>
  <c r="I1042" i="57"/>
  <c r="I1097" i="57"/>
  <c r="I1152" i="57"/>
  <c r="I1207" i="57"/>
  <c r="I1262" i="57"/>
  <c r="I1317" i="57"/>
  <c r="I1372" i="57"/>
  <c r="I1427" i="57"/>
  <c r="I1482" i="57"/>
  <c r="I1537" i="57"/>
  <c r="I1592" i="57"/>
  <c r="I1646" i="57"/>
  <c r="L53" i="57"/>
  <c r="L107" i="57"/>
  <c r="L162" i="57"/>
  <c r="L217" i="57"/>
  <c r="L272" i="57"/>
  <c r="L327" i="57"/>
  <c r="L382" i="57"/>
  <c r="C60" i="57"/>
  <c r="J62" i="57"/>
  <c r="J63" i="57"/>
  <c r="L64" i="57"/>
  <c r="L118" i="57"/>
  <c r="L173" i="57"/>
  <c r="L228" i="57"/>
  <c r="L283" i="57"/>
  <c r="L338" i="57"/>
  <c r="L393" i="57"/>
  <c r="L448" i="57"/>
  <c r="D66" i="57"/>
  <c r="J66" i="57"/>
  <c r="J120" i="57"/>
  <c r="J175" i="57"/>
  <c r="J230" i="57"/>
  <c r="J285" i="57"/>
  <c r="J340" i="57"/>
  <c r="J395" i="57"/>
  <c r="J450" i="57"/>
  <c r="J505" i="57"/>
  <c r="J560" i="57"/>
  <c r="J615" i="57"/>
  <c r="J670" i="57"/>
  <c r="J725" i="57"/>
  <c r="J780" i="57"/>
  <c r="J835" i="57"/>
  <c r="J890" i="57"/>
  <c r="J945" i="57"/>
  <c r="J1000" i="57"/>
  <c r="J1055" i="57"/>
  <c r="J1110" i="57"/>
  <c r="J1165" i="57"/>
  <c r="J1220" i="57"/>
  <c r="J1275" i="57"/>
  <c r="J1330" i="57"/>
  <c r="J1385" i="57"/>
  <c r="J1440" i="57"/>
  <c r="J1495" i="57"/>
  <c r="J1550" i="57"/>
  <c r="D67" i="57"/>
  <c r="D121" i="57"/>
  <c r="D176" i="57"/>
  <c r="F67" i="57"/>
  <c r="F121" i="57"/>
  <c r="F176" i="57"/>
  <c r="F231" i="57"/>
  <c r="F286" i="57"/>
  <c r="F341" i="57"/>
  <c r="F396" i="57"/>
  <c r="F451" i="57"/>
  <c r="F506" i="57"/>
  <c r="F561" i="57"/>
  <c r="F616" i="57"/>
  <c r="F671" i="57"/>
  <c r="F726" i="57"/>
  <c r="F781" i="57"/>
  <c r="F836" i="57"/>
  <c r="F891" i="57"/>
  <c r="F946" i="57"/>
  <c r="F1001" i="57"/>
  <c r="F1056" i="57"/>
  <c r="F1111" i="57"/>
  <c r="F1166" i="57"/>
  <c r="F1221" i="57"/>
  <c r="F1276" i="57"/>
  <c r="F1331" i="57"/>
  <c r="F1386" i="57"/>
  <c r="F1441" i="57"/>
  <c r="F1496" i="57"/>
  <c r="F1551" i="57"/>
  <c r="F1606" i="57"/>
  <c r="H67" i="57"/>
  <c r="H121" i="57"/>
  <c r="H176" i="57"/>
  <c r="J67" i="57"/>
  <c r="I71" i="57"/>
  <c r="I125" i="57"/>
  <c r="D101" i="57"/>
  <c r="D156" i="57"/>
  <c r="D211" i="57"/>
  <c r="D266" i="57"/>
  <c r="D321" i="57"/>
  <c r="G103" i="57"/>
  <c r="E105" i="57"/>
  <c r="F105" i="57"/>
  <c r="C114" i="57"/>
  <c r="J116" i="57"/>
  <c r="J171" i="57"/>
  <c r="J226" i="57"/>
  <c r="J117" i="57"/>
  <c r="J172" i="57"/>
  <c r="J227" i="57"/>
  <c r="J282" i="57"/>
  <c r="J337" i="57"/>
  <c r="D120" i="57"/>
  <c r="J121" i="57"/>
  <c r="J176" i="57"/>
  <c r="G158" i="57"/>
  <c r="G160" i="57"/>
  <c r="C169" i="57"/>
  <c r="D175" i="57"/>
  <c r="L176" i="57"/>
  <c r="I180" i="57"/>
  <c r="I235" i="57"/>
  <c r="G213" i="57"/>
  <c r="G268" i="57"/>
  <c r="C224" i="57"/>
  <c r="F228" i="57"/>
  <c r="D230" i="57"/>
  <c r="D231" i="57"/>
  <c r="D286" i="57"/>
  <c r="D341" i="57"/>
  <c r="D396" i="57"/>
  <c r="H231" i="57"/>
  <c r="H286" i="57"/>
  <c r="H341" i="57"/>
  <c r="H396" i="57"/>
  <c r="H451" i="57"/>
  <c r="H506" i="57"/>
  <c r="H561" i="57"/>
  <c r="H616" i="57"/>
  <c r="H671" i="57"/>
  <c r="H726" i="57"/>
  <c r="H781" i="57"/>
  <c r="H836" i="57"/>
  <c r="H891" i="57"/>
  <c r="H946" i="57"/>
  <c r="H1001" i="57"/>
  <c r="H1056" i="57"/>
  <c r="H1111" i="57"/>
  <c r="H1166" i="57"/>
  <c r="H1221" i="57"/>
  <c r="H1276" i="57"/>
  <c r="H1331" i="57"/>
  <c r="H1386" i="57"/>
  <c r="H1441" i="57"/>
  <c r="H1496" i="57"/>
  <c r="H1551" i="57"/>
  <c r="H1606" i="57"/>
  <c r="J231" i="57"/>
  <c r="J286" i="57"/>
  <c r="L231" i="57"/>
  <c r="L286" i="57"/>
  <c r="L341" i="57"/>
  <c r="L396" i="57"/>
  <c r="L451" i="57"/>
  <c r="L506" i="57"/>
  <c r="L561" i="57"/>
  <c r="L616" i="57"/>
  <c r="L671" i="57"/>
  <c r="L726" i="57"/>
  <c r="L781" i="57"/>
  <c r="L836" i="57"/>
  <c r="L891" i="57"/>
  <c r="L946" i="57"/>
  <c r="L1001" i="57"/>
  <c r="L1056" i="57"/>
  <c r="L1111" i="57"/>
  <c r="L1166" i="57"/>
  <c r="L236" i="57"/>
  <c r="L237" i="57"/>
  <c r="K237" i="57" s="1"/>
  <c r="L238" i="57"/>
  <c r="K238" i="57" s="1"/>
  <c r="L239" i="57"/>
  <c r="K239" i="57" s="1"/>
  <c r="L240" i="57"/>
  <c r="K240" i="57" s="1"/>
  <c r="C279" i="57"/>
  <c r="J281" i="57"/>
  <c r="J336" i="57"/>
  <c r="J391" i="57"/>
  <c r="J446" i="57"/>
  <c r="J501" i="57"/>
  <c r="J556" i="57"/>
  <c r="J611" i="57"/>
  <c r="J666" i="57"/>
  <c r="J721" i="57"/>
  <c r="J776" i="57"/>
  <c r="J831" i="57"/>
  <c r="J886" i="57"/>
  <c r="J941" i="57"/>
  <c r="J996" i="57"/>
  <c r="J1051" i="57"/>
  <c r="J1106" i="57"/>
  <c r="J1161" i="57"/>
  <c r="J1216" i="57"/>
  <c r="J1271" i="57"/>
  <c r="J1326" i="57"/>
  <c r="J1381" i="57"/>
  <c r="J1436" i="57"/>
  <c r="J1491" i="57"/>
  <c r="J1546" i="57"/>
  <c r="J1601" i="57"/>
  <c r="D283" i="57"/>
  <c r="F283" i="57"/>
  <c r="F338" i="57"/>
  <c r="F393" i="57"/>
  <c r="F448" i="57"/>
  <c r="F503" i="57"/>
  <c r="F558" i="57"/>
  <c r="F613" i="57"/>
  <c r="F668" i="57"/>
  <c r="F723" i="57"/>
  <c r="F778" i="57"/>
  <c r="F833" i="57"/>
  <c r="F888" i="57"/>
  <c r="F943" i="57"/>
  <c r="F998" i="57"/>
  <c r="F1053" i="57"/>
  <c r="F1108" i="57"/>
  <c r="F1163" i="57"/>
  <c r="F1218" i="57"/>
  <c r="F1273" i="57"/>
  <c r="D285" i="57"/>
  <c r="I290" i="57"/>
  <c r="I345" i="57"/>
  <c r="I400" i="57"/>
  <c r="I455" i="57"/>
  <c r="I510" i="57"/>
  <c r="I565" i="57"/>
  <c r="I620" i="57"/>
  <c r="I675" i="57"/>
  <c r="I730" i="57"/>
  <c r="I785" i="57"/>
  <c r="I840" i="57"/>
  <c r="G323" i="57"/>
  <c r="G378" i="57"/>
  <c r="C334" i="57"/>
  <c r="D340" i="57"/>
  <c r="J341" i="57"/>
  <c r="J396" i="57"/>
  <c r="D376" i="57"/>
  <c r="D431" i="57"/>
  <c r="D486" i="57"/>
  <c r="D541" i="57"/>
  <c r="D596" i="57"/>
  <c r="D651" i="57"/>
  <c r="D706" i="57"/>
  <c r="D761" i="57"/>
  <c r="D816" i="57"/>
  <c r="C389" i="57"/>
  <c r="J392" i="57"/>
  <c r="D395" i="57"/>
  <c r="G433" i="57"/>
  <c r="G488" i="57"/>
  <c r="G543" i="57"/>
  <c r="L437" i="57"/>
  <c r="L492" i="57"/>
  <c r="L547" i="57"/>
  <c r="C444" i="57"/>
  <c r="J447" i="57"/>
  <c r="J502" i="57"/>
  <c r="J557" i="57"/>
  <c r="J612" i="57"/>
  <c r="J667" i="57"/>
  <c r="J722" i="57"/>
  <c r="J777" i="57"/>
  <c r="J832" i="57"/>
  <c r="J887" i="57"/>
  <c r="J942" i="57"/>
  <c r="J997" i="57"/>
  <c r="J1052" i="57"/>
  <c r="J1107" i="57"/>
  <c r="J1162" i="57"/>
  <c r="J1217" i="57"/>
  <c r="J1272" i="57"/>
  <c r="D448" i="57"/>
  <c r="D450" i="57"/>
  <c r="D451" i="57"/>
  <c r="D506" i="57"/>
  <c r="D561" i="57"/>
  <c r="J451" i="57"/>
  <c r="J506" i="57"/>
  <c r="J561" i="57"/>
  <c r="J616" i="57"/>
  <c r="J671" i="57"/>
  <c r="J726" i="57"/>
  <c r="J781" i="57"/>
  <c r="J836" i="57"/>
  <c r="J891" i="57"/>
  <c r="J946" i="57"/>
  <c r="J1001" i="57"/>
  <c r="J1056" i="57"/>
  <c r="J1111" i="57"/>
  <c r="J1166" i="57"/>
  <c r="J1221" i="57"/>
  <c r="J1276" i="57"/>
  <c r="J1331" i="57"/>
  <c r="J1386" i="57"/>
  <c r="J1441" i="57"/>
  <c r="J1496" i="57"/>
  <c r="J1551" i="57"/>
  <c r="J1606" i="57"/>
  <c r="C499" i="57"/>
  <c r="D503" i="57"/>
  <c r="L503" i="57"/>
  <c r="L558" i="57"/>
  <c r="L613" i="57"/>
  <c r="L668" i="57"/>
  <c r="L723" i="57"/>
  <c r="L778" i="57"/>
  <c r="L833" i="57"/>
  <c r="L888" i="57"/>
  <c r="L943" i="57"/>
  <c r="L998" i="57"/>
  <c r="L1053" i="57"/>
  <c r="L1108" i="57"/>
  <c r="L1163" i="57"/>
  <c r="L1218" i="57"/>
  <c r="L1273" i="57"/>
  <c r="L1328" i="57"/>
  <c r="L1383" i="57"/>
  <c r="L1438" i="57"/>
  <c r="L1493" i="57"/>
  <c r="L1548" i="57"/>
  <c r="L1603" i="57"/>
  <c r="D505" i="57"/>
  <c r="C554" i="57"/>
  <c r="D560" i="57"/>
  <c r="G598" i="57"/>
  <c r="G653" i="57"/>
  <c r="G708" i="57"/>
  <c r="G763" i="57"/>
  <c r="G818" i="57"/>
  <c r="G873" i="57"/>
  <c r="L602" i="57"/>
  <c r="L657" i="57"/>
  <c r="L712" i="57"/>
  <c r="L767" i="57"/>
  <c r="L822" i="57"/>
  <c r="L877" i="57"/>
  <c r="C609" i="57"/>
  <c r="D613" i="57"/>
  <c r="D615" i="57"/>
  <c r="D616" i="57"/>
  <c r="D671" i="57"/>
  <c r="D726" i="57"/>
  <c r="D781" i="57"/>
  <c r="D836" i="57"/>
  <c r="D891" i="57"/>
  <c r="D946" i="57"/>
  <c r="D1001" i="57"/>
  <c r="C664" i="57"/>
  <c r="D668" i="57"/>
  <c r="D670" i="57"/>
  <c r="C719" i="57"/>
  <c r="D725" i="57"/>
  <c r="G761" i="57"/>
  <c r="G816" i="57"/>
  <c r="G871" i="57"/>
  <c r="G926" i="57"/>
  <c r="G981" i="57"/>
  <c r="G1036" i="57"/>
  <c r="G1091" i="57"/>
  <c r="G1146" i="57"/>
  <c r="G1201" i="57"/>
  <c r="G1256" i="57"/>
  <c r="G1311" i="57"/>
  <c r="G1366" i="57"/>
  <c r="G1421" i="57"/>
  <c r="G1476" i="57"/>
  <c r="G1531" i="57"/>
  <c r="G1586" i="57"/>
  <c r="G1640" i="57"/>
  <c r="C774" i="57"/>
  <c r="D780" i="57"/>
  <c r="I792" i="57"/>
  <c r="I795" i="57"/>
  <c r="I796" i="57"/>
  <c r="I798" i="57"/>
  <c r="C829" i="57"/>
  <c r="D833" i="57"/>
  <c r="D835" i="57"/>
  <c r="D871" i="57"/>
  <c r="C884" i="57"/>
  <c r="D890" i="57"/>
  <c r="I895" i="57"/>
  <c r="I950" i="57"/>
  <c r="I1005" i="57"/>
  <c r="I1060" i="57"/>
  <c r="I1115" i="57"/>
  <c r="I1170" i="57"/>
  <c r="I1225" i="57"/>
  <c r="I1280" i="57"/>
  <c r="I1335" i="57"/>
  <c r="I1390" i="57"/>
  <c r="I1445" i="57"/>
  <c r="I1500" i="57"/>
  <c r="I1555" i="57"/>
  <c r="I1610" i="57"/>
  <c r="D926" i="57"/>
  <c r="D981" i="57"/>
  <c r="D1036" i="57"/>
  <c r="D1091" i="57"/>
  <c r="D1146" i="57"/>
  <c r="D1201" i="57"/>
  <c r="G928" i="57"/>
  <c r="G983" i="57"/>
  <c r="G1038" i="57"/>
  <c r="G1093" i="57"/>
  <c r="G1148" i="57"/>
  <c r="G1203" i="57"/>
  <c r="G1258" i="57"/>
  <c r="G1313" i="57"/>
  <c r="G1368" i="57"/>
  <c r="G1423" i="57"/>
  <c r="G1478" i="57"/>
  <c r="G1533" i="57"/>
  <c r="G1588" i="57"/>
  <c r="G1642" i="57"/>
  <c r="L932" i="57"/>
  <c r="L987" i="57"/>
  <c r="L1042" i="57"/>
  <c r="L1097" i="57"/>
  <c r="L1152" i="57"/>
  <c r="L1207" i="57"/>
  <c r="L1262" i="57"/>
  <c r="L1317" i="57"/>
  <c r="L1372" i="57"/>
  <c r="L1427" i="57"/>
  <c r="L1482" i="57"/>
  <c r="L1537" i="57"/>
  <c r="L1592" i="57"/>
  <c r="L1646" i="57"/>
  <c r="C939" i="57"/>
  <c r="D945" i="57"/>
  <c r="C994" i="57"/>
  <c r="D1000" i="57"/>
  <c r="C1049" i="57"/>
  <c r="D1055" i="57"/>
  <c r="D1056" i="57"/>
  <c r="D1111" i="57"/>
  <c r="D1166" i="57"/>
  <c r="D1221" i="57"/>
  <c r="D1276" i="57"/>
  <c r="D1331" i="57"/>
  <c r="D1386" i="57"/>
  <c r="D1441" i="57"/>
  <c r="D1496" i="57"/>
  <c r="D1551" i="57"/>
  <c r="D1606" i="57"/>
  <c r="C1104" i="57"/>
  <c r="F1328" i="57"/>
  <c r="F1383" i="57"/>
  <c r="F1438" i="57"/>
  <c r="F1493" i="57"/>
  <c r="F1548" i="57"/>
  <c r="F1603" i="57"/>
  <c r="D1110" i="57"/>
  <c r="D1256" i="57"/>
  <c r="D1311" i="57"/>
  <c r="D1366" i="57"/>
  <c r="D1421" i="57"/>
  <c r="D1476" i="57"/>
  <c r="D1531" i="57"/>
  <c r="D1586" i="57"/>
  <c r="D1640" i="57"/>
  <c r="E230" i="40"/>
  <c r="J160" i="40" s="1"/>
  <c r="L160" i="40" s="1"/>
  <c r="C1159" i="57"/>
  <c r="D1165" i="57"/>
  <c r="F230" i="40"/>
  <c r="L1202" i="57" s="1"/>
  <c r="C1214" i="57"/>
  <c r="J1327" i="57"/>
  <c r="J1382" i="57"/>
  <c r="J1437" i="57"/>
  <c r="J1492" i="57"/>
  <c r="J1547" i="57"/>
  <c r="J1602" i="57"/>
  <c r="D1220" i="57"/>
  <c r="L1221" i="57"/>
  <c r="L1276" i="57"/>
  <c r="L1331" i="57"/>
  <c r="L1386" i="57"/>
  <c r="L1441" i="57"/>
  <c r="L1496" i="57"/>
  <c r="G230" i="40"/>
  <c r="L1257" i="57" s="1"/>
  <c r="C1269" i="57"/>
  <c r="D1273" i="57"/>
  <c r="D1275" i="57"/>
  <c r="H230" i="40"/>
  <c r="L1312" i="57" s="1"/>
  <c r="C1324" i="57"/>
  <c r="D1330" i="57"/>
  <c r="I230" i="40"/>
  <c r="L1367" i="57" s="1"/>
  <c r="C1379" i="57"/>
  <c r="D1385" i="57"/>
  <c r="J230" i="40"/>
  <c r="L1422" i="57" s="1"/>
  <c r="C1434" i="57"/>
  <c r="D1440" i="57"/>
  <c r="K230" i="40"/>
  <c r="L1477" i="57" s="1"/>
  <c r="C1489" i="57"/>
  <c r="D1495" i="57"/>
  <c r="F1495" i="57"/>
  <c r="F1550" i="57"/>
  <c r="F1605" i="57"/>
  <c r="L230" i="40"/>
  <c r="L1532" i="57" s="1"/>
  <c r="C1544" i="57"/>
  <c r="D1550" i="57"/>
  <c r="L1551" i="57"/>
  <c r="L1606" i="57"/>
  <c r="M230" i="40"/>
  <c r="L1587" i="57" s="1"/>
  <c r="C1599" i="57"/>
  <c r="D1605" i="57"/>
  <c r="J1605" i="57"/>
  <c r="N230" i="40"/>
  <c r="L1641" i="57" s="1"/>
  <c r="AA9" i="41"/>
  <c r="AA27" i="41"/>
  <c r="AA45" i="41"/>
  <c r="P10" i="41"/>
  <c r="V10" i="41"/>
  <c r="V12" i="41"/>
  <c r="R17" i="41"/>
  <c r="R18" i="41"/>
  <c r="T18" i="41"/>
  <c r="V18" i="41"/>
  <c r="AB18" i="41"/>
  <c r="L27" i="41"/>
  <c r="L45" i="41"/>
  <c r="R27" i="41"/>
  <c r="X27" i="41"/>
  <c r="R28" i="41"/>
  <c r="X28" i="41"/>
  <c r="R29" i="41"/>
  <c r="T29" i="41"/>
  <c r="V29" i="41"/>
  <c r="X29" i="41"/>
  <c r="Z29" i="41"/>
  <c r="Z47" i="41"/>
  <c r="Z65" i="41"/>
  <c r="Z83" i="41"/>
  <c r="Z101" i="41"/>
  <c r="Z119" i="41"/>
  <c r="Z137" i="41"/>
  <c r="Z155" i="41"/>
  <c r="Z173" i="41"/>
  <c r="Z191" i="41"/>
  <c r="Z209" i="41"/>
  <c r="Z227" i="41"/>
  <c r="Z245" i="41"/>
  <c r="Z263" i="41"/>
  <c r="Z281" i="41"/>
  <c r="Z299" i="41"/>
  <c r="AB29" i="41"/>
  <c r="R33" i="41"/>
  <c r="T33" i="41"/>
  <c r="V33" i="41"/>
  <c r="V51" i="41"/>
  <c r="V69" i="41"/>
  <c r="V87" i="41"/>
  <c r="V105" i="41"/>
  <c r="V123" i="41"/>
  <c r="V141" i="41"/>
  <c r="V159" i="41"/>
  <c r="V177" i="41"/>
  <c r="V195" i="41"/>
  <c r="V213" i="41"/>
  <c r="V231" i="41"/>
  <c r="V249" i="41"/>
  <c r="V267" i="41"/>
  <c r="V285" i="41"/>
  <c r="V303" i="41"/>
  <c r="V321" i="41"/>
  <c r="V339" i="41"/>
  <c r="V357" i="41"/>
  <c r="V375" i="41"/>
  <c r="V393" i="41"/>
  <c r="V411" i="41"/>
  <c r="V429" i="41"/>
  <c r="V447" i="41"/>
  <c r="V465" i="41"/>
  <c r="V483" i="41"/>
  <c r="V501" i="41"/>
  <c r="V519" i="41"/>
  <c r="V537" i="41"/>
  <c r="X33" i="41"/>
  <c r="Z33" i="41"/>
  <c r="AB33" i="41"/>
  <c r="AB51" i="41"/>
  <c r="AB69" i="41"/>
  <c r="AB87" i="41"/>
  <c r="R41" i="41"/>
  <c r="R59" i="41"/>
  <c r="R77" i="41"/>
  <c r="R95" i="41"/>
  <c r="R113" i="41"/>
  <c r="R131" i="41"/>
  <c r="R149" i="41"/>
  <c r="R167" i="41"/>
  <c r="R185" i="41"/>
  <c r="R203" i="41"/>
  <c r="R221" i="41"/>
  <c r="R239" i="41"/>
  <c r="R257" i="41"/>
  <c r="R275" i="41"/>
  <c r="R293" i="41"/>
  <c r="R311" i="41"/>
  <c r="R329" i="41"/>
  <c r="R347" i="41"/>
  <c r="R365" i="41"/>
  <c r="R383" i="41"/>
  <c r="R401" i="41"/>
  <c r="R419" i="41"/>
  <c r="R437" i="41"/>
  <c r="R455" i="41"/>
  <c r="R473" i="41"/>
  <c r="R491" i="41"/>
  <c r="R509" i="41"/>
  <c r="R527" i="41"/>
  <c r="R545" i="41"/>
  <c r="R45" i="41"/>
  <c r="X45" i="41"/>
  <c r="X63" i="41"/>
  <c r="X81" i="41"/>
  <c r="X99" i="41"/>
  <c r="X117" i="41"/>
  <c r="X135" i="41"/>
  <c r="X153" i="41"/>
  <c r="X171" i="41"/>
  <c r="X189" i="41"/>
  <c r="X207" i="41"/>
  <c r="X225" i="41"/>
  <c r="X243" i="41"/>
  <c r="X261" i="41"/>
  <c r="X279" i="41"/>
  <c r="X297" i="41"/>
  <c r="X315" i="41"/>
  <c r="X333" i="41"/>
  <c r="X351" i="41"/>
  <c r="X369" i="41"/>
  <c r="X387" i="41"/>
  <c r="X405" i="41"/>
  <c r="X423" i="41"/>
  <c r="X441" i="41"/>
  <c r="X459" i="41"/>
  <c r="X477" i="41"/>
  <c r="X495" i="41"/>
  <c r="X513" i="41"/>
  <c r="X531" i="41"/>
  <c r="P46" i="41"/>
  <c r="R46" i="41"/>
  <c r="X46" i="41"/>
  <c r="X64" i="41"/>
  <c r="R47" i="41"/>
  <c r="R65" i="41"/>
  <c r="R83" i="41"/>
  <c r="T47" i="41"/>
  <c r="V47" i="41"/>
  <c r="V65" i="41"/>
  <c r="V83" i="41"/>
  <c r="V101" i="41"/>
  <c r="V119" i="41"/>
  <c r="V137" i="41"/>
  <c r="V155" i="41"/>
  <c r="V173" i="41"/>
  <c r="V191" i="41"/>
  <c r="V209" i="41"/>
  <c r="V227" i="41"/>
  <c r="V245" i="41"/>
  <c r="V263" i="41"/>
  <c r="V281" i="41"/>
  <c r="V299" i="41"/>
  <c r="V317" i="41"/>
  <c r="V335" i="41"/>
  <c r="V353" i="41"/>
  <c r="V371" i="41"/>
  <c r="V389" i="41"/>
  <c r="V407" i="41"/>
  <c r="V425" i="41"/>
  <c r="V443" i="41"/>
  <c r="V461" i="41"/>
  <c r="V479" i="41"/>
  <c r="V497" i="41"/>
  <c r="V515" i="41"/>
  <c r="V533" i="41"/>
  <c r="X47" i="41"/>
  <c r="X65" i="41"/>
  <c r="X83" i="41"/>
  <c r="X101" i="41"/>
  <c r="X119" i="41"/>
  <c r="X137" i="41"/>
  <c r="X155" i="41"/>
  <c r="AB47" i="41"/>
  <c r="R51" i="41"/>
  <c r="R69" i="41"/>
  <c r="R87" i="41"/>
  <c r="R105" i="41"/>
  <c r="R123" i="41"/>
  <c r="R141" i="41"/>
  <c r="R159" i="41"/>
  <c r="R177" i="41"/>
  <c r="R195" i="41"/>
  <c r="T51" i="41"/>
  <c r="T69" i="41"/>
  <c r="T87" i="41"/>
  <c r="T105" i="41"/>
  <c r="T123" i="41"/>
  <c r="T141" i="41"/>
  <c r="T159" i="41"/>
  <c r="T177" i="41"/>
  <c r="T195" i="41"/>
  <c r="T213" i="41"/>
  <c r="T231" i="41"/>
  <c r="T249" i="41"/>
  <c r="T267" i="41"/>
  <c r="T285" i="41"/>
  <c r="T303" i="41"/>
  <c r="T321" i="41"/>
  <c r="T339" i="41"/>
  <c r="T357" i="41"/>
  <c r="T375" i="41"/>
  <c r="T393" i="41"/>
  <c r="T411" i="41"/>
  <c r="T429" i="41"/>
  <c r="T447" i="41"/>
  <c r="T465" i="41"/>
  <c r="T483" i="41"/>
  <c r="T501" i="41"/>
  <c r="T519" i="41"/>
  <c r="T537" i="41"/>
  <c r="X51" i="41"/>
  <c r="X69" i="41"/>
  <c r="X87" i="41"/>
  <c r="X105" i="41"/>
  <c r="X123" i="41"/>
  <c r="X141" i="41"/>
  <c r="X159" i="41"/>
  <c r="X177" i="41"/>
  <c r="X195" i="41"/>
  <c r="X213" i="41"/>
  <c r="X231" i="41"/>
  <c r="X249" i="41"/>
  <c r="X267" i="41"/>
  <c r="X285" i="41"/>
  <c r="X303" i="41"/>
  <c r="X321" i="41"/>
  <c r="X339" i="41"/>
  <c r="X357" i="41"/>
  <c r="X375" i="41"/>
  <c r="X393" i="41"/>
  <c r="X411" i="41"/>
  <c r="X429" i="41"/>
  <c r="X447" i="41"/>
  <c r="X465" i="41"/>
  <c r="X483" i="41"/>
  <c r="X501" i="41"/>
  <c r="X519" i="41"/>
  <c r="X537" i="41"/>
  <c r="Z51" i="41"/>
  <c r="Z69" i="41"/>
  <c r="Z87" i="41"/>
  <c r="Z105" i="41"/>
  <c r="Z123" i="41"/>
  <c r="AB105" i="41"/>
  <c r="AB123" i="41"/>
  <c r="AB141" i="41"/>
  <c r="AB159" i="41"/>
  <c r="AB177" i="41"/>
  <c r="AB195" i="41"/>
  <c r="AB213" i="41"/>
  <c r="AB231" i="41"/>
  <c r="AB249" i="41"/>
  <c r="AB267" i="41"/>
  <c r="AB285" i="41"/>
  <c r="AB303" i="41"/>
  <c r="AB321" i="41"/>
  <c r="AB339" i="41"/>
  <c r="AB357" i="41"/>
  <c r="AB375" i="41"/>
  <c r="AB393" i="41"/>
  <c r="AB411" i="41"/>
  <c r="AB429" i="41"/>
  <c r="AB447" i="41"/>
  <c r="AB465" i="41"/>
  <c r="AB483" i="41"/>
  <c r="AB501" i="41"/>
  <c r="AB519" i="41"/>
  <c r="AB537" i="41"/>
  <c r="L63" i="41"/>
  <c r="L81" i="41"/>
  <c r="L99" i="41"/>
  <c r="L117" i="41"/>
  <c r="L135" i="41"/>
  <c r="R63" i="41"/>
  <c r="R81" i="41"/>
  <c r="R99" i="41"/>
  <c r="R117" i="41"/>
  <c r="R135" i="41"/>
  <c r="R153" i="41"/>
  <c r="R171" i="41"/>
  <c r="R189" i="41"/>
  <c r="R207" i="41"/>
  <c r="R225" i="41"/>
  <c r="R243" i="41"/>
  <c r="R261" i="41"/>
  <c r="R279" i="41"/>
  <c r="R297" i="41"/>
  <c r="R315" i="41"/>
  <c r="R333" i="41"/>
  <c r="R351" i="41"/>
  <c r="R369" i="41"/>
  <c r="R387" i="41"/>
  <c r="R405" i="41"/>
  <c r="R423" i="41"/>
  <c r="R441" i="41"/>
  <c r="R459" i="41"/>
  <c r="R477" i="41"/>
  <c r="R495" i="41"/>
  <c r="R513" i="41"/>
  <c r="R531" i="41"/>
  <c r="AA63" i="41"/>
  <c r="R64" i="41"/>
  <c r="R82" i="41"/>
  <c r="R100" i="41"/>
  <c r="R118" i="41"/>
  <c r="R136" i="41"/>
  <c r="R154" i="41"/>
  <c r="R172" i="41"/>
  <c r="R190" i="41"/>
  <c r="R208" i="41"/>
  <c r="R226" i="41"/>
  <c r="R244" i="41"/>
  <c r="R262" i="41"/>
  <c r="R280" i="41"/>
  <c r="R298" i="41"/>
  <c r="R316" i="41"/>
  <c r="R334" i="41"/>
  <c r="R352" i="41"/>
  <c r="R370" i="41"/>
  <c r="R388" i="41"/>
  <c r="R406" i="41"/>
  <c r="R424" i="41"/>
  <c r="R442" i="41"/>
  <c r="R460" i="41"/>
  <c r="R478" i="41"/>
  <c r="R496" i="41"/>
  <c r="R514" i="41"/>
  <c r="R532" i="41"/>
  <c r="T65" i="41"/>
  <c r="T83" i="41"/>
  <c r="T101" i="41"/>
  <c r="T119" i="41"/>
  <c r="T137" i="41"/>
  <c r="T155" i="41"/>
  <c r="T173" i="41"/>
  <c r="T191" i="41"/>
  <c r="T209" i="41"/>
  <c r="T227" i="41"/>
  <c r="T245" i="41"/>
  <c r="T263" i="41"/>
  <c r="T281" i="41"/>
  <c r="T299" i="41"/>
  <c r="T317" i="41"/>
  <c r="T335" i="41"/>
  <c r="T353" i="41"/>
  <c r="T371" i="41"/>
  <c r="T389" i="41"/>
  <c r="T407" i="41"/>
  <c r="T425" i="41"/>
  <c r="T443" i="41"/>
  <c r="T461" i="41"/>
  <c r="T479" i="41"/>
  <c r="T497" i="41"/>
  <c r="T515" i="41"/>
  <c r="T533" i="41"/>
  <c r="AB65" i="41"/>
  <c r="AB83" i="41"/>
  <c r="AB101" i="41"/>
  <c r="AB119" i="41"/>
  <c r="AB137" i="41"/>
  <c r="AB155" i="41"/>
  <c r="AB173" i="41"/>
  <c r="AB191" i="41"/>
  <c r="AB209" i="41"/>
  <c r="AB227" i="41"/>
  <c r="AB245" i="41"/>
  <c r="AB263" i="41"/>
  <c r="AB281" i="41"/>
  <c r="AB299" i="41"/>
  <c r="AB317" i="41"/>
  <c r="AB335" i="41"/>
  <c r="AB353" i="41"/>
  <c r="AB371" i="41"/>
  <c r="AB389" i="41"/>
  <c r="AB407" i="41"/>
  <c r="AB425" i="41"/>
  <c r="AB443" i="41"/>
  <c r="AB461" i="41"/>
  <c r="AB479" i="41"/>
  <c r="AB497" i="41"/>
  <c r="AB515" i="41"/>
  <c r="AB533" i="41"/>
  <c r="R213" i="41"/>
  <c r="R231" i="41"/>
  <c r="R249" i="41"/>
  <c r="R267" i="41"/>
  <c r="R285" i="41"/>
  <c r="R303" i="41"/>
  <c r="R321" i="41"/>
  <c r="R339" i="41"/>
  <c r="R357" i="41"/>
  <c r="R375" i="41"/>
  <c r="R393" i="41"/>
  <c r="R411" i="41"/>
  <c r="R429" i="41"/>
  <c r="R447" i="41"/>
  <c r="R465" i="41"/>
  <c r="R483" i="41"/>
  <c r="R501" i="41"/>
  <c r="R519" i="41"/>
  <c r="R537" i="41"/>
  <c r="Z141" i="41"/>
  <c r="Z159" i="41"/>
  <c r="Z177" i="41"/>
  <c r="Z195" i="41"/>
  <c r="Z213" i="41"/>
  <c r="Z231" i="41"/>
  <c r="Z249" i="41"/>
  <c r="Z267" i="41"/>
  <c r="Z285" i="41"/>
  <c r="Z303" i="41"/>
  <c r="Z321" i="41"/>
  <c r="Z339" i="41"/>
  <c r="Z357" i="41"/>
  <c r="Z375" i="41"/>
  <c r="Z393" i="41"/>
  <c r="Z411" i="41"/>
  <c r="Z429" i="41"/>
  <c r="Z447" i="41"/>
  <c r="Z465" i="41"/>
  <c r="Z483" i="41"/>
  <c r="Z501" i="41"/>
  <c r="Z519" i="41"/>
  <c r="Z537" i="41"/>
  <c r="L153" i="41"/>
  <c r="L171" i="41"/>
  <c r="L189" i="41"/>
  <c r="L207" i="41"/>
  <c r="L225" i="41"/>
  <c r="L243" i="41"/>
  <c r="L261" i="41"/>
  <c r="L279" i="41"/>
  <c r="L297" i="41"/>
  <c r="L315" i="41"/>
  <c r="L333" i="41"/>
  <c r="L351" i="41"/>
  <c r="L369" i="41"/>
  <c r="L387" i="41"/>
  <c r="L405" i="41"/>
  <c r="L423" i="41"/>
  <c r="L441" i="41"/>
  <c r="L459" i="41"/>
  <c r="L477" i="41"/>
  <c r="L495" i="41"/>
  <c r="L513" i="41"/>
  <c r="L531" i="41"/>
  <c r="AA81" i="41"/>
  <c r="AA99" i="41"/>
  <c r="AA117" i="41"/>
  <c r="AA135" i="41"/>
  <c r="AA153" i="41"/>
  <c r="AA171" i="41"/>
  <c r="AA189" i="41"/>
  <c r="AA207" i="41"/>
  <c r="AA225" i="41"/>
  <c r="AA243" i="41"/>
  <c r="AA261" i="41"/>
  <c r="AA279" i="41"/>
  <c r="AA297" i="41"/>
  <c r="AA315" i="41"/>
  <c r="AA333" i="41"/>
  <c r="AA351" i="41"/>
  <c r="AA369" i="41"/>
  <c r="AA387" i="41"/>
  <c r="AA405" i="41"/>
  <c r="AA423" i="41"/>
  <c r="AA441" i="41"/>
  <c r="AA459" i="41"/>
  <c r="AA477" i="41"/>
  <c r="AA495" i="41"/>
  <c r="AA513" i="41"/>
  <c r="AA531" i="41"/>
  <c r="X82" i="41"/>
  <c r="X100" i="41"/>
  <c r="X118" i="41"/>
  <c r="X136" i="41"/>
  <c r="X154" i="41"/>
  <c r="X172" i="41"/>
  <c r="R101" i="41"/>
  <c r="R119" i="41"/>
  <c r="R137" i="41"/>
  <c r="R155" i="41"/>
  <c r="R173" i="41"/>
  <c r="R191" i="41"/>
  <c r="R209" i="41"/>
  <c r="R227" i="41"/>
  <c r="R245" i="41"/>
  <c r="R263" i="41"/>
  <c r="R281" i="41"/>
  <c r="R299" i="41"/>
  <c r="R317" i="41"/>
  <c r="R335" i="41"/>
  <c r="R353" i="41"/>
  <c r="R371" i="41"/>
  <c r="R389" i="41"/>
  <c r="R407" i="41"/>
  <c r="R425" i="41"/>
  <c r="R443" i="41"/>
  <c r="R461" i="41"/>
  <c r="R479" i="41"/>
  <c r="R497" i="41"/>
  <c r="R515" i="41"/>
  <c r="R533" i="41"/>
  <c r="Z317" i="41"/>
  <c r="Z335" i="41"/>
  <c r="Z353" i="41"/>
  <c r="Z371" i="41"/>
  <c r="Z389" i="41"/>
  <c r="Z407" i="41"/>
  <c r="Z425" i="41"/>
  <c r="Z443" i="41"/>
  <c r="Z461" i="41"/>
  <c r="Z479" i="41"/>
  <c r="Z497" i="41"/>
  <c r="Z515" i="41"/>
  <c r="Z533" i="41"/>
  <c r="X173" i="41"/>
  <c r="X190" i="41"/>
  <c r="X208" i="41"/>
  <c r="X226" i="41"/>
  <c r="X244" i="41"/>
  <c r="X262" i="41"/>
  <c r="X280" i="41"/>
  <c r="X298" i="41"/>
  <c r="X316" i="41"/>
  <c r="X334" i="41"/>
  <c r="X352" i="41"/>
  <c r="X370" i="41"/>
  <c r="X388" i="41"/>
  <c r="X406" i="41"/>
  <c r="X424" i="41"/>
  <c r="X442" i="41"/>
  <c r="X460" i="41"/>
  <c r="X478" i="41"/>
  <c r="X496" i="41"/>
  <c r="X514" i="41"/>
  <c r="X532" i="41"/>
  <c r="X191" i="41"/>
  <c r="X209" i="41"/>
  <c r="X227" i="41"/>
  <c r="X245" i="41"/>
  <c r="X263" i="41"/>
  <c r="X281" i="41"/>
  <c r="X299" i="41"/>
  <c r="X317" i="41"/>
  <c r="X335" i="41"/>
  <c r="X353" i="41"/>
  <c r="X371" i="41"/>
  <c r="X389" i="41"/>
  <c r="X407" i="41"/>
  <c r="X425" i="41"/>
  <c r="X443" i="41"/>
  <c r="X461" i="41"/>
  <c r="X479" i="41"/>
  <c r="X497" i="41"/>
  <c r="X515" i="41"/>
  <c r="X533" i="41"/>
  <c r="B8" i="47"/>
  <c r="C3" i="40"/>
  <c r="K3" i="40"/>
  <c r="K81" i="40"/>
  <c r="K159" i="40"/>
  <c r="O15" i="40"/>
  <c r="O16" i="40"/>
  <c r="O17" i="40"/>
  <c r="A97" i="40"/>
  <c r="A175" i="40" s="1"/>
  <c r="O19" i="40"/>
  <c r="A99" i="40"/>
  <c r="A177" i="40" s="1"/>
  <c r="A100" i="40"/>
  <c r="A178" i="40" s="1"/>
  <c r="A101" i="40"/>
  <c r="A179" i="40" s="1"/>
  <c r="A102" i="40"/>
  <c r="A180" i="40" s="1"/>
  <c r="O25" i="40"/>
  <c r="A107" i="40"/>
  <c r="A185" i="40" s="1"/>
  <c r="O29" i="40"/>
  <c r="O33" i="40"/>
  <c r="O36" i="40"/>
  <c r="O37" i="40"/>
  <c r="O38" i="40"/>
  <c r="G24" i="23" s="1"/>
  <c r="J24" i="23" s="1"/>
  <c r="O39" i="40"/>
  <c r="A118" i="40"/>
  <c r="A196" i="40" s="1"/>
  <c r="O52" i="40"/>
  <c r="O57" i="40"/>
  <c r="O58" i="40"/>
  <c r="O59" i="40"/>
  <c r="A138" i="40"/>
  <c r="A216" i="40" s="1"/>
  <c r="O67" i="40"/>
  <c r="O75" i="40"/>
  <c r="C81" i="40"/>
  <c r="C159" i="40"/>
  <c r="A82" i="40"/>
  <c r="A87" i="40"/>
  <c r="A165" i="40" s="1"/>
  <c r="A92" i="40"/>
  <c r="A170" i="40" s="1"/>
  <c r="O93" i="40"/>
  <c r="A94" i="40"/>
  <c r="A172" i="40"/>
  <c r="B94" i="40"/>
  <c r="B172" i="40"/>
  <c r="O94" i="40"/>
  <c r="A95" i="40"/>
  <c r="A173" i="40" s="1"/>
  <c r="O95" i="40"/>
  <c r="O97" i="40"/>
  <c r="O103" i="40"/>
  <c r="O107" i="40"/>
  <c r="O111" i="40"/>
  <c r="A113" i="40"/>
  <c r="A191" i="40" s="1"/>
  <c r="O114" i="40"/>
  <c r="O115" i="40"/>
  <c r="O116" i="40"/>
  <c r="A117" i="40"/>
  <c r="O117" i="40"/>
  <c r="B128" i="40"/>
  <c r="B206" i="40" s="1"/>
  <c r="A130" i="40"/>
  <c r="O130" i="40"/>
  <c r="A131" i="40"/>
  <c r="A209" i="40" s="1"/>
  <c r="B131" i="40"/>
  <c r="B209" i="40"/>
  <c r="B133" i="40"/>
  <c r="B211" i="40" s="1"/>
  <c r="O135" i="40"/>
  <c r="B136" i="40"/>
  <c r="B214" i="40" s="1"/>
  <c r="O136" i="40"/>
  <c r="A137" i="40"/>
  <c r="A215" i="40" s="1"/>
  <c r="O137" i="40"/>
  <c r="B138" i="40"/>
  <c r="A141" i="40"/>
  <c r="A219" i="40" s="1"/>
  <c r="A142" i="40"/>
  <c r="A220" i="40" s="1"/>
  <c r="A143" i="40"/>
  <c r="A221" i="40" s="1"/>
  <c r="B143" i="40"/>
  <c r="B221" i="40" s="1"/>
  <c r="A145" i="40"/>
  <c r="O145" i="40"/>
  <c r="B146" i="40"/>
  <c r="B224" i="40"/>
  <c r="B147" i="40"/>
  <c r="B148" i="40"/>
  <c r="B149" i="40"/>
  <c r="B227" i="40"/>
  <c r="B151" i="40"/>
  <c r="B229" i="40" s="1"/>
  <c r="A160" i="40"/>
  <c r="A195" i="40"/>
  <c r="A208" i="40"/>
  <c r="B216" i="40"/>
  <c r="A223" i="40"/>
  <c r="B225" i="40"/>
  <c r="B226" i="40"/>
  <c r="C3" i="23"/>
  <c r="J3" i="23"/>
  <c r="B65" i="73"/>
  <c r="C36" i="23" s="1"/>
  <c r="C37" i="23"/>
  <c r="J37" i="23"/>
  <c r="B79" i="73"/>
  <c r="C47" i="23" s="1"/>
  <c r="C48" i="23"/>
  <c r="J48" i="23"/>
  <c r="C50" i="23"/>
  <c r="C51" i="23"/>
  <c r="J51" i="23"/>
  <c r="A52" i="23"/>
  <c r="C52" i="23"/>
  <c r="J52" i="23"/>
  <c r="J53" i="23"/>
  <c r="J54" i="23"/>
  <c r="J55" i="23"/>
  <c r="J58" i="23"/>
  <c r="J59" i="23"/>
  <c r="J60" i="23"/>
  <c r="J61" i="23"/>
  <c r="J62" i="23"/>
  <c r="J63" i="23"/>
  <c r="D65" i="23"/>
  <c r="D66" i="23"/>
  <c r="D67" i="23"/>
  <c r="A68" i="23"/>
  <c r="D68" i="23"/>
  <c r="I68" i="23"/>
  <c r="A69" i="23"/>
  <c r="I69" i="23"/>
  <c r="C4" i="73"/>
  <c r="F4" i="73"/>
  <c r="C5" i="73"/>
  <c r="F5" i="73"/>
  <c r="F7" i="73"/>
  <c r="H10" i="73"/>
  <c r="H11" i="73"/>
  <c r="H12" i="73"/>
  <c r="H13" i="73"/>
  <c r="H14" i="73"/>
  <c r="H15" i="73"/>
  <c r="H16" i="73"/>
  <c r="H17" i="73"/>
  <c r="H18" i="73"/>
  <c r="H19" i="73"/>
  <c r="G20" i="73"/>
  <c r="H21" i="73"/>
  <c r="H22" i="73"/>
  <c r="G23" i="73"/>
  <c r="H23" i="73" s="1"/>
  <c r="H24" i="73"/>
  <c r="H25" i="73"/>
  <c r="H26" i="73"/>
  <c r="H27" i="73"/>
  <c r="H28" i="73"/>
  <c r="H29" i="73"/>
  <c r="H30" i="73"/>
  <c r="H31" i="73"/>
  <c r="H32" i="73"/>
  <c r="H49" i="73"/>
  <c r="H70" i="73"/>
  <c r="G71" i="73"/>
  <c r="H71" i="73" s="1"/>
  <c r="H72" i="73"/>
  <c r="A1" i="48"/>
  <c r="B6" i="55"/>
  <c r="C8" i="55"/>
  <c r="G8" i="55"/>
  <c r="G12" i="55"/>
  <c r="H12" i="55"/>
  <c r="L12" i="55"/>
  <c r="G13" i="55"/>
  <c r="H13" i="55"/>
  <c r="L13" i="55"/>
  <c r="G14" i="55"/>
  <c r="H14" i="55"/>
  <c r="L14" i="55"/>
  <c r="G15" i="55"/>
  <c r="H15" i="55"/>
  <c r="L15" i="55"/>
  <c r="G16" i="55"/>
  <c r="H16" i="55"/>
  <c r="L16" i="55"/>
  <c r="G17" i="55"/>
  <c r="H17" i="55"/>
  <c r="L17" i="55"/>
  <c r="G18" i="55"/>
  <c r="H18" i="55"/>
  <c r="L18" i="55"/>
  <c r="G19" i="55"/>
  <c r="H19" i="55"/>
  <c r="L19" i="55"/>
  <c r="G20" i="55"/>
  <c r="H20" i="55"/>
  <c r="L20" i="55"/>
  <c r="G21" i="55"/>
  <c r="H21" i="55"/>
  <c r="L21" i="55"/>
  <c r="G22" i="55"/>
  <c r="H22" i="55"/>
  <c r="L22" i="55"/>
  <c r="G23" i="55"/>
  <c r="H23" i="55"/>
  <c r="L23" i="55"/>
  <c r="G24" i="55"/>
  <c r="H24" i="55"/>
  <c r="L24" i="55"/>
  <c r="G25" i="55"/>
  <c r="H25" i="55"/>
  <c r="L25" i="55"/>
  <c r="G26" i="55"/>
  <c r="H26" i="55"/>
  <c r="L26" i="55"/>
  <c r="G27" i="55"/>
  <c r="H27" i="55"/>
  <c r="L27" i="55"/>
  <c r="F30" i="55"/>
  <c r="G36" i="55"/>
  <c r="H36" i="55"/>
  <c r="L36" i="55"/>
  <c r="G37" i="55"/>
  <c r="H37" i="55"/>
  <c r="L37" i="55"/>
  <c r="G38" i="55"/>
  <c r="H38" i="55"/>
  <c r="G152" i="4"/>
  <c r="L38" i="55"/>
  <c r="G39" i="55"/>
  <c r="H39" i="55"/>
  <c r="G153" i="4"/>
  <c r="L39" i="55"/>
  <c r="G40" i="55"/>
  <c r="H40" i="55"/>
  <c r="G154" i="4"/>
  <c r="L40" i="55"/>
  <c r="G41" i="55"/>
  <c r="H41" i="55"/>
  <c r="G155" i="4"/>
  <c r="J49" i="6"/>
  <c r="K49" i="6" s="1"/>
  <c r="L41" i="55"/>
  <c r="G42" i="55"/>
  <c r="H42" i="55"/>
  <c r="G156" i="4"/>
  <c r="J50" i="6"/>
  <c r="K50" i="6" s="1"/>
  <c r="L42" i="55"/>
  <c r="G43" i="55"/>
  <c r="H43" i="55"/>
  <c r="G157" i="4"/>
  <c r="L43" i="55"/>
  <c r="G44" i="55"/>
  <c r="H44" i="55"/>
  <c r="G158" i="4"/>
  <c r="L44" i="55"/>
  <c r="G45" i="55"/>
  <c r="H45" i="55"/>
  <c r="G159" i="4"/>
  <c r="L45" i="55"/>
  <c r="G46" i="55"/>
  <c r="H46" i="55"/>
  <c r="G160" i="4"/>
  <c r="G47" i="55"/>
  <c r="H47" i="55"/>
  <c r="G161" i="4"/>
  <c r="J55" i="6"/>
  <c r="K55" i="6"/>
  <c r="G48" i="55"/>
  <c r="H48" i="55"/>
  <c r="L48" i="55"/>
  <c r="K50" i="55"/>
  <c r="C52" i="55"/>
  <c r="I52" i="55"/>
  <c r="I62" i="55"/>
  <c r="E5" i="6"/>
  <c r="E6" i="6"/>
  <c r="I7" i="6"/>
  <c r="I8" i="6"/>
  <c r="J41" i="6" s="1"/>
  <c r="I9" i="6"/>
  <c r="I10" i="6"/>
  <c r="I11" i="6"/>
  <c r="J11" i="6" s="1"/>
  <c r="I12" i="6"/>
  <c r="I13" i="6"/>
  <c r="K13" i="6"/>
  <c r="M13" i="6"/>
  <c r="M14" i="6"/>
  <c r="K15" i="6"/>
  <c r="M15" i="6"/>
  <c r="I16" i="6"/>
  <c r="M16" i="6"/>
  <c r="B214" i="4"/>
  <c r="F17" i="6"/>
  <c r="I17" i="6"/>
  <c r="L17" i="6"/>
  <c r="B219" i="4"/>
  <c r="F18" i="6"/>
  <c r="I18" i="6"/>
  <c r="L18" i="6"/>
  <c r="I19" i="6"/>
  <c r="L19" i="6"/>
  <c r="I20" i="6"/>
  <c r="L20" i="6"/>
  <c r="I21" i="6"/>
  <c r="L21" i="6"/>
  <c r="E24" i="6"/>
  <c r="F24" i="6"/>
  <c r="J24" i="6"/>
  <c r="K24" i="6"/>
  <c r="E25" i="6"/>
  <c r="F25" i="6"/>
  <c r="J25" i="6"/>
  <c r="E26" i="6"/>
  <c r="F26" i="6"/>
  <c r="J26" i="6"/>
  <c r="K26" i="6"/>
  <c r="E27" i="6"/>
  <c r="F27" i="6"/>
  <c r="J27" i="6"/>
  <c r="K27" i="6"/>
  <c r="E28" i="6"/>
  <c r="F28" i="6"/>
  <c r="J28" i="6"/>
  <c r="K28" i="6"/>
  <c r="E29" i="6"/>
  <c r="F29" i="6"/>
  <c r="J29" i="6"/>
  <c r="K29" i="6"/>
  <c r="E30" i="6"/>
  <c r="F30" i="6"/>
  <c r="J30" i="6"/>
  <c r="K30" i="6"/>
  <c r="E31" i="6"/>
  <c r="F31" i="6"/>
  <c r="J31" i="6"/>
  <c r="K31" i="6"/>
  <c r="E32" i="6"/>
  <c r="F32" i="6"/>
  <c r="J32" i="6"/>
  <c r="K32" i="6"/>
  <c r="E33" i="6"/>
  <c r="F33" i="6"/>
  <c r="J33" i="6"/>
  <c r="K33" i="6"/>
  <c r="E34" i="6"/>
  <c r="F34" i="6"/>
  <c r="J34" i="6"/>
  <c r="K34" i="6"/>
  <c r="E35" i="6"/>
  <c r="F35" i="6"/>
  <c r="J35" i="6"/>
  <c r="K35" i="6"/>
  <c r="E36" i="6"/>
  <c r="F36" i="6"/>
  <c r="J36" i="6"/>
  <c r="K36" i="6"/>
  <c r="E37" i="6"/>
  <c r="F37" i="6"/>
  <c r="J37" i="6"/>
  <c r="K37" i="6"/>
  <c r="E38" i="6"/>
  <c r="F38" i="6"/>
  <c r="J38" i="6"/>
  <c r="K38" i="6"/>
  <c r="E39" i="6"/>
  <c r="F39" i="6"/>
  <c r="J39" i="6"/>
  <c r="K39" i="6"/>
  <c r="C10" i="4"/>
  <c r="C11" i="4"/>
  <c r="D10" i="4"/>
  <c r="E44" i="6"/>
  <c r="F44" i="6"/>
  <c r="J44" i="6"/>
  <c r="J56" i="6" s="1"/>
  <c r="J45" i="6"/>
  <c r="K45" i="6"/>
  <c r="K44" i="6"/>
  <c r="E45" i="6"/>
  <c r="E46" i="6"/>
  <c r="F46" i="6"/>
  <c r="J46" i="6"/>
  <c r="K46" i="6" s="1"/>
  <c r="E47" i="6"/>
  <c r="F47" i="6"/>
  <c r="J47" i="6"/>
  <c r="K47" i="6"/>
  <c r="E48" i="6"/>
  <c r="F48" i="6"/>
  <c r="J48" i="6"/>
  <c r="K48" i="6"/>
  <c r="E49" i="6"/>
  <c r="F49" i="6"/>
  <c r="E50" i="6"/>
  <c r="F50" i="6"/>
  <c r="E51" i="6"/>
  <c r="F51" i="6"/>
  <c r="J51" i="6"/>
  <c r="K51" i="6"/>
  <c r="E52" i="6"/>
  <c r="F52" i="6"/>
  <c r="J52" i="6"/>
  <c r="K52" i="6"/>
  <c r="E53" i="6"/>
  <c r="F53" i="6"/>
  <c r="J53" i="6"/>
  <c r="K53" i="6" s="1"/>
  <c r="E54" i="6"/>
  <c r="F54" i="6"/>
  <c r="F55" i="6"/>
  <c r="J57" i="6"/>
  <c r="I57" i="6"/>
  <c r="F162" i="4"/>
  <c r="C163" i="4"/>
  <c r="G43" i="48"/>
  <c r="H61" i="6"/>
  <c r="G67" i="6"/>
  <c r="H70" i="6" s="1"/>
  <c r="G69" i="6"/>
  <c r="G71" i="6"/>
  <c r="E76" i="6"/>
  <c r="E77" i="6"/>
  <c r="E78" i="6"/>
  <c r="B5" i="48"/>
  <c r="H5" i="48"/>
  <c r="B7" i="48"/>
  <c r="E7" i="48"/>
  <c r="J7" i="48"/>
  <c r="C9" i="48"/>
  <c r="D11" i="48"/>
  <c r="C14" i="48"/>
  <c r="G16" i="48"/>
  <c r="C17" i="48"/>
  <c r="G17" i="48"/>
  <c r="G18" i="48"/>
  <c r="C20" i="48"/>
  <c r="G20" i="48"/>
  <c r="G21" i="48"/>
  <c r="G22" i="48"/>
  <c r="B26" i="48"/>
  <c r="C26" i="48"/>
  <c r="F26" i="48"/>
  <c r="G26" i="48"/>
  <c r="B27" i="48"/>
  <c r="C27" i="48"/>
  <c r="F27" i="48"/>
  <c r="B28" i="48"/>
  <c r="C28" i="48"/>
  <c r="F28" i="48"/>
  <c r="G28" i="48"/>
  <c r="B29" i="48"/>
  <c r="C29" i="48"/>
  <c r="F29" i="48"/>
  <c r="G29" i="48"/>
  <c r="B30" i="48"/>
  <c r="C30" i="48"/>
  <c r="F30" i="48"/>
  <c r="G30" i="48"/>
  <c r="B31" i="48"/>
  <c r="C31" i="48"/>
  <c r="F31" i="48"/>
  <c r="B32" i="48"/>
  <c r="C32" i="48"/>
  <c r="F32" i="48"/>
  <c r="G32" i="48"/>
  <c r="B33" i="48"/>
  <c r="C33" i="48"/>
  <c r="F33" i="48"/>
  <c r="G33" i="48"/>
  <c r="B34" i="48"/>
  <c r="C34" i="48"/>
  <c r="F34" i="48"/>
  <c r="B35" i="48"/>
  <c r="C35" i="48"/>
  <c r="F35" i="48"/>
  <c r="G35" i="48"/>
  <c r="B36" i="48"/>
  <c r="C36" i="48"/>
  <c r="F36" i="48"/>
  <c r="G36" i="48"/>
  <c r="B37" i="48"/>
  <c r="C37" i="48"/>
  <c r="F37" i="48"/>
  <c r="G37" i="48"/>
  <c r="B38" i="48"/>
  <c r="C38" i="48"/>
  <c r="F38" i="48"/>
  <c r="G38" i="48"/>
  <c r="B39" i="48"/>
  <c r="C39" i="48"/>
  <c r="F39" i="48"/>
  <c r="G39" i="48"/>
  <c r="B40" i="48"/>
  <c r="C40" i="48"/>
  <c r="F40" i="48"/>
  <c r="G40" i="48"/>
  <c r="B41" i="48"/>
  <c r="C41" i="48"/>
  <c r="F41" i="48"/>
  <c r="G41" i="48"/>
  <c r="F42" i="48"/>
  <c r="A48" i="48"/>
  <c r="I49" i="48"/>
  <c r="A50" i="48"/>
  <c r="G50" i="48"/>
  <c r="A51" i="48"/>
  <c r="A52" i="48"/>
  <c r="C54" i="48"/>
  <c r="A55" i="48"/>
  <c r="F56" i="48"/>
  <c r="A57" i="48"/>
  <c r="E57" i="48"/>
  <c r="A58" i="48"/>
  <c r="D58" i="48"/>
  <c r="I64" i="48"/>
  <c r="J6" i="67"/>
  <c r="J9" i="67"/>
  <c r="J14" i="67"/>
  <c r="C15" i="4"/>
  <c r="F15" i="4"/>
  <c r="C17" i="4"/>
  <c r="C18" i="4"/>
  <c r="C20" i="4"/>
  <c r="G22" i="4"/>
  <c r="C24" i="4"/>
  <c r="C36" i="4"/>
  <c r="B36" i="4"/>
  <c r="C37" i="4"/>
  <c r="B37" i="4"/>
  <c r="C38" i="4"/>
  <c r="B38" i="4"/>
  <c r="A58" i="4"/>
  <c r="B58" i="4"/>
  <c r="A59" i="4"/>
  <c r="E59" i="4"/>
  <c r="C59" i="4"/>
  <c r="B60" i="4"/>
  <c r="E60" i="4"/>
  <c r="C60" i="4"/>
  <c r="B61" i="4"/>
  <c r="E62" i="4"/>
  <c r="A68" i="4"/>
  <c r="A69" i="4"/>
  <c r="A70" i="4"/>
  <c r="A71" i="4"/>
  <c r="C124" i="4"/>
  <c r="C165" i="4"/>
  <c r="B185" i="4"/>
  <c r="C185" i="4"/>
  <c r="B187" i="4"/>
  <c r="C187" i="4"/>
  <c r="B188" i="4"/>
  <c r="C188" i="4"/>
  <c r="B190" i="4"/>
  <c r="C190" i="4"/>
  <c r="B192" i="4"/>
  <c r="C192" i="4"/>
  <c r="B193" i="4"/>
  <c r="C193" i="4"/>
  <c r="B194" i="4"/>
  <c r="C194" i="4"/>
  <c r="B195" i="4"/>
  <c r="C195" i="4"/>
  <c r="C205" i="4"/>
  <c r="C211" i="4"/>
  <c r="B215" i="4"/>
  <c r="B216" i="4"/>
  <c r="B217" i="4"/>
  <c r="C216" i="4"/>
  <c r="C217" i="4"/>
  <c r="C222" i="4"/>
  <c r="B220" i="4"/>
  <c r="B221" i="4"/>
  <c r="B222" i="4"/>
  <c r="B1" i="63"/>
  <c r="B6" i="63"/>
  <c r="B8" i="63"/>
  <c r="H14" i="63"/>
  <c r="G24" i="63"/>
  <c r="A16" i="63"/>
  <c r="A26" i="63"/>
  <c r="C16" i="63"/>
  <c r="D26" i="63"/>
  <c r="A18" i="63"/>
  <c r="A28" i="63"/>
  <c r="C18" i="63"/>
  <c r="E18" i="63"/>
  <c r="G28" i="63"/>
  <c r="D28" i="63"/>
  <c r="F49" i="63"/>
  <c r="H4" i="59"/>
  <c r="H5" i="59"/>
  <c r="H6" i="59"/>
  <c r="J14" i="59"/>
  <c r="J15" i="59"/>
  <c r="J16" i="59"/>
  <c r="J17" i="59"/>
  <c r="J18" i="59"/>
  <c r="A29" i="59"/>
  <c r="A30" i="59"/>
  <c r="A31" i="59"/>
  <c r="A32" i="59"/>
  <c r="A33" i="59"/>
  <c r="A34" i="59"/>
  <c r="A35" i="59"/>
  <c r="A36" i="59"/>
  <c r="A37" i="59"/>
  <c r="A38" i="59"/>
  <c r="A39" i="59"/>
  <c r="A40" i="59"/>
  <c r="A41" i="59"/>
  <c r="A42" i="59"/>
  <c r="A43" i="59"/>
  <c r="A44" i="59"/>
  <c r="A45" i="59"/>
  <c r="A46" i="59"/>
  <c r="A47" i="59"/>
  <c r="A48" i="59"/>
  <c r="A49" i="59"/>
  <c r="A50" i="59"/>
  <c r="H56" i="59"/>
  <c r="I56" i="59"/>
  <c r="H57" i="59"/>
  <c r="J57" i="59"/>
  <c r="I57" i="59"/>
  <c r="H58" i="59"/>
  <c r="I58" i="59"/>
  <c r="J58" i="59"/>
  <c r="H59" i="59"/>
  <c r="I59" i="59"/>
  <c r="J59" i="59"/>
  <c r="H60" i="59"/>
  <c r="I60" i="59"/>
  <c r="J60" i="59"/>
  <c r="H61" i="59"/>
  <c r="J61" i="59"/>
  <c r="I61" i="59"/>
  <c r="H63" i="59"/>
  <c r="H71" i="59"/>
  <c r="H64" i="59"/>
  <c r="I64" i="59"/>
  <c r="J64" i="59"/>
  <c r="H65" i="59"/>
  <c r="I65" i="59"/>
  <c r="J65" i="59"/>
  <c r="H66" i="59"/>
  <c r="J66" i="59"/>
  <c r="I66" i="59"/>
  <c r="H67" i="59"/>
  <c r="I67" i="59"/>
  <c r="J67" i="59"/>
  <c r="H68" i="59"/>
  <c r="J68" i="59"/>
  <c r="I68" i="59"/>
  <c r="H69" i="59"/>
  <c r="I69" i="59"/>
  <c r="J69" i="59"/>
  <c r="H72" i="59"/>
  <c r="J72" i="59"/>
  <c r="I72" i="59"/>
  <c r="H73" i="59"/>
  <c r="J73" i="59"/>
  <c r="I73" i="59"/>
  <c r="H74" i="59"/>
  <c r="J74" i="59"/>
  <c r="I74" i="59"/>
  <c r="H75" i="59"/>
  <c r="J75" i="59"/>
  <c r="I75" i="59"/>
  <c r="H76" i="59"/>
  <c r="J76" i="59"/>
  <c r="I76" i="59"/>
  <c r="H77" i="59"/>
  <c r="I77" i="59"/>
  <c r="J77" i="59"/>
  <c r="H78" i="59"/>
  <c r="J78" i="59"/>
  <c r="I78" i="59"/>
  <c r="H82" i="59"/>
  <c r="H83" i="59"/>
  <c r="I83" i="59"/>
  <c r="I100" i="59"/>
  <c r="H84" i="59"/>
  <c r="J84" i="59"/>
  <c r="I84" i="59"/>
  <c r="H85" i="59"/>
  <c r="I85" i="59"/>
  <c r="J85" i="59"/>
  <c r="H86" i="59"/>
  <c r="J86" i="59"/>
  <c r="I86" i="59"/>
  <c r="H87" i="59"/>
  <c r="I87" i="59"/>
  <c r="H88" i="59"/>
  <c r="J88" i="59"/>
  <c r="I88" i="59"/>
  <c r="H89" i="59"/>
  <c r="J89" i="59"/>
  <c r="I89" i="59"/>
  <c r="H92" i="59"/>
  <c r="H93" i="59"/>
  <c r="J93" i="59"/>
  <c r="H94" i="59"/>
  <c r="J94" i="59"/>
  <c r="H95" i="59"/>
  <c r="J95" i="59"/>
  <c r="H96" i="59"/>
  <c r="J96" i="59"/>
  <c r="H97" i="59"/>
  <c r="J97" i="59"/>
  <c r="H98" i="59"/>
  <c r="J98" i="59"/>
  <c r="G100" i="59"/>
  <c r="E120" i="59"/>
  <c r="E14" i="65"/>
  <c r="E20" i="65"/>
  <c r="I20" i="65"/>
  <c r="C27" i="65"/>
  <c r="F27" i="65"/>
  <c r="F39" i="65"/>
  <c r="J39" i="65"/>
  <c r="L39" i="65"/>
  <c r="F40" i="65"/>
  <c r="H40" i="65"/>
  <c r="J40" i="65"/>
  <c r="L40" i="65"/>
  <c r="C59" i="65"/>
  <c r="C11" i="61"/>
  <c r="C15" i="61"/>
  <c r="C59" i="61"/>
  <c r="C213" i="61"/>
  <c r="C219" i="61"/>
  <c r="C234" i="61"/>
  <c r="C243" i="61"/>
  <c r="C11" i="62"/>
  <c r="C15" i="62"/>
  <c r="C59" i="62"/>
  <c r="C213" i="62"/>
  <c r="C219" i="62"/>
  <c r="C234" i="62"/>
  <c r="C243" i="62"/>
  <c r="D10" i="68"/>
  <c r="H12" i="68"/>
  <c r="H14" i="68"/>
  <c r="B16" i="68"/>
  <c r="D18" i="68"/>
  <c r="E4" i="64"/>
  <c r="E5" i="64"/>
  <c r="L5" i="64"/>
  <c r="E146" i="64"/>
  <c r="E147" i="64"/>
  <c r="A88" i="40"/>
  <c r="A166" i="40" s="1"/>
  <c r="C221" i="4"/>
  <c r="T82" i="41"/>
  <c r="L103" i="44"/>
  <c r="I103" i="44"/>
  <c r="I105" i="44"/>
  <c r="I107" i="44"/>
  <c r="I109" i="44"/>
  <c r="I111" i="44"/>
  <c r="J58" i="13"/>
  <c r="S58" i="13"/>
  <c r="J24" i="13"/>
  <c r="S24" i="13"/>
  <c r="J16" i="13"/>
  <c r="S16" i="13"/>
  <c r="E22" i="49"/>
  <c r="E23" i="49" s="1"/>
  <c r="E24" i="49" s="1"/>
  <c r="E25" i="49" s="1"/>
  <c r="E26" i="49" s="1"/>
  <c r="E27" i="49" s="1"/>
  <c r="E28" i="49" s="1"/>
  <c r="E29" i="49" s="1"/>
  <c r="E30" i="49" s="1"/>
  <c r="E31" i="49" s="1"/>
  <c r="D218" i="74"/>
  <c r="F218" i="74"/>
  <c r="L13" i="44"/>
  <c r="I13" i="44"/>
  <c r="J59" i="13"/>
  <c r="J54" i="13"/>
  <c r="S54" i="13"/>
  <c r="J66" i="13"/>
  <c r="S66" i="13"/>
  <c r="S55" i="13"/>
  <c r="J55" i="13"/>
  <c r="J27" i="13"/>
  <c r="S27" i="13"/>
  <c r="D33" i="49"/>
  <c r="O22" i="49"/>
  <c r="K2" i="49"/>
  <c r="D84" i="74"/>
  <c r="O84" i="74"/>
  <c r="O40" i="74"/>
  <c r="S67" i="13"/>
  <c r="J67" i="13"/>
  <c r="J62" i="13"/>
  <c r="S62" i="13"/>
  <c r="S51" i="13"/>
  <c r="J51" i="13"/>
  <c r="J28" i="13"/>
  <c r="S28" i="13"/>
  <c r="J23" i="13"/>
  <c r="S23" i="13"/>
  <c r="J12" i="13"/>
  <c r="L193" i="81"/>
  <c r="I193" i="81"/>
  <c r="I195" i="81"/>
  <c r="I197" i="81"/>
  <c r="K27" i="50"/>
  <c r="K26" i="50"/>
  <c r="K25" i="50"/>
  <c r="K24" i="50"/>
  <c r="K23" i="50"/>
  <c r="K14" i="50"/>
  <c r="K13" i="50"/>
  <c r="K12" i="50"/>
  <c r="K11" i="50"/>
  <c r="K10" i="50"/>
  <c r="I103" i="80"/>
  <c r="I105" i="80"/>
  <c r="L103" i="80"/>
  <c r="L103" i="81"/>
  <c r="I103" i="81"/>
  <c r="I105" i="81"/>
  <c r="I13" i="81"/>
  <c r="I15" i="81"/>
  <c r="I17" i="81"/>
  <c r="I19" i="81"/>
  <c r="L13" i="81"/>
  <c r="L193" i="80"/>
  <c r="I193" i="80"/>
  <c r="F111" i="44"/>
  <c r="L15" i="80"/>
  <c r="F199" i="81"/>
  <c r="F201" i="81"/>
  <c r="F19" i="80"/>
  <c r="I13" i="80"/>
  <c r="I15" i="80"/>
  <c r="I17" i="80"/>
  <c r="F105" i="81"/>
  <c r="F17" i="81"/>
  <c r="G105" i="81"/>
  <c r="H105" i="81"/>
  <c r="F107" i="81"/>
  <c r="F109" i="81"/>
  <c r="G111" i="44"/>
  <c r="H111" i="44"/>
  <c r="F113" i="44"/>
  <c r="F115" i="44"/>
  <c r="G17" i="81"/>
  <c r="H17" i="81"/>
  <c r="L17" i="81"/>
  <c r="F19" i="81"/>
  <c r="L111" i="44"/>
  <c r="L105" i="81"/>
  <c r="G113" i="44"/>
  <c r="H113" i="44"/>
  <c r="G107" i="81"/>
  <c r="H107" i="81"/>
  <c r="G19" i="81"/>
  <c r="H19" i="81"/>
  <c r="F21" i="81"/>
  <c r="F23" i="81"/>
  <c r="G23" i="81"/>
  <c r="G21" i="81"/>
  <c r="H21" i="81"/>
  <c r="L21" i="81"/>
  <c r="G115" i="44"/>
  <c r="H115" i="44"/>
  <c r="L115" i="44"/>
  <c r="F117" i="44"/>
  <c r="G109" i="81"/>
  <c r="H109" i="81"/>
  <c r="L109" i="81"/>
  <c r="F111" i="81"/>
  <c r="H23" i="81"/>
  <c r="L23" i="81"/>
  <c r="F25" i="81"/>
  <c r="A6" i="35"/>
  <c r="L107" i="81"/>
  <c r="F164" i="4"/>
  <c r="H60" i="6"/>
  <c r="O9" i="81"/>
  <c r="O54" i="81"/>
  <c r="O99" i="81"/>
  <c r="O144" i="81"/>
  <c r="O189" i="81"/>
  <c r="O234" i="81"/>
  <c r="H6" i="74"/>
  <c r="H48" i="74"/>
  <c r="H90" i="74"/>
  <c r="H132" i="74"/>
  <c r="H174" i="74"/>
  <c r="H216" i="74"/>
  <c r="H6" i="13"/>
  <c r="H42" i="13"/>
  <c r="O9" i="80"/>
  <c r="O54" i="80"/>
  <c r="O99" i="80"/>
  <c r="O144" i="80"/>
  <c r="O189" i="80"/>
  <c r="O234" i="80"/>
  <c r="J9" i="57"/>
  <c r="J64" i="57"/>
  <c r="J118" i="57"/>
  <c r="J173" i="57"/>
  <c r="J228" i="57"/>
  <c r="J283" i="57"/>
  <c r="J338" i="57"/>
  <c r="J393" i="57"/>
  <c r="J448" i="57"/>
  <c r="J503" i="57"/>
  <c r="J558" i="57"/>
  <c r="J613" i="57"/>
  <c r="J668" i="57"/>
  <c r="J723" i="57"/>
  <c r="J778" i="57"/>
  <c r="J833" i="57"/>
  <c r="J888" i="57"/>
  <c r="J943" i="57"/>
  <c r="J998" i="57"/>
  <c r="J1053" i="57"/>
  <c r="J1108" i="57"/>
  <c r="J1163" i="57"/>
  <c r="J1218" i="57"/>
  <c r="J1273" i="57"/>
  <c r="J1328" i="57"/>
  <c r="J1383" i="57"/>
  <c r="J1438" i="57"/>
  <c r="J1493" i="57"/>
  <c r="J1548" i="57"/>
  <c r="J1603" i="57"/>
  <c r="O9" i="44"/>
  <c r="O54" i="44"/>
  <c r="O99" i="44"/>
  <c r="O144" i="44"/>
  <c r="O189" i="44"/>
  <c r="O234" i="44"/>
  <c r="F5" i="11"/>
  <c r="G5" i="10"/>
  <c r="I15" i="6"/>
  <c r="E15" i="37"/>
  <c r="F14" i="63"/>
  <c r="D24" i="63"/>
  <c r="G15" i="48"/>
  <c r="F119" i="44"/>
  <c r="G117" i="44"/>
  <c r="H117" i="44"/>
  <c r="L117" i="44"/>
  <c r="G107" i="80"/>
  <c r="H107" i="80"/>
  <c r="F109" i="80"/>
  <c r="G27" i="48"/>
  <c r="G37" i="37"/>
  <c r="K25" i="6"/>
  <c r="I21" i="81"/>
  <c r="I23" i="81"/>
  <c r="I25" i="81"/>
  <c r="B191" i="4"/>
  <c r="C191" i="4"/>
  <c r="I107" i="81"/>
  <c r="I109" i="81"/>
  <c r="B189" i="4"/>
  <c r="H39" i="65"/>
  <c r="C189" i="4"/>
  <c r="L11" i="44"/>
  <c r="L56" i="44"/>
  <c r="L101" i="44"/>
  <c r="L146" i="44"/>
  <c r="L191" i="44"/>
  <c r="L236" i="44"/>
  <c r="T43" i="81"/>
  <c r="T88" i="81"/>
  <c r="T133" i="81"/>
  <c r="T178" i="81"/>
  <c r="T223" i="81"/>
  <c r="T268" i="81"/>
  <c r="L56" i="81"/>
  <c r="T43" i="44"/>
  <c r="T88" i="44"/>
  <c r="T133" i="44"/>
  <c r="T178" i="44"/>
  <c r="T223" i="44"/>
  <c r="T268" i="44"/>
  <c r="T43" i="80"/>
  <c r="T88" i="80"/>
  <c r="T133" i="80"/>
  <c r="T178" i="80"/>
  <c r="T223" i="80"/>
  <c r="T268" i="80"/>
  <c r="L56" i="80"/>
  <c r="D134" i="74"/>
  <c r="F6" i="74"/>
  <c r="F48" i="74"/>
  <c r="F90" i="74"/>
  <c r="F132" i="74"/>
  <c r="F174" i="74"/>
  <c r="F216" i="74"/>
  <c r="E5" i="10"/>
  <c r="M9" i="44"/>
  <c r="M54" i="44"/>
  <c r="M99" i="44"/>
  <c r="M144" i="44"/>
  <c r="M189" i="44"/>
  <c r="M234" i="44"/>
  <c r="E5" i="11"/>
  <c r="H9" i="57"/>
  <c r="H64" i="57"/>
  <c r="H118" i="57"/>
  <c r="H173" i="57"/>
  <c r="H228" i="57"/>
  <c r="H283" i="57"/>
  <c r="H338" i="57"/>
  <c r="H393" i="57"/>
  <c r="H448" i="57"/>
  <c r="H503" i="57"/>
  <c r="H558" i="57"/>
  <c r="H613" i="57"/>
  <c r="H668" i="57"/>
  <c r="H723" i="57"/>
  <c r="H778" i="57"/>
  <c r="H833" i="57"/>
  <c r="H888" i="57"/>
  <c r="H943" i="57"/>
  <c r="H998" i="57"/>
  <c r="H1053" i="57"/>
  <c r="H1108" i="57"/>
  <c r="H1163" i="57"/>
  <c r="H1218" i="57"/>
  <c r="H1273" i="57"/>
  <c r="H1328" i="57"/>
  <c r="H1383" i="57"/>
  <c r="H1438" i="57"/>
  <c r="H1493" i="57"/>
  <c r="H1548" i="57"/>
  <c r="H1603" i="57"/>
  <c r="E14" i="37"/>
  <c r="I14" i="6"/>
  <c r="F6" i="13"/>
  <c r="F42" i="13"/>
  <c r="D14" i="63"/>
  <c r="A24" i="63"/>
  <c r="G14" i="48"/>
  <c r="I28" i="50"/>
  <c r="K28" i="50"/>
  <c r="J53" i="13"/>
  <c r="S53" i="13"/>
  <c r="S20" i="13"/>
  <c r="J20" i="13"/>
  <c r="D92" i="74"/>
  <c r="F92" i="74"/>
  <c r="S19" i="13"/>
  <c r="J19" i="13"/>
  <c r="L19" i="81"/>
  <c r="I113" i="44"/>
  <c r="I115" i="44"/>
  <c r="I117" i="44"/>
  <c r="L113" i="44"/>
  <c r="C52" i="15"/>
  <c r="C148" i="15"/>
  <c r="C100" i="15"/>
  <c r="J54" i="6"/>
  <c r="K54" i="6" s="1"/>
  <c r="L46" i="55"/>
  <c r="G25" i="81"/>
  <c r="H25" i="81"/>
  <c r="F27" i="81"/>
  <c r="Z12" i="41"/>
  <c r="Z30" i="41" s="1"/>
  <c r="Z48" i="41" s="1"/>
  <c r="Z66" i="41" s="1"/>
  <c r="Z84" i="41" s="1"/>
  <c r="AB16" i="41"/>
  <c r="AB34" i="41" s="1"/>
  <c r="AB52" i="41" s="1"/>
  <c r="AB70" i="41" s="1"/>
  <c r="AB88" i="41" s="1"/>
  <c r="AB106" i="41" s="1"/>
  <c r="AB124" i="41" s="1"/>
  <c r="AB142" i="41" s="1"/>
  <c r="AB160" i="41" s="1"/>
  <c r="AB178" i="41" s="1"/>
  <c r="AB196" i="41" s="1"/>
  <c r="AB214" i="41" s="1"/>
  <c r="AB232" i="41" s="1"/>
  <c r="AB250" i="41" s="1"/>
  <c r="AB268" i="41" s="1"/>
  <c r="AB286" i="41" s="1"/>
  <c r="AB304" i="41" s="1"/>
  <c r="AB322" i="41" s="1"/>
  <c r="AB340" i="41" s="1"/>
  <c r="AB358" i="41" s="1"/>
  <c r="AB376" i="41" s="1"/>
  <c r="AB394" i="41" s="1"/>
  <c r="AB412" i="41" s="1"/>
  <c r="AB430" i="41" s="1"/>
  <c r="AB448" i="41" s="1"/>
  <c r="AB466" i="41" s="1"/>
  <c r="AB484" i="41" s="1"/>
  <c r="AB502" i="41" s="1"/>
  <c r="AB520" i="41" s="1"/>
  <c r="AB538" i="41" s="1"/>
  <c r="X46" i="45" s="1"/>
  <c r="Z46" i="45" s="1"/>
  <c r="X13" i="41"/>
  <c r="X31" i="41" s="1"/>
  <c r="AB10" i="41"/>
  <c r="AB17" i="41"/>
  <c r="AB38" i="41"/>
  <c r="Z16" i="41"/>
  <c r="Z34" i="41" s="1"/>
  <c r="Z52" i="41" s="1"/>
  <c r="Z70" i="41" s="1"/>
  <c r="Z88" i="41" s="1"/>
  <c r="Z106" i="41" s="1"/>
  <c r="Z124" i="41" s="1"/>
  <c r="Z142" i="41" s="1"/>
  <c r="Z160" i="41" s="1"/>
  <c r="Z178" i="41" s="1"/>
  <c r="Z196" i="41" s="1"/>
  <c r="Z214" i="41" s="1"/>
  <c r="Z232" i="41" s="1"/>
  <c r="Z250" i="41" s="1"/>
  <c r="Z268" i="41" s="1"/>
  <c r="Z286" i="41" s="1"/>
  <c r="Z304" i="41" s="1"/>
  <c r="Z322" i="41" s="1"/>
  <c r="Z340" i="41" s="1"/>
  <c r="Z358" i="41" s="1"/>
  <c r="Z376" i="41" s="1"/>
  <c r="Z394" i="41" s="1"/>
  <c r="Z412" i="41" s="1"/>
  <c r="Z430" i="41" s="1"/>
  <c r="Z448" i="41" s="1"/>
  <c r="Z466" i="41" s="1"/>
  <c r="Z484" i="41" s="1"/>
  <c r="Z502" i="41" s="1"/>
  <c r="Z520" i="41" s="1"/>
  <c r="Z538" i="41" s="1"/>
  <c r="X45" i="45" s="1"/>
  <c r="X17" i="41"/>
  <c r="AB13" i="41"/>
  <c r="X12" i="41"/>
  <c r="X30" i="41" s="1"/>
  <c r="X48" i="41" s="1"/>
  <c r="Z13" i="41"/>
  <c r="Z14" i="41" s="1"/>
  <c r="AB12" i="41"/>
  <c r="AB30" i="41" s="1"/>
  <c r="AB48" i="41" s="1"/>
  <c r="X16" i="41"/>
  <c r="X18" i="41"/>
  <c r="Z18" i="41"/>
  <c r="Z17" i="41"/>
  <c r="G111" i="81"/>
  <c r="H111" i="81"/>
  <c r="L111" i="81"/>
  <c r="F113" i="81"/>
  <c r="E1" i="6"/>
  <c r="C1" i="55"/>
  <c r="G199" i="81"/>
  <c r="H199" i="81"/>
  <c r="G19" i="80"/>
  <c r="H19" i="80"/>
  <c r="F21" i="80"/>
  <c r="E61" i="6"/>
  <c r="G201" i="81"/>
  <c r="H201" i="81"/>
  <c r="L201" i="81"/>
  <c r="F203" i="81"/>
  <c r="G49" i="29"/>
  <c r="G51" i="29"/>
  <c r="D222" i="49"/>
  <c r="O211" i="49"/>
  <c r="T139" i="44"/>
  <c r="T94" i="44"/>
  <c r="C143" i="44"/>
  <c r="G44" i="37"/>
  <c r="G34" i="48"/>
  <c r="I107" i="80"/>
  <c r="E10" i="4"/>
  <c r="A149" i="4"/>
  <c r="H10" i="4"/>
  <c r="I10" i="4"/>
  <c r="G16" i="37"/>
  <c r="L11" i="57"/>
  <c r="L66" i="57"/>
  <c r="L120" i="57"/>
  <c r="L175" i="57"/>
  <c r="L230" i="57"/>
  <c r="L285" i="57"/>
  <c r="L340" i="57"/>
  <c r="L395" i="57"/>
  <c r="L450" i="57"/>
  <c r="L505" i="57"/>
  <c r="L560" i="57"/>
  <c r="L615" i="57"/>
  <c r="L670" i="57"/>
  <c r="L725" i="57"/>
  <c r="L780" i="57"/>
  <c r="L835" i="57"/>
  <c r="L890" i="57"/>
  <c r="L945" i="57"/>
  <c r="L1000" i="57"/>
  <c r="L1055" i="57"/>
  <c r="L1110" i="57"/>
  <c r="L1165" i="57"/>
  <c r="L1220" i="57"/>
  <c r="L1275" i="57"/>
  <c r="L1330" i="57"/>
  <c r="L1385" i="57"/>
  <c r="L1440" i="57"/>
  <c r="L1495" i="57"/>
  <c r="L1550" i="57"/>
  <c r="L1605" i="57"/>
  <c r="G19" i="48"/>
  <c r="K16" i="6"/>
  <c r="E16" i="63"/>
  <c r="G26" i="63"/>
  <c r="J56" i="59"/>
  <c r="L47" i="55"/>
  <c r="T100" i="41"/>
  <c r="T118" i="41"/>
  <c r="T136" i="41"/>
  <c r="T154" i="41"/>
  <c r="T172" i="41"/>
  <c r="T190" i="41"/>
  <c r="T208" i="41"/>
  <c r="T226" i="41"/>
  <c r="T244" i="41"/>
  <c r="T262" i="41"/>
  <c r="T280" i="41"/>
  <c r="T298" i="41"/>
  <c r="T316" i="41"/>
  <c r="T334" i="41"/>
  <c r="T352" i="41"/>
  <c r="T370" i="41"/>
  <c r="T388" i="41"/>
  <c r="T406" i="41"/>
  <c r="T424" i="41"/>
  <c r="T442" i="41"/>
  <c r="T460" i="41"/>
  <c r="T478" i="41"/>
  <c r="T496" i="41"/>
  <c r="T514" i="41"/>
  <c r="T532" i="41"/>
  <c r="J87" i="59"/>
  <c r="F170" i="43"/>
  <c r="B174" i="43"/>
  <c r="S48" i="13"/>
  <c r="J48" i="13"/>
  <c r="S63" i="13"/>
  <c r="J63" i="13"/>
  <c r="S31" i="13"/>
  <c r="J31" i="13"/>
  <c r="T4" i="80"/>
  <c r="D6" i="74"/>
  <c r="D48" i="74"/>
  <c r="D90" i="74"/>
  <c r="D132" i="74"/>
  <c r="D174" i="74"/>
  <c r="D216" i="74"/>
  <c r="H6" i="28"/>
  <c r="K9" i="80"/>
  <c r="K54" i="80"/>
  <c r="K99" i="80"/>
  <c r="K144" i="80"/>
  <c r="K189" i="80"/>
  <c r="K234" i="80"/>
  <c r="K9" i="44"/>
  <c r="K54" i="44"/>
  <c r="K99" i="44"/>
  <c r="K144" i="44"/>
  <c r="K189" i="44"/>
  <c r="K234" i="44"/>
  <c r="D6" i="13"/>
  <c r="D42" i="13"/>
  <c r="E4" i="11"/>
  <c r="D173" i="57"/>
  <c r="D558" i="57"/>
  <c r="D9" i="57"/>
  <c r="G48" i="57"/>
  <c r="D998" i="57"/>
  <c r="D1108" i="57"/>
  <c r="O9" i="41"/>
  <c r="O27" i="41"/>
  <c r="O45" i="41"/>
  <c r="O63" i="41"/>
  <c r="O81" i="41"/>
  <c r="O99" i="41"/>
  <c r="O117" i="41"/>
  <c r="O135" i="41"/>
  <c r="O153" i="41"/>
  <c r="O171" i="41"/>
  <c r="O189" i="41"/>
  <c r="O207" i="41"/>
  <c r="O225" i="41"/>
  <c r="O243" i="41"/>
  <c r="O261" i="41"/>
  <c r="O279" i="41"/>
  <c r="O297" i="41"/>
  <c r="O315" i="41"/>
  <c r="O333" i="41"/>
  <c r="O351" i="41"/>
  <c r="O369" i="41"/>
  <c r="O387" i="41"/>
  <c r="O405" i="41"/>
  <c r="O423" i="41"/>
  <c r="O441" i="41"/>
  <c r="O459" i="41"/>
  <c r="O477" i="41"/>
  <c r="O495" i="41"/>
  <c r="O513" i="41"/>
  <c r="O531" i="41"/>
  <c r="B4" i="45"/>
  <c r="D1053" i="57"/>
  <c r="D1163" i="57"/>
  <c r="F4" i="10"/>
  <c r="D228" i="57"/>
  <c r="D943" i="57"/>
  <c r="D1218" i="57"/>
  <c r="D1548" i="57"/>
  <c r="D1603" i="57"/>
  <c r="D723" i="57"/>
  <c r="D338" i="57"/>
  <c r="D393" i="57"/>
  <c r="D1328" i="57"/>
  <c r="D778" i="57"/>
  <c r="D888" i="57"/>
  <c r="D1383" i="57"/>
  <c r="E13" i="37"/>
  <c r="D64" i="57"/>
  <c r="G102" i="57"/>
  <c r="D118" i="57"/>
  <c r="G157" i="57"/>
  <c r="F160" i="57"/>
  <c r="F215" i="57"/>
  <c r="G215" i="57"/>
  <c r="P92" i="41"/>
  <c r="E215" i="57"/>
  <c r="G212" i="57"/>
  <c r="J83" i="59"/>
  <c r="A60" i="4"/>
  <c r="A61" i="4"/>
  <c r="D1438" i="57"/>
  <c r="J49" i="13"/>
  <c r="S49" i="13"/>
  <c r="J92" i="59"/>
  <c r="H100" i="59"/>
  <c r="D1493" i="57"/>
  <c r="P64" i="41"/>
  <c r="G31" i="48"/>
  <c r="G41" i="37"/>
  <c r="J21" i="13"/>
  <c r="S21" i="13"/>
  <c r="L65" i="41"/>
  <c r="G14" i="37"/>
  <c r="H11" i="57"/>
  <c r="H66" i="57"/>
  <c r="H120" i="57"/>
  <c r="H175" i="57"/>
  <c r="H230" i="57"/>
  <c r="H285" i="57"/>
  <c r="H340" i="57"/>
  <c r="H395" i="57"/>
  <c r="H450" i="57"/>
  <c r="H505" i="57"/>
  <c r="H560" i="57"/>
  <c r="H615" i="57"/>
  <c r="H670" i="57"/>
  <c r="H725" i="57"/>
  <c r="H780" i="57"/>
  <c r="H835" i="57"/>
  <c r="H890" i="57"/>
  <c r="H945" i="57"/>
  <c r="H1000" i="57"/>
  <c r="H1055" i="57"/>
  <c r="H1110" i="57"/>
  <c r="H1165" i="57"/>
  <c r="H1220" i="57"/>
  <c r="H1275" i="57"/>
  <c r="H1330" i="57"/>
  <c r="H1385" i="57"/>
  <c r="H1440" i="57"/>
  <c r="H1495" i="57"/>
  <c r="H1550" i="57"/>
  <c r="H1605" i="57"/>
  <c r="K14" i="6"/>
  <c r="J176" i="49"/>
  <c r="O166" i="49"/>
  <c r="P28" i="41"/>
  <c r="G25" i="28"/>
  <c r="G26" i="28"/>
  <c r="L30" i="55"/>
  <c r="D50" i="74"/>
  <c r="D117" i="49"/>
  <c r="O92" i="49"/>
  <c r="B28" i="28"/>
  <c r="D24" i="37"/>
  <c r="S13" i="13"/>
  <c r="J13" i="13"/>
  <c r="C143" i="80"/>
  <c r="T139" i="80"/>
  <c r="T94" i="80"/>
  <c r="B60" i="49"/>
  <c r="B178" i="49"/>
  <c r="B237" i="49"/>
  <c r="I15" i="50"/>
  <c r="K15" i="50"/>
  <c r="D294" i="49"/>
  <c r="O283" i="49"/>
  <c r="G195" i="44"/>
  <c r="H195" i="44"/>
  <c r="F197" i="44"/>
  <c r="S65" i="13"/>
  <c r="J65" i="13"/>
  <c r="J268" i="49"/>
  <c r="O260" i="49"/>
  <c r="L193" i="44"/>
  <c r="I193" i="44"/>
  <c r="V38" i="41"/>
  <c r="R13" i="41"/>
  <c r="R31" i="41" s="1"/>
  <c r="R49" i="41" s="1"/>
  <c r="V13" i="41"/>
  <c r="V31" i="41" s="1"/>
  <c r="V14" i="41"/>
  <c r="T13" i="41"/>
  <c r="T14" i="41" s="1"/>
  <c r="V17" i="41"/>
  <c r="J49" i="43"/>
  <c r="A58" i="43"/>
  <c r="A59" i="43" s="1"/>
  <c r="A60" i="43" s="1"/>
  <c r="A61" i="43" s="1"/>
  <c r="A62" i="43" s="1"/>
  <c r="A63" i="43" s="1"/>
  <c r="A64" i="43" s="1"/>
  <c r="A65" i="43" s="1"/>
  <c r="A66" i="43" s="1"/>
  <c r="A67" i="43" s="1"/>
  <c r="A69" i="43" s="1"/>
  <c r="A70" i="43" s="1"/>
  <c r="A71" i="43" s="1"/>
  <c r="A72" i="43" s="1"/>
  <c r="A73" i="43" s="1"/>
  <c r="A74" i="43" s="1"/>
  <c r="A75" i="43" s="1"/>
  <c r="A76" i="43" s="1"/>
  <c r="A77" i="43" s="1"/>
  <c r="A78" i="43" s="1"/>
  <c r="C58" i="43" s="1"/>
  <c r="C59" i="43" s="1"/>
  <c r="C60" i="43" s="1"/>
  <c r="C61" i="43" s="1"/>
  <c r="C62" i="43" s="1"/>
  <c r="C63" i="43" s="1"/>
  <c r="C64" i="43" s="1"/>
  <c r="C65" i="43" s="1"/>
  <c r="C66" i="43" s="1"/>
  <c r="C67" i="43" s="1"/>
  <c r="C69" i="43" s="1"/>
  <c r="C70" i="43" s="1"/>
  <c r="C71" i="43" s="1"/>
  <c r="C72" i="43" s="1"/>
  <c r="C73" i="43" s="1"/>
  <c r="C74" i="43" s="1"/>
  <c r="C75" i="43" s="1"/>
  <c r="C76" i="43" s="1"/>
  <c r="C77" i="43" s="1"/>
  <c r="C78" i="43" s="1"/>
  <c r="E58" i="43" s="1"/>
  <c r="E59" i="43" s="1"/>
  <c r="E60" i="43" s="1"/>
  <c r="E61" i="43" s="1"/>
  <c r="E62" i="43" s="1"/>
  <c r="E63" i="43" s="1"/>
  <c r="E64" i="43" s="1"/>
  <c r="E65" i="43" s="1"/>
  <c r="E66" i="43" s="1"/>
  <c r="E67" i="43" s="1"/>
  <c r="E69" i="43" s="1"/>
  <c r="E70" i="43" s="1"/>
  <c r="E71" i="43" s="1"/>
  <c r="E72" i="43" s="1"/>
  <c r="E73" i="43" s="1"/>
  <c r="E74" i="43" s="1"/>
  <c r="E75" i="43" s="1"/>
  <c r="E76" i="43" s="1"/>
  <c r="E77" i="43" s="1"/>
  <c r="E78" i="43" s="1"/>
  <c r="G58" i="43" s="1"/>
  <c r="G59" i="43" s="1"/>
  <c r="G60" i="43" s="1"/>
  <c r="G61" i="43" s="1"/>
  <c r="G62" i="43" s="1"/>
  <c r="G63" i="43" s="1"/>
  <c r="G64" i="43" s="1"/>
  <c r="G65" i="43" s="1"/>
  <c r="G66" i="43" s="1"/>
  <c r="G67" i="43" s="1"/>
  <c r="G69" i="43" s="1"/>
  <c r="G70" i="43" s="1"/>
  <c r="G71" i="43" s="1"/>
  <c r="G72" i="43" s="1"/>
  <c r="G73" i="43" s="1"/>
  <c r="G74" i="43" s="1"/>
  <c r="G75" i="43" s="1"/>
  <c r="G76" i="43" s="1"/>
  <c r="G77" i="43" s="1"/>
  <c r="G78" i="43" s="1"/>
  <c r="I58" i="43" s="1"/>
  <c r="I59" i="43" s="1"/>
  <c r="I60" i="43" s="1"/>
  <c r="I61" i="43" s="1"/>
  <c r="I62" i="43" s="1"/>
  <c r="I63" i="43" s="1"/>
  <c r="I64" i="43" s="1"/>
  <c r="I65" i="43" s="1"/>
  <c r="I66" i="43" s="1"/>
  <c r="I67" i="43" s="1"/>
  <c r="I69" i="43" s="1"/>
  <c r="I70" i="43" s="1"/>
  <c r="I71" i="43" s="1"/>
  <c r="I72" i="43" s="1"/>
  <c r="I73" i="43" s="1"/>
  <c r="I74" i="43" s="1"/>
  <c r="I75" i="43" s="1"/>
  <c r="I76" i="43" s="1"/>
  <c r="I77" i="43" s="1"/>
  <c r="I78" i="43" s="1"/>
  <c r="E160" i="57"/>
  <c r="K178" i="49"/>
  <c r="M180" i="49" s="1"/>
  <c r="F180" i="49"/>
  <c r="J92" i="74"/>
  <c r="G78" i="74"/>
  <c r="S56" i="13"/>
  <c r="J56" i="13"/>
  <c r="T17" i="41"/>
  <c r="N49" i="41"/>
  <c r="B6" i="28"/>
  <c r="D5" i="29"/>
  <c r="D6" i="29"/>
  <c r="E5" i="37"/>
  <c r="D69" i="23"/>
  <c r="G27" i="28"/>
  <c r="G28" i="28"/>
  <c r="G29" i="28"/>
  <c r="G30" i="28"/>
  <c r="G31" i="28"/>
  <c r="G32" i="28"/>
  <c r="G33" i="28"/>
  <c r="F17" i="44"/>
  <c r="G15" i="44"/>
  <c r="H15" i="44"/>
  <c r="S61" i="13"/>
  <c r="J61" i="13"/>
  <c r="J50" i="13"/>
  <c r="S50" i="13"/>
  <c r="J25" i="13"/>
  <c r="S25" i="13"/>
  <c r="J196" i="49"/>
  <c r="O187" i="49" s="1"/>
  <c r="H12" i="4"/>
  <c r="G5" i="37"/>
  <c r="T229" i="81"/>
  <c r="T184" i="81"/>
  <c r="C233" i="81"/>
  <c r="C76" i="15"/>
  <c r="C172" i="15"/>
  <c r="C124" i="15"/>
  <c r="J294" i="49"/>
  <c r="O286" i="49"/>
  <c r="G13" i="37"/>
  <c r="U9" i="41"/>
  <c r="U27" i="41"/>
  <c r="U45" i="41"/>
  <c r="U63" i="41"/>
  <c r="U81" i="41"/>
  <c r="U99" i="41"/>
  <c r="U117" i="41"/>
  <c r="U135" i="41"/>
  <c r="U153" i="41"/>
  <c r="U171" i="41"/>
  <c r="U189" i="41"/>
  <c r="U207" i="41"/>
  <c r="U225" i="41"/>
  <c r="U243" i="41"/>
  <c r="U261" i="41"/>
  <c r="U279" i="41"/>
  <c r="U297" i="41"/>
  <c r="U315" i="41"/>
  <c r="U333" i="41"/>
  <c r="U351" i="41"/>
  <c r="U369" i="41"/>
  <c r="U387" i="41"/>
  <c r="U405" i="41"/>
  <c r="U423" i="41"/>
  <c r="U441" i="41"/>
  <c r="U459" i="41"/>
  <c r="U477" i="41"/>
  <c r="U495" i="41"/>
  <c r="U513" i="41"/>
  <c r="U531" i="41"/>
  <c r="L4" i="45"/>
  <c r="D11" i="57"/>
  <c r="P31" i="41"/>
  <c r="P49" i="41" s="1"/>
  <c r="P67" i="41" s="1"/>
  <c r="P85" i="41" s="1"/>
  <c r="P103" i="41" s="1"/>
  <c r="P121" i="41" s="1"/>
  <c r="P139" i="41" s="1"/>
  <c r="P157" i="41" s="1"/>
  <c r="P175" i="41" s="1"/>
  <c r="P193" i="41" s="1"/>
  <c r="P211" i="41" s="1"/>
  <c r="P229" i="41" s="1"/>
  <c r="P247" i="41" s="1"/>
  <c r="P265" i="41" s="1"/>
  <c r="P283" i="41" s="1"/>
  <c r="P301" i="41" s="1"/>
  <c r="P319" i="41" s="1"/>
  <c r="P337" i="41" s="1"/>
  <c r="P355" i="41" s="1"/>
  <c r="P373" i="41" s="1"/>
  <c r="P391" i="41" s="1"/>
  <c r="P409" i="41" s="1"/>
  <c r="P427" i="41" s="1"/>
  <c r="P445" i="41" s="1"/>
  <c r="P463" i="41" s="1"/>
  <c r="P481" i="41" s="1"/>
  <c r="P499" i="41" s="1"/>
  <c r="P517" i="41" s="1"/>
  <c r="P535" i="41" s="1"/>
  <c r="G105" i="57"/>
  <c r="K60" i="49"/>
  <c r="M62" i="49" s="1"/>
  <c r="F62" i="49"/>
  <c r="C53" i="44"/>
  <c r="T49" i="44"/>
  <c r="T4" i="44"/>
  <c r="G84" i="74"/>
  <c r="G126" i="74"/>
  <c r="O87" i="74"/>
  <c r="J15" i="13"/>
  <c r="G28" i="37"/>
  <c r="C176" i="4"/>
  <c r="S18" i="13"/>
  <c r="J18" i="13"/>
  <c r="G210" i="74"/>
  <c r="G252" i="74"/>
  <c r="D252" i="74"/>
  <c r="O252" i="74"/>
  <c r="O213" i="74"/>
  <c r="G195" i="80"/>
  <c r="H195" i="80"/>
  <c r="F197" i="80"/>
  <c r="F2" i="10"/>
  <c r="A2" i="28"/>
  <c r="C6" i="81"/>
  <c r="C51" i="81"/>
  <c r="C96" i="81"/>
  <c r="C141" i="81"/>
  <c r="C186" i="81"/>
  <c r="C231" i="81"/>
  <c r="C6" i="80"/>
  <c r="C51" i="80"/>
  <c r="C96" i="80"/>
  <c r="C141" i="80"/>
  <c r="C186" i="80"/>
  <c r="C231" i="80"/>
  <c r="U4" i="18"/>
  <c r="G197" i="80"/>
  <c r="H197" i="80"/>
  <c r="L197" i="80"/>
  <c r="F199" i="80"/>
  <c r="F50" i="74"/>
  <c r="J83" i="74"/>
  <c r="F23" i="80"/>
  <c r="G21" i="80"/>
  <c r="H21" i="80"/>
  <c r="L21" i="80"/>
  <c r="L15" i="44"/>
  <c r="E43" i="6"/>
  <c r="G149" i="4"/>
  <c r="J43" i="6"/>
  <c r="K43" i="6"/>
  <c r="B149" i="4"/>
  <c r="F43" i="6"/>
  <c r="L19" i="80"/>
  <c r="I19" i="80"/>
  <c r="I21" i="80"/>
  <c r="F115" i="81"/>
  <c r="G113" i="81"/>
  <c r="H113" i="81"/>
  <c r="L113" i="81"/>
  <c r="L107" i="80"/>
  <c r="O3" i="74"/>
  <c r="O45" i="74"/>
  <c r="L195" i="80"/>
  <c r="I195" i="80"/>
  <c r="I197" i="80"/>
  <c r="G109" i="80"/>
  <c r="H109" i="80"/>
  <c r="L109" i="80"/>
  <c r="F111" i="80"/>
  <c r="F19" i="44"/>
  <c r="G17" i="44"/>
  <c r="H17" i="44"/>
  <c r="L17" i="44"/>
  <c r="I109" i="80"/>
  <c r="L199" i="81"/>
  <c r="L195" i="44"/>
  <c r="L25" i="81"/>
  <c r="G119" i="44"/>
  <c r="H119" i="44"/>
  <c r="F121" i="44"/>
  <c r="G203" i="81"/>
  <c r="H203" i="81"/>
  <c r="L203" i="81"/>
  <c r="F205" i="81"/>
  <c r="J134" i="74"/>
  <c r="G120" i="74"/>
  <c r="I5" i="37"/>
  <c r="H13" i="4"/>
  <c r="B8" i="28"/>
  <c r="E146" i="4"/>
  <c r="L83" i="41"/>
  <c r="F29" i="81"/>
  <c r="G27" i="81"/>
  <c r="H27" i="81"/>
  <c r="L27" i="81"/>
  <c r="I119" i="44"/>
  <c r="G29" i="37"/>
  <c r="E22" i="65"/>
  <c r="C177" i="4"/>
  <c r="I15" i="44"/>
  <c r="I111" i="81"/>
  <c r="I113" i="81"/>
  <c r="N67" i="41"/>
  <c r="N85" i="41" s="1"/>
  <c r="N103" i="41" s="1"/>
  <c r="N121" i="41" s="1"/>
  <c r="N139" i="41" s="1"/>
  <c r="N157" i="41" s="1"/>
  <c r="N175" i="41" s="1"/>
  <c r="N193" i="41" s="1"/>
  <c r="N211" i="41" s="1"/>
  <c r="N229" i="41" s="1"/>
  <c r="N247" i="41" s="1"/>
  <c r="N265" i="41" s="1"/>
  <c r="N283" i="41" s="1"/>
  <c r="N301" i="41" s="1"/>
  <c r="E106" i="57"/>
  <c r="E161" i="57"/>
  <c r="E216" i="57"/>
  <c r="G106" i="57"/>
  <c r="G161" i="57"/>
  <c r="G216" i="57"/>
  <c r="F106" i="57"/>
  <c r="F161" i="57"/>
  <c r="F216" i="57"/>
  <c r="V56" i="41"/>
  <c r="T36" i="41"/>
  <c r="T30" i="41"/>
  <c r="R35" i="41"/>
  <c r="V28" i="41"/>
  <c r="V35" i="41"/>
  <c r="R36" i="41"/>
  <c r="V36" i="41"/>
  <c r="V30" i="41"/>
  <c r="V48" i="41" s="1"/>
  <c r="T35" i="41"/>
  <c r="I195" i="44"/>
  <c r="H62" i="6"/>
  <c r="I42" i="48"/>
  <c r="J100" i="59"/>
  <c r="X36" i="41"/>
  <c r="AB28" i="41"/>
  <c r="Z35" i="41"/>
  <c r="AB56" i="41"/>
  <c r="Z36" i="41"/>
  <c r="AB36" i="41"/>
  <c r="X35" i="41"/>
  <c r="AB35" i="41"/>
  <c r="O171" i="74"/>
  <c r="O129" i="74"/>
  <c r="F134" i="74"/>
  <c r="K167" i="74"/>
  <c r="J209" i="74"/>
  <c r="J251" i="74"/>
  <c r="G197" i="44"/>
  <c r="H197" i="44"/>
  <c r="L197" i="44"/>
  <c r="F199" i="44"/>
  <c r="P82" i="41"/>
  <c r="F270" i="57"/>
  <c r="G270" i="57"/>
  <c r="L85" i="41"/>
  <c r="L103" i="41" s="1"/>
  <c r="L121" i="41" s="1"/>
  <c r="L139" i="41" s="1"/>
  <c r="L157" i="41" s="1"/>
  <c r="L175" i="41" s="1"/>
  <c r="L193" i="41" s="1"/>
  <c r="L211" i="41" s="1"/>
  <c r="L229" i="41" s="1"/>
  <c r="L247" i="41" s="1"/>
  <c r="L265" i="41" s="1"/>
  <c r="L283" i="41" s="1"/>
  <c r="L301" i="41" s="1"/>
  <c r="L319" i="41" s="1"/>
  <c r="L337" i="41" s="1"/>
  <c r="L355" i="41" s="1"/>
  <c r="L373" i="41" s="1"/>
  <c r="L391" i="41" s="1"/>
  <c r="L409" i="41" s="1"/>
  <c r="L427" i="41" s="1"/>
  <c r="L445" i="41" s="1"/>
  <c r="L463" i="41" s="1"/>
  <c r="L481" i="41" s="1"/>
  <c r="L499" i="41" s="1"/>
  <c r="L517" i="41" s="1"/>
  <c r="L535" i="41" s="1"/>
  <c r="P110" i="41"/>
  <c r="E270" i="57"/>
  <c r="G267" i="57"/>
  <c r="D44" i="13"/>
  <c r="F44" i="13"/>
  <c r="I199" i="81"/>
  <c r="I201" i="81"/>
  <c r="I22" i="65"/>
  <c r="D25" i="37"/>
  <c r="D67" i="37"/>
  <c r="C178" i="4"/>
  <c r="G31" i="37"/>
  <c r="G30" i="37"/>
  <c r="A67" i="37"/>
  <c r="AB74" i="41"/>
  <c r="X54" i="41"/>
  <c r="X53" i="41"/>
  <c r="Z54" i="41"/>
  <c r="Z53" i="41"/>
  <c r="AB54" i="41"/>
  <c r="AB53" i="41"/>
  <c r="AB46" i="41"/>
  <c r="G23" i="80"/>
  <c r="H23" i="80"/>
  <c r="L23" i="80"/>
  <c r="F25" i="80"/>
  <c r="I27" i="81"/>
  <c r="G325" i="57"/>
  <c r="F325" i="57"/>
  <c r="P128" i="41"/>
  <c r="E325" i="57"/>
  <c r="G322" i="57"/>
  <c r="P100" i="41"/>
  <c r="F31" i="81"/>
  <c r="G29" i="81"/>
  <c r="H29" i="81"/>
  <c r="J125" i="74"/>
  <c r="D82" i="74"/>
  <c r="I17" i="44"/>
  <c r="F201" i="80"/>
  <c r="G199" i="80"/>
  <c r="H199" i="80"/>
  <c r="I199" i="80"/>
  <c r="G19" i="44"/>
  <c r="H19" i="44"/>
  <c r="L19" i="44"/>
  <c r="F21" i="44"/>
  <c r="L119" i="44"/>
  <c r="I115" i="81"/>
  <c r="V54" i="41"/>
  <c r="V46" i="41"/>
  <c r="T53" i="41"/>
  <c r="R53" i="41"/>
  <c r="V53" i="41"/>
  <c r="T54" i="41"/>
  <c r="R54" i="41"/>
  <c r="V74" i="41"/>
  <c r="G205" i="81"/>
  <c r="H205" i="81"/>
  <c r="L205" i="81"/>
  <c r="F207" i="81"/>
  <c r="I203" i="81"/>
  <c r="I205" i="81"/>
  <c r="L101" i="41"/>
  <c r="I197" i="44"/>
  <c r="I199" i="44"/>
  <c r="E24" i="22"/>
  <c r="E25" i="22"/>
  <c r="H11" i="22"/>
  <c r="H12" i="22"/>
  <c r="H13" i="22"/>
  <c r="H14" i="22"/>
  <c r="H15" i="22"/>
  <c r="H16" i="22"/>
  <c r="H17" i="22"/>
  <c r="H18" i="22"/>
  <c r="H19" i="22"/>
  <c r="H20" i="22"/>
  <c r="H21" i="22"/>
  <c r="F43" i="48"/>
  <c r="E54" i="37"/>
  <c r="K8" i="55"/>
  <c r="E147" i="4"/>
  <c r="I23" i="80"/>
  <c r="G121" i="44"/>
  <c r="H121" i="44"/>
  <c r="L121" i="44"/>
  <c r="F123" i="44"/>
  <c r="G199" i="44"/>
  <c r="H199" i="44"/>
  <c r="L199" i="44"/>
  <c r="F201" i="44"/>
  <c r="B14" i="28"/>
  <c r="A14" i="28"/>
  <c r="B16" i="28"/>
  <c r="A16" i="28"/>
  <c r="B20" i="28"/>
  <c r="A20" i="28"/>
  <c r="B17" i="28"/>
  <c r="A17" i="28"/>
  <c r="B22" i="28"/>
  <c r="A22" i="28"/>
  <c r="B18" i="28"/>
  <c r="A18" i="28"/>
  <c r="B13" i="28"/>
  <c r="A13" i="28"/>
  <c r="B21" i="28"/>
  <c r="A21" i="28"/>
  <c r="B23" i="28"/>
  <c r="B19" i="28"/>
  <c r="A19" i="28"/>
  <c r="B15" i="28"/>
  <c r="A15" i="28"/>
  <c r="G115" i="81"/>
  <c r="H115" i="81"/>
  <c r="F117" i="81"/>
  <c r="K5" i="37"/>
  <c r="H5" i="29"/>
  <c r="E7" i="29"/>
  <c r="G45" i="29"/>
  <c r="G46" i="29"/>
  <c r="G162" i="74"/>
  <c r="J176" i="74"/>
  <c r="F113" i="80"/>
  <c r="G111" i="80"/>
  <c r="H111" i="80"/>
  <c r="L111" i="80"/>
  <c r="G271" i="57"/>
  <c r="F271" i="57"/>
  <c r="E271" i="57"/>
  <c r="A121" i="40"/>
  <c r="A199" i="40" s="1"/>
  <c r="P118" i="41"/>
  <c r="G377" i="57"/>
  <c r="P146" i="41"/>
  <c r="F380" i="57"/>
  <c r="G380" i="57"/>
  <c r="E380" i="57"/>
  <c r="G21" i="44"/>
  <c r="H21" i="44"/>
  <c r="F23" i="44"/>
  <c r="F33" i="81"/>
  <c r="G31" i="81"/>
  <c r="H31" i="81"/>
  <c r="L31" i="81"/>
  <c r="L119" i="41"/>
  <c r="G204" i="74"/>
  <c r="J218" i="74"/>
  <c r="G246" i="74"/>
  <c r="I121" i="44"/>
  <c r="I123" i="44"/>
  <c r="F203" i="80"/>
  <c r="G201" i="80"/>
  <c r="H201" i="80"/>
  <c r="L201" i="80"/>
  <c r="I29" i="81"/>
  <c r="I31" i="81"/>
  <c r="AB64" i="41"/>
  <c r="Z71" i="41"/>
  <c r="X71" i="41"/>
  <c r="AB72" i="41"/>
  <c r="Z72" i="41"/>
  <c r="AB71" i="41"/>
  <c r="X72" i="41"/>
  <c r="AB92" i="41"/>
  <c r="I201" i="44"/>
  <c r="F326" i="57"/>
  <c r="E326" i="57"/>
  <c r="G326" i="57"/>
  <c r="L115" i="81"/>
  <c r="I19" i="44"/>
  <c r="I21" i="44"/>
  <c r="A148" i="40"/>
  <c r="A226" i="40" s="1"/>
  <c r="I207" i="81"/>
  <c r="E55" i="37"/>
  <c r="G13" i="28"/>
  <c r="F22" i="49"/>
  <c r="F23" i="49"/>
  <c r="F24" i="49"/>
  <c r="F25" i="49"/>
  <c r="F26" i="49"/>
  <c r="F27" i="49"/>
  <c r="F28" i="49"/>
  <c r="F29" i="49"/>
  <c r="F30" i="49"/>
  <c r="F31" i="49"/>
  <c r="F35" i="49"/>
  <c r="F36" i="49"/>
  <c r="F37" i="49"/>
  <c r="F38" i="49"/>
  <c r="F39" i="49"/>
  <c r="F40" i="49"/>
  <c r="F41" i="49"/>
  <c r="F42" i="49" s="1"/>
  <c r="F43" i="49" s="1"/>
  <c r="F44" i="49" s="1"/>
  <c r="F48" i="49" s="1"/>
  <c r="I111" i="80"/>
  <c r="F115" i="80"/>
  <c r="G113" i="80"/>
  <c r="H113" i="80"/>
  <c r="F31" i="55"/>
  <c r="F32" i="55"/>
  <c r="L31" i="55"/>
  <c r="L32" i="55"/>
  <c r="G201" i="44"/>
  <c r="H201" i="44"/>
  <c r="F203" i="44"/>
  <c r="T72" i="41"/>
  <c r="V71" i="41"/>
  <c r="V92" i="41"/>
  <c r="V64" i="41"/>
  <c r="R72" i="41"/>
  <c r="R71" i="41"/>
  <c r="V72" i="41"/>
  <c r="T71" i="41"/>
  <c r="I12" i="29"/>
  <c r="I13" i="29"/>
  <c r="I14" i="29"/>
  <c r="I15" i="29"/>
  <c r="I16" i="29"/>
  <c r="I17" i="29"/>
  <c r="I18" i="29"/>
  <c r="A49" i="29"/>
  <c r="H12" i="29"/>
  <c r="H13" i="29"/>
  <c r="H14" i="29"/>
  <c r="H15" i="29"/>
  <c r="H16" i="29"/>
  <c r="H17" i="29"/>
  <c r="H18" i="29"/>
  <c r="H20" i="29"/>
  <c r="E8" i="29"/>
  <c r="L29" i="81"/>
  <c r="G117" i="81"/>
  <c r="H117" i="81"/>
  <c r="L117" i="81"/>
  <c r="F119" i="81"/>
  <c r="F125" i="44"/>
  <c r="G123" i="44"/>
  <c r="H123" i="44"/>
  <c r="L199" i="80"/>
  <c r="G207" i="81"/>
  <c r="H207" i="81"/>
  <c r="F209" i="81"/>
  <c r="F27" i="80"/>
  <c r="G25" i="80"/>
  <c r="H25" i="80"/>
  <c r="H7" i="48"/>
  <c r="F44" i="48"/>
  <c r="G203" i="80"/>
  <c r="H203" i="80"/>
  <c r="L203" i="80"/>
  <c r="F205" i="80"/>
  <c r="G203" i="44"/>
  <c r="H203" i="44"/>
  <c r="L203" i="44"/>
  <c r="F205" i="44"/>
  <c r="I23" i="44"/>
  <c r="I117" i="81"/>
  <c r="F211" i="81"/>
  <c r="G209" i="81"/>
  <c r="H209" i="81"/>
  <c r="L209" i="81"/>
  <c r="L137" i="41"/>
  <c r="G115" i="80"/>
  <c r="H115" i="80"/>
  <c r="F117" i="80"/>
  <c r="L25" i="80"/>
  <c r="AB89" i="41"/>
  <c r="X89" i="41"/>
  <c r="Z90" i="41"/>
  <c r="X90" i="41"/>
  <c r="AB90" i="41"/>
  <c r="AB110" i="41"/>
  <c r="Z89" i="41"/>
  <c r="AB82" i="41"/>
  <c r="L113" i="80"/>
  <c r="G119" i="81"/>
  <c r="H119" i="81"/>
  <c r="F121" i="81"/>
  <c r="F35" i="81"/>
  <c r="G33" i="81"/>
  <c r="H33" i="81"/>
  <c r="L33" i="81"/>
  <c r="F29" i="80"/>
  <c r="G27" i="80"/>
  <c r="H27" i="80"/>
  <c r="L27" i="80"/>
  <c r="I20" i="29"/>
  <c r="H21" i="29"/>
  <c r="L123" i="44"/>
  <c r="G125" i="44"/>
  <c r="H125" i="44"/>
  <c r="L125" i="44"/>
  <c r="F127" i="44"/>
  <c r="I25" i="80"/>
  <c r="I27" i="80"/>
  <c r="G23" i="44"/>
  <c r="H23" i="44"/>
  <c r="F25" i="44"/>
  <c r="P136" i="41"/>
  <c r="G435" i="57"/>
  <c r="P164" i="41"/>
  <c r="E435" i="57"/>
  <c r="G432" i="57"/>
  <c r="F435" i="57"/>
  <c r="I203" i="44"/>
  <c r="L201" i="44"/>
  <c r="L21" i="44"/>
  <c r="I113" i="80"/>
  <c r="I115" i="80"/>
  <c r="L207" i="81"/>
  <c r="G381" i="57"/>
  <c r="F381" i="57"/>
  <c r="E381" i="57"/>
  <c r="T89" i="41"/>
  <c r="R89" i="41"/>
  <c r="V110" i="41"/>
  <c r="V90" i="41"/>
  <c r="V89" i="41"/>
  <c r="R90" i="41"/>
  <c r="T90" i="41"/>
  <c r="V82" i="41"/>
  <c r="I201" i="80"/>
  <c r="I203" i="80"/>
  <c r="L155" i="41"/>
  <c r="R107" i="41"/>
  <c r="R108" i="41"/>
  <c r="V108" i="41"/>
  <c r="V100" i="41"/>
  <c r="T108" i="41"/>
  <c r="V128" i="41"/>
  <c r="V107" i="41"/>
  <c r="T107" i="41"/>
  <c r="I209" i="81"/>
  <c r="I125" i="44"/>
  <c r="I127" i="44"/>
  <c r="F119" i="80"/>
  <c r="G117" i="80"/>
  <c r="H117" i="80"/>
  <c r="G205" i="80"/>
  <c r="H205" i="80"/>
  <c r="I205" i="80"/>
  <c r="F207" i="80"/>
  <c r="F37" i="81"/>
  <c r="G35" i="81"/>
  <c r="H35" i="81"/>
  <c r="G127" i="44"/>
  <c r="H127" i="44"/>
  <c r="L127" i="44"/>
  <c r="F129" i="44"/>
  <c r="G205" i="44"/>
  <c r="H205" i="44"/>
  <c r="F207" i="44"/>
  <c r="I21" i="29"/>
  <c r="H22" i="29"/>
  <c r="F436" i="57"/>
  <c r="G436" i="57"/>
  <c r="E436" i="57"/>
  <c r="L115" i="80"/>
  <c r="Z108" i="41"/>
  <c r="AB128" i="41"/>
  <c r="Z107" i="41"/>
  <c r="X107" i="41"/>
  <c r="AB107" i="41"/>
  <c r="AB100" i="41"/>
  <c r="AB108" i="41"/>
  <c r="X108" i="41"/>
  <c r="G211" i="81"/>
  <c r="H211" i="81"/>
  <c r="L211" i="81"/>
  <c r="F213" i="81"/>
  <c r="I119" i="81"/>
  <c r="I33" i="81"/>
  <c r="G29" i="80"/>
  <c r="H29" i="80"/>
  <c r="F31" i="80"/>
  <c r="G25" i="44"/>
  <c r="H25" i="44"/>
  <c r="F27" i="44"/>
  <c r="G121" i="81"/>
  <c r="H121" i="81"/>
  <c r="L121" i="81"/>
  <c r="F123" i="81"/>
  <c r="L119" i="81"/>
  <c r="F490" i="57"/>
  <c r="G487" i="57"/>
  <c r="P154" i="41"/>
  <c r="G490" i="57"/>
  <c r="P182" i="41"/>
  <c r="E490" i="57"/>
  <c r="L23" i="44"/>
  <c r="L117" i="80"/>
  <c r="E491" i="57"/>
  <c r="F491" i="57"/>
  <c r="G491" i="57"/>
  <c r="G207" i="80"/>
  <c r="H207" i="80"/>
  <c r="L207" i="80"/>
  <c r="F209" i="80"/>
  <c r="V125" i="41"/>
  <c r="R126" i="41"/>
  <c r="V146" i="41"/>
  <c r="T125" i="41"/>
  <c r="V118" i="41"/>
  <c r="T126" i="41"/>
  <c r="V126" i="41"/>
  <c r="R125" i="41"/>
  <c r="L205" i="44"/>
  <c r="L35" i="81"/>
  <c r="L205" i="80"/>
  <c r="I205" i="44"/>
  <c r="G31" i="80"/>
  <c r="H31" i="80"/>
  <c r="L31" i="80"/>
  <c r="F33" i="80"/>
  <c r="L29" i="80"/>
  <c r="I35" i="81"/>
  <c r="I37" i="81"/>
  <c r="G129" i="44"/>
  <c r="H129" i="44"/>
  <c r="I129" i="44"/>
  <c r="F131" i="44"/>
  <c r="I121" i="81"/>
  <c r="I123" i="81"/>
  <c r="G37" i="81"/>
  <c r="H37" i="81"/>
  <c r="L37" i="81"/>
  <c r="F39" i="81"/>
  <c r="E545" i="57"/>
  <c r="F545" i="57"/>
  <c r="G542" i="57"/>
  <c r="P172" i="41"/>
  <c r="P200" i="41"/>
  <c r="G545" i="57"/>
  <c r="L25" i="44"/>
  <c r="Z125" i="41"/>
  <c r="AB118" i="41"/>
  <c r="Z126" i="41"/>
  <c r="X125" i="41"/>
  <c r="X126" i="41"/>
  <c r="AB126" i="41"/>
  <c r="AB125" i="41"/>
  <c r="AB146" i="41"/>
  <c r="G123" i="81"/>
  <c r="H123" i="81"/>
  <c r="L123" i="81"/>
  <c r="F125" i="81"/>
  <c r="I117" i="80"/>
  <c r="I211" i="81"/>
  <c r="I213" i="81"/>
  <c r="H23" i="29"/>
  <c r="H24" i="29"/>
  <c r="H25" i="29"/>
  <c r="H26" i="29"/>
  <c r="H27" i="29"/>
  <c r="H28" i="29"/>
  <c r="H29" i="29"/>
  <c r="H30" i="29"/>
  <c r="H31" i="29"/>
  <c r="H32" i="29"/>
  <c r="H33" i="29"/>
  <c r="H34" i="29"/>
  <c r="H35" i="29"/>
  <c r="H36" i="29"/>
  <c r="H37" i="29"/>
  <c r="H38" i="29"/>
  <c r="H39" i="29"/>
  <c r="H40" i="29"/>
  <c r="H41" i="29"/>
  <c r="H42" i="29"/>
  <c r="I22" i="29"/>
  <c r="I23" i="29"/>
  <c r="I24" i="29"/>
  <c r="I25" i="29"/>
  <c r="I26" i="29"/>
  <c r="I27" i="29"/>
  <c r="I28" i="29"/>
  <c r="I29" i="29"/>
  <c r="I30" i="29"/>
  <c r="I31" i="29"/>
  <c r="I32" i="29"/>
  <c r="I33" i="29"/>
  <c r="I34" i="29"/>
  <c r="I35" i="29"/>
  <c r="I36" i="29"/>
  <c r="I37" i="29"/>
  <c r="I38" i="29"/>
  <c r="I39" i="29"/>
  <c r="I40" i="29"/>
  <c r="I41" i="29"/>
  <c r="I42" i="29"/>
  <c r="G119" i="80"/>
  <c r="H119" i="80"/>
  <c r="L119" i="80"/>
  <c r="F121" i="80"/>
  <c r="I25" i="44"/>
  <c r="G213" i="81"/>
  <c r="H213" i="81"/>
  <c r="F215" i="81"/>
  <c r="L173" i="41"/>
  <c r="G207" i="44"/>
  <c r="H207" i="44"/>
  <c r="L207" i="44"/>
  <c r="F209" i="44"/>
  <c r="F29" i="44"/>
  <c r="G27" i="44"/>
  <c r="H27" i="44"/>
  <c r="I29" i="80"/>
  <c r="I31" i="80"/>
  <c r="I119" i="80"/>
  <c r="G209" i="80"/>
  <c r="H209" i="80"/>
  <c r="F211" i="80"/>
  <c r="L27" i="44"/>
  <c r="G209" i="44"/>
  <c r="H209" i="44"/>
  <c r="L209" i="44"/>
  <c r="F211" i="44"/>
  <c r="F31" i="44"/>
  <c r="G29" i="44"/>
  <c r="H29" i="44"/>
  <c r="L29" i="44"/>
  <c r="I39" i="81"/>
  <c r="G546" i="57"/>
  <c r="E546" i="57"/>
  <c r="F546" i="57"/>
  <c r="L213" i="81"/>
  <c r="X144" i="41"/>
  <c r="AB136" i="41"/>
  <c r="AB143" i="41"/>
  <c r="Z143" i="41"/>
  <c r="AB144" i="41"/>
  <c r="Z144" i="41"/>
  <c r="X143" i="41"/>
  <c r="AB164" i="41"/>
  <c r="G33" i="80"/>
  <c r="H33" i="80"/>
  <c r="F35" i="80"/>
  <c r="E600" i="57"/>
  <c r="G597" i="57"/>
  <c r="P190" i="41"/>
  <c r="F600" i="57"/>
  <c r="G600" i="57"/>
  <c r="P218" i="41"/>
  <c r="G215" i="81"/>
  <c r="H215" i="81"/>
  <c r="L215" i="81"/>
  <c r="F217" i="81"/>
  <c r="I27" i="44"/>
  <c r="I29" i="44"/>
  <c r="G131" i="44"/>
  <c r="H131" i="44"/>
  <c r="F133" i="44"/>
  <c r="V138" i="41"/>
  <c r="V164" i="41"/>
  <c r="T143" i="41"/>
  <c r="V136" i="41"/>
  <c r="R143" i="41"/>
  <c r="T144" i="41"/>
  <c r="V143" i="41"/>
  <c r="R144" i="41"/>
  <c r="V144" i="41"/>
  <c r="I207" i="44"/>
  <c r="G39" i="81"/>
  <c r="H39" i="81"/>
  <c r="F41" i="81"/>
  <c r="F123" i="80"/>
  <c r="G121" i="80"/>
  <c r="H121" i="80"/>
  <c r="L121" i="80"/>
  <c r="L129" i="44"/>
  <c r="G125" i="81"/>
  <c r="H125" i="81"/>
  <c r="F127" i="81"/>
  <c r="L191" i="41"/>
  <c r="I207" i="80"/>
  <c r="G655" i="57"/>
  <c r="F655" i="57"/>
  <c r="E655" i="57"/>
  <c r="G652" i="57"/>
  <c r="P236" i="41"/>
  <c r="P208" i="41"/>
  <c r="I31" i="44"/>
  <c r="L33" i="80"/>
  <c r="F213" i="44"/>
  <c r="G211" i="44"/>
  <c r="H211" i="44"/>
  <c r="L211" i="44"/>
  <c r="L209" i="80"/>
  <c r="G601" i="57"/>
  <c r="E601" i="57"/>
  <c r="F601" i="57"/>
  <c r="L131" i="44"/>
  <c r="L209" i="41"/>
  <c r="F219" i="81"/>
  <c r="G217" i="81"/>
  <c r="H217" i="81"/>
  <c r="G127" i="81"/>
  <c r="H127" i="81"/>
  <c r="F129" i="81"/>
  <c r="L125" i="81"/>
  <c r="F125" i="80"/>
  <c r="G123" i="80"/>
  <c r="H123" i="80"/>
  <c r="L39" i="81"/>
  <c r="G133" i="44"/>
  <c r="H133" i="44"/>
  <c r="L133" i="44"/>
  <c r="G144" i="44"/>
  <c r="F148" i="44"/>
  <c r="G35" i="80"/>
  <c r="H35" i="80"/>
  <c r="L35" i="80"/>
  <c r="F37" i="80"/>
  <c r="G41" i="81"/>
  <c r="H41" i="81"/>
  <c r="L41" i="81"/>
  <c r="F43" i="81"/>
  <c r="G31" i="44"/>
  <c r="H31" i="44"/>
  <c r="F33" i="44"/>
  <c r="V154" i="41"/>
  <c r="T161" i="41"/>
  <c r="R161" i="41"/>
  <c r="T162" i="41"/>
  <c r="V182" i="41"/>
  <c r="V162" i="41"/>
  <c r="V161" i="41"/>
  <c r="R162" i="41"/>
  <c r="G211" i="80"/>
  <c r="H211" i="80"/>
  <c r="L211" i="80"/>
  <c r="F213" i="80"/>
  <c r="I125" i="81"/>
  <c r="I209" i="44"/>
  <c r="I131" i="44"/>
  <c r="Q134" i="44"/>
  <c r="X161" i="41"/>
  <c r="AB161" i="41"/>
  <c r="X162" i="41"/>
  <c r="Z161" i="41"/>
  <c r="AB162" i="41"/>
  <c r="Z162" i="41"/>
  <c r="AB154" i="41"/>
  <c r="AB182" i="41"/>
  <c r="I215" i="81"/>
  <c r="I217" i="81"/>
  <c r="I121" i="80"/>
  <c r="I123" i="80"/>
  <c r="I209" i="80"/>
  <c r="I211" i="80"/>
  <c r="I33" i="80"/>
  <c r="I35" i="80"/>
  <c r="G219" i="81"/>
  <c r="H219" i="81"/>
  <c r="F221" i="81"/>
  <c r="T179" i="41"/>
  <c r="V200" i="41"/>
  <c r="V180" i="41"/>
  <c r="V172" i="41"/>
  <c r="R180" i="41"/>
  <c r="R179" i="41"/>
  <c r="T180" i="41"/>
  <c r="V179" i="41"/>
  <c r="G656" i="57"/>
  <c r="F656" i="57"/>
  <c r="E656" i="57"/>
  <c r="G129" i="81"/>
  <c r="H129" i="81"/>
  <c r="F131" i="81"/>
  <c r="X180" i="41"/>
  <c r="Z180" i="41"/>
  <c r="AB200" i="41"/>
  <c r="AB172" i="41"/>
  <c r="AB179" i="41"/>
  <c r="Z179" i="41"/>
  <c r="X179" i="41"/>
  <c r="AB180" i="41"/>
  <c r="I133" i="44"/>
  <c r="T134" i="44"/>
  <c r="L127" i="81"/>
  <c r="I127" i="81"/>
  <c r="L123" i="80"/>
  <c r="G43" i="81"/>
  <c r="H43" i="81"/>
  <c r="G54" i="81"/>
  <c r="F58" i="81"/>
  <c r="F39" i="80"/>
  <c r="G37" i="80"/>
  <c r="H37" i="80"/>
  <c r="L37" i="80"/>
  <c r="I219" i="81"/>
  <c r="I211" i="44"/>
  <c r="I213" i="44"/>
  <c r="L217" i="81"/>
  <c r="L31" i="44"/>
  <c r="G148" i="44"/>
  <c r="H148" i="44"/>
  <c r="F150" i="44"/>
  <c r="F127" i="80"/>
  <c r="G125" i="80"/>
  <c r="H125" i="80"/>
  <c r="L125" i="80"/>
  <c r="I41" i="81"/>
  <c r="I43" i="81"/>
  <c r="E710" i="57"/>
  <c r="P254" i="41"/>
  <c r="F710" i="57"/>
  <c r="G710" i="57"/>
  <c r="G707" i="57"/>
  <c r="P226" i="41"/>
  <c r="G213" i="44"/>
  <c r="H213" i="44"/>
  <c r="L213" i="44"/>
  <c r="F215" i="44"/>
  <c r="L227" i="41"/>
  <c r="S134" i="44"/>
  <c r="F215" i="80"/>
  <c r="G213" i="80"/>
  <c r="H213" i="80"/>
  <c r="L213" i="80"/>
  <c r="F35" i="44"/>
  <c r="G33" i="44"/>
  <c r="H33" i="44"/>
  <c r="L33" i="44"/>
  <c r="F37" i="44"/>
  <c r="G35" i="44"/>
  <c r="H35" i="44"/>
  <c r="L35" i="44"/>
  <c r="F217" i="80"/>
  <c r="G215" i="80"/>
  <c r="H215" i="80"/>
  <c r="G711" i="57"/>
  <c r="E711" i="57"/>
  <c r="F711" i="57"/>
  <c r="L148" i="44"/>
  <c r="I148" i="44"/>
  <c r="I150" i="44"/>
  <c r="G58" i="81"/>
  <c r="H58" i="81"/>
  <c r="I58" i="81"/>
  <c r="F60" i="81"/>
  <c r="G221" i="81"/>
  <c r="H221" i="81"/>
  <c r="F223" i="81"/>
  <c r="A128" i="40"/>
  <c r="A206" i="40" s="1"/>
  <c r="A129" i="40"/>
  <c r="A207" i="40"/>
  <c r="G127" i="80"/>
  <c r="H127" i="80"/>
  <c r="L127" i="80"/>
  <c r="F129" i="80"/>
  <c r="F152" i="44"/>
  <c r="G150" i="44"/>
  <c r="H150" i="44"/>
  <c r="L150" i="44"/>
  <c r="I213" i="80"/>
  <c r="I215" i="80"/>
  <c r="F217" i="44"/>
  <c r="G215" i="44"/>
  <c r="H215" i="44"/>
  <c r="I37" i="80"/>
  <c r="X197" i="41"/>
  <c r="AB198" i="41"/>
  <c r="Z198" i="41"/>
  <c r="AB190" i="41"/>
  <c r="AB218" i="41"/>
  <c r="Z197" i="41"/>
  <c r="AB197" i="41"/>
  <c r="X198" i="41"/>
  <c r="I125" i="80"/>
  <c r="L129" i="81"/>
  <c r="I221" i="81"/>
  <c r="L43" i="81"/>
  <c r="S44" i="81"/>
  <c r="Q44" i="81"/>
  <c r="T44" i="81"/>
  <c r="L219" i="81"/>
  <c r="F133" i="81"/>
  <c r="G131" i="81"/>
  <c r="H131" i="81"/>
  <c r="L245" i="41"/>
  <c r="I33" i="44"/>
  <c r="F765" i="57"/>
  <c r="G762" i="57"/>
  <c r="E765" i="57"/>
  <c r="G765" i="57"/>
  <c r="P244" i="41"/>
  <c r="P272" i="41"/>
  <c r="V190" i="41"/>
  <c r="V218" i="41"/>
  <c r="T197" i="41"/>
  <c r="R197" i="41"/>
  <c r="V198" i="41"/>
  <c r="R198" i="41"/>
  <c r="T198" i="41"/>
  <c r="V197" i="41"/>
  <c r="G39" i="80"/>
  <c r="H39" i="80"/>
  <c r="L39" i="80"/>
  <c r="F41" i="80"/>
  <c r="I129" i="81"/>
  <c r="G133" i="81"/>
  <c r="H133" i="81"/>
  <c r="L133" i="81"/>
  <c r="G144" i="81"/>
  <c r="F148" i="81"/>
  <c r="G217" i="44"/>
  <c r="H217" i="44"/>
  <c r="L217" i="44"/>
  <c r="F219" i="44"/>
  <c r="I131" i="81"/>
  <c r="I133" i="81"/>
  <c r="G152" i="44"/>
  <c r="H152" i="44"/>
  <c r="L152" i="44"/>
  <c r="F154" i="44"/>
  <c r="L215" i="80"/>
  <c r="L215" i="44"/>
  <c r="I217" i="80"/>
  <c r="G37" i="44"/>
  <c r="H37" i="44"/>
  <c r="F39" i="44"/>
  <c r="L131" i="81"/>
  <c r="Q134" i="81"/>
  <c r="F62" i="81"/>
  <c r="G60" i="81"/>
  <c r="H60" i="81"/>
  <c r="L60" i="81"/>
  <c r="V236" i="41"/>
  <c r="T215" i="41"/>
  <c r="R215" i="41"/>
  <c r="T216" i="41"/>
  <c r="V208" i="41"/>
  <c r="V216" i="41"/>
  <c r="V215" i="41"/>
  <c r="R216" i="41"/>
  <c r="F131" i="80"/>
  <c r="G129" i="80"/>
  <c r="H129" i="80"/>
  <c r="F219" i="80"/>
  <c r="G217" i="80"/>
  <c r="H217" i="80"/>
  <c r="L217" i="80"/>
  <c r="I223" i="81"/>
  <c r="S134" i="81"/>
  <c r="F43" i="80"/>
  <c r="G41" i="80"/>
  <c r="H41" i="80"/>
  <c r="G817" i="57"/>
  <c r="G820" i="57"/>
  <c r="P262" i="41"/>
  <c r="P290" i="41"/>
  <c r="F820" i="57"/>
  <c r="E820" i="57"/>
  <c r="Z216" i="41"/>
  <c r="AB215" i="41"/>
  <c r="X215" i="41"/>
  <c r="AB216" i="41"/>
  <c r="AB208" i="41"/>
  <c r="AB236" i="41"/>
  <c r="X216" i="41"/>
  <c r="Z215" i="41"/>
  <c r="I215" i="44"/>
  <c r="I217" i="44"/>
  <c r="L58" i="81"/>
  <c r="I152" i="44"/>
  <c r="G766" i="57"/>
  <c r="F766" i="57"/>
  <c r="E766" i="57"/>
  <c r="I127" i="80"/>
  <c r="G223" i="81"/>
  <c r="H223" i="81"/>
  <c r="G234" i="81"/>
  <c r="F238" i="81"/>
  <c r="I35" i="44"/>
  <c r="I37" i="44"/>
  <c r="L263" i="41"/>
  <c r="I39" i="80"/>
  <c r="I41" i="80"/>
  <c r="L221" i="81"/>
  <c r="F221" i="80"/>
  <c r="G219" i="80"/>
  <c r="H219" i="80"/>
  <c r="I154" i="44"/>
  <c r="F240" i="81"/>
  <c r="G238" i="81"/>
  <c r="H238" i="81"/>
  <c r="I129" i="80"/>
  <c r="I131" i="80"/>
  <c r="T134" i="81"/>
  <c r="L41" i="80"/>
  <c r="AB233" i="41"/>
  <c r="AB226" i="41"/>
  <c r="AB254" i="41"/>
  <c r="Z234" i="41"/>
  <c r="X234" i="41"/>
  <c r="Z233" i="41"/>
  <c r="X233" i="41"/>
  <c r="AB234" i="41"/>
  <c r="L281" i="41"/>
  <c r="L223" i="81"/>
  <c r="S224" i="81"/>
  <c r="F156" i="44"/>
  <c r="G154" i="44"/>
  <c r="H154" i="44"/>
  <c r="G821" i="57"/>
  <c r="E821" i="57"/>
  <c r="F821" i="57"/>
  <c r="F150" i="81"/>
  <c r="G148" i="81"/>
  <c r="H148" i="81"/>
  <c r="F875" i="57"/>
  <c r="G875" i="57"/>
  <c r="G872" i="57"/>
  <c r="P280" i="41"/>
  <c r="P308" i="41"/>
  <c r="E875" i="57"/>
  <c r="I219" i="80"/>
  <c r="G131" i="80"/>
  <c r="H131" i="80"/>
  <c r="F133" i="80"/>
  <c r="V233" i="41"/>
  <c r="T233" i="41"/>
  <c r="R233" i="41"/>
  <c r="V234" i="41"/>
  <c r="V254" i="41"/>
  <c r="V226" i="41"/>
  <c r="T234" i="41"/>
  <c r="R234" i="41"/>
  <c r="G219" i="44"/>
  <c r="H219" i="44"/>
  <c r="F221" i="44"/>
  <c r="F64" i="81"/>
  <c r="G62" i="81"/>
  <c r="H62" i="81"/>
  <c r="Q224" i="81"/>
  <c r="T224" i="81"/>
  <c r="G39" i="44"/>
  <c r="H39" i="44"/>
  <c r="F41" i="44"/>
  <c r="I60" i="81"/>
  <c r="I62" i="81"/>
  <c r="G43" i="80"/>
  <c r="H43" i="80"/>
  <c r="L43" i="80"/>
  <c r="G54" i="80"/>
  <c r="F58" i="80"/>
  <c r="L129" i="80"/>
  <c r="L37" i="44"/>
  <c r="I64" i="81"/>
  <c r="I148" i="81"/>
  <c r="L148" i="81"/>
  <c r="G240" i="81"/>
  <c r="H240" i="81"/>
  <c r="L240" i="81"/>
  <c r="F242" i="81"/>
  <c r="L62" i="81"/>
  <c r="G58" i="80"/>
  <c r="H58" i="80"/>
  <c r="F60" i="80"/>
  <c r="L39" i="44"/>
  <c r="Z251" i="41"/>
  <c r="X251" i="41"/>
  <c r="AB252" i="41"/>
  <c r="AB251" i="41"/>
  <c r="Z252" i="41"/>
  <c r="AB244" i="41"/>
  <c r="AB272" i="41"/>
  <c r="X252" i="41"/>
  <c r="I43" i="80"/>
  <c r="P326" i="41"/>
  <c r="P298" i="41"/>
  <c r="E930" i="57"/>
  <c r="F930" i="57"/>
  <c r="G930" i="57"/>
  <c r="G927" i="57"/>
  <c r="G221" i="80"/>
  <c r="H221" i="80"/>
  <c r="F223" i="80"/>
  <c r="I221" i="80"/>
  <c r="F43" i="44"/>
  <c r="G41" i="44"/>
  <c r="H41" i="44"/>
  <c r="L41" i="44"/>
  <c r="I238" i="81"/>
  <c r="I240" i="81"/>
  <c r="L238" i="81"/>
  <c r="F66" i="81"/>
  <c r="G64" i="81"/>
  <c r="H64" i="81"/>
  <c r="L64" i="81"/>
  <c r="L131" i="80"/>
  <c r="L219" i="44"/>
  <c r="L154" i="44"/>
  <c r="R251" i="41"/>
  <c r="V252" i="41"/>
  <c r="T252" i="41"/>
  <c r="V244" i="41"/>
  <c r="T251" i="41"/>
  <c r="V251" i="41"/>
  <c r="R252" i="41"/>
  <c r="V272" i="41"/>
  <c r="G133" i="80"/>
  <c r="H133" i="80"/>
  <c r="L133" i="80"/>
  <c r="G144" i="80"/>
  <c r="F148" i="80"/>
  <c r="F223" i="44"/>
  <c r="G221" i="44"/>
  <c r="H221" i="44"/>
  <c r="L221" i="44"/>
  <c r="I219" i="44"/>
  <c r="I39" i="44"/>
  <c r="S44" i="80"/>
  <c r="L299" i="41"/>
  <c r="F152" i="81"/>
  <c r="G150" i="81"/>
  <c r="H150" i="81"/>
  <c r="L150" i="81"/>
  <c r="F876" i="57"/>
  <c r="G876" i="57"/>
  <c r="E876" i="57"/>
  <c r="Q44" i="80"/>
  <c r="F158" i="44"/>
  <c r="G156" i="44"/>
  <c r="H156" i="44"/>
  <c r="L156" i="44"/>
  <c r="L219" i="80"/>
  <c r="L58" i="80"/>
  <c r="AB269" i="41"/>
  <c r="AB262" i="41"/>
  <c r="AB270" i="41"/>
  <c r="AB290" i="41"/>
  <c r="X270" i="41"/>
  <c r="Z269" i="41"/>
  <c r="X269" i="41"/>
  <c r="Z270" i="41"/>
  <c r="L221" i="80"/>
  <c r="I156" i="44"/>
  <c r="I58" i="80"/>
  <c r="I60" i="80"/>
  <c r="T44" i="80"/>
  <c r="Q44" i="44"/>
  <c r="G234" i="44"/>
  <c r="F238" i="44"/>
  <c r="G223" i="44"/>
  <c r="H223" i="44"/>
  <c r="L223" i="44"/>
  <c r="I150" i="81"/>
  <c r="I221" i="44"/>
  <c r="I223" i="44"/>
  <c r="S134" i="80"/>
  <c r="F62" i="80"/>
  <c r="G60" i="80"/>
  <c r="H60" i="80"/>
  <c r="L60" i="80"/>
  <c r="I41" i="44"/>
  <c r="G158" i="44"/>
  <c r="H158" i="44"/>
  <c r="L158" i="44"/>
  <c r="F160" i="44"/>
  <c r="V290" i="41"/>
  <c r="V262" i="41"/>
  <c r="R269" i="41"/>
  <c r="V270" i="41"/>
  <c r="V269" i="41"/>
  <c r="R270" i="41"/>
  <c r="T269" i="41"/>
  <c r="T270" i="41"/>
  <c r="G43" i="44"/>
  <c r="H43" i="44"/>
  <c r="L43" i="44"/>
  <c r="G54" i="44"/>
  <c r="F58" i="44"/>
  <c r="G223" i="80"/>
  <c r="H223" i="80"/>
  <c r="S224" i="80"/>
  <c r="G234" i="80"/>
  <c r="F238" i="80"/>
  <c r="Q224" i="44"/>
  <c r="Q134" i="80"/>
  <c r="G148" i="80"/>
  <c r="H148" i="80"/>
  <c r="F150" i="80"/>
  <c r="I133" i="80"/>
  <c r="F244" i="81"/>
  <c r="G242" i="81"/>
  <c r="H242" i="81"/>
  <c r="I242" i="81"/>
  <c r="F154" i="81"/>
  <c r="G152" i="81"/>
  <c r="H152" i="81"/>
  <c r="L317" i="41"/>
  <c r="E985" i="57"/>
  <c r="F985" i="57"/>
  <c r="G985" i="57"/>
  <c r="G982" i="57"/>
  <c r="P316" i="41"/>
  <c r="N319" i="41"/>
  <c r="N337" i="41" s="1"/>
  <c r="N355" i="41" s="1"/>
  <c r="N373" i="41" s="1"/>
  <c r="N391" i="41" s="1"/>
  <c r="N409" i="41" s="1"/>
  <c r="N427" i="41" s="1"/>
  <c r="N445" i="41" s="1"/>
  <c r="N463" i="41" s="1"/>
  <c r="N481" i="41" s="1"/>
  <c r="N499" i="41" s="1"/>
  <c r="N517" i="41" s="1"/>
  <c r="N535" i="41" s="1"/>
  <c r="P344" i="41"/>
  <c r="G66" i="81"/>
  <c r="H66" i="81"/>
  <c r="F68" i="81"/>
  <c r="F931" i="57"/>
  <c r="G931" i="57"/>
  <c r="E931" i="57"/>
  <c r="F240" i="80"/>
  <c r="G238" i="80"/>
  <c r="H238" i="80"/>
  <c r="I152" i="81"/>
  <c r="I154" i="81"/>
  <c r="S224" i="44"/>
  <c r="T224" i="44"/>
  <c r="L152" i="81"/>
  <c r="F156" i="81"/>
  <c r="G154" i="81"/>
  <c r="H154" i="81"/>
  <c r="L154" i="81"/>
  <c r="I158" i="44"/>
  <c r="F162" i="44"/>
  <c r="G160" i="44"/>
  <c r="H160" i="44"/>
  <c r="G58" i="44"/>
  <c r="H58" i="44"/>
  <c r="F60" i="44"/>
  <c r="G238" i="44"/>
  <c r="H238" i="44"/>
  <c r="F240" i="44"/>
  <c r="T134" i="80"/>
  <c r="G986" i="57"/>
  <c r="E986" i="57"/>
  <c r="F986" i="57"/>
  <c r="G150" i="80"/>
  <c r="H150" i="80"/>
  <c r="L150" i="80"/>
  <c r="F152" i="80"/>
  <c r="G62" i="80"/>
  <c r="H62" i="80"/>
  <c r="L62" i="80"/>
  <c r="F64" i="80"/>
  <c r="L335" i="41"/>
  <c r="G68" i="81"/>
  <c r="H68" i="81"/>
  <c r="L68" i="81"/>
  <c r="F70" i="81"/>
  <c r="I43" i="44"/>
  <c r="G244" i="81"/>
  <c r="H244" i="81"/>
  <c r="L244" i="81"/>
  <c r="F246" i="81"/>
  <c r="X288" i="41"/>
  <c r="Z287" i="41"/>
  <c r="X287" i="41"/>
  <c r="AB288" i="41"/>
  <c r="AB280" i="41"/>
  <c r="AB287" i="41"/>
  <c r="Z288" i="41"/>
  <c r="AB308" i="41"/>
  <c r="I148" i="80"/>
  <c r="I150" i="80"/>
  <c r="L148" i="80"/>
  <c r="L223" i="80"/>
  <c r="Q224" i="80"/>
  <c r="E1040" i="57"/>
  <c r="P362" i="41"/>
  <c r="G1037" i="57"/>
  <c r="P334" i="41"/>
  <c r="F1040" i="57"/>
  <c r="G1040" i="57"/>
  <c r="I223" i="80"/>
  <c r="L242" i="81"/>
  <c r="L66" i="81"/>
  <c r="I66" i="81"/>
  <c r="I68" i="81"/>
  <c r="S44" i="44"/>
  <c r="T287" i="41"/>
  <c r="R287" i="41"/>
  <c r="V288" i="41"/>
  <c r="T288" i="41"/>
  <c r="V287" i="41"/>
  <c r="V308" i="41"/>
  <c r="R288" i="41"/>
  <c r="V280" i="41"/>
  <c r="F1041" i="57"/>
  <c r="G1041" i="57"/>
  <c r="E1041" i="57"/>
  <c r="G70" i="81"/>
  <c r="H70" i="81"/>
  <c r="F72" i="81"/>
  <c r="F62" i="44"/>
  <c r="G60" i="44"/>
  <c r="H60" i="44"/>
  <c r="L60" i="44"/>
  <c r="I58" i="44"/>
  <c r="I60" i="44"/>
  <c r="T44" i="44"/>
  <c r="G156" i="81"/>
  <c r="H156" i="81"/>
  <c r="F158" i="81"/>
  <c r="L238" i="44"/>
  <c r="I238" i="44"/>
  <c r="L353" i="41"/>
  <c r="I156" i="81"/>
  <c r="G240" i="80"/>
  <c r="H240" i="80"/>
  <c r="L240" i="80"/>
  <c r="F242" i="80"/>
  <c r="F248" i="81"/>
  <c r="G246" i="81"/>
  <c r="H246" i="81"/>
  <c r="L246" i="81"/>
  <c r="AB298" i="41"/>
  <c r="AB326" i="41"/>
  <c r="X306" i="41"/>
  <c r="X305" i="41"/>
  <c r="AB306" i="41"/>
  <c r="Z306" i="41"/>
  <c r="AB305" i="41"/>
  <c r="Z305" i="41"/>
  <c r="E1095" i="57"/>
  <c r="F1095" i="57"/>
  <c r="G1092" i="57"/>
  <c r="P380" i="41"/>
  <c r="G1095" i="57"/>
  <c r="P352" i="41"/>
  <c r="T224" i="80"/>
  <c r="V326" i="41"/>
  <c r="T305" i="41"/>
  <c r="R305" i="41"/>
  <c r="V305" i="41"/>
  <c r="V298" i="41"/>
  <c r="V306" i="41"/>
  <c r="T306" i="41"/>
  <c r="R306" i="41"/>
  <c r="G240" i="44"/>
  <c r="H240" i="44"/>
  <c r="L240" i="44"/>
  <c r="F242" i="44"/>
  <c r="L58" i="44"/>
  <c r="F164" i="44"/>
  <c r="G162" i="44"/>
  <c r="H162" i="44"/>
  <c r="L162" i="44"/>
  <c r="I238" i="80"/>
  <c r="I240" i="80"/>
  <c r="L238" i="80"/>
  <c r="I62" i="80"/>
  <c r="L160" i="44"/>
  <c r="I160" i="44"/>
  <c r="G152" i="80"/>
  <c r="H152" i="80"/>
  <c r="F154" i="80"/>
  <c r="I244" i="81"/>
  <c r="I246" i="81"/>
  <c r="G64" i="80"/>
  <c r="H64" i="80"/>
  <c r="F66" i="80"/>
  <c r="L70" i="81"/>
  <c r="G154" i="80"/>
  <c r="H154" i="80"/>
  <c r="L154" i="80"/>
  <c r="F156" i="80"/>
  <c r="F244" i="80"/>
  <c r="G242" i="80"/>
  <c r="H242" i="80"/>
  <c r="L152" i="80"/>
  <c r="L371" i="41"/>
  <c r="G1150" i="57"/>
  <c r="P398" i="41"/>
  <c r="F1150" i="57"/>
  <c r="G1147" i="57"/>
  <c r="P370" i="41"/>
  <c r="E1150" i="57"/>
  <c r="I64" i="80"/>
  <c r="I66" i="80"/>
  <c r="I152" i="80"/>
  <c r="G158" i="81"/>
  <c r="H158" i="81"/>
  <c r="L158" i="81"/>
  <c r="F160" i="81"/>
  <c r="F166" i="44"/>
  <c r="G164" i="44"/>
  <c r="H164" i="44"/>
  <c r="L164" i="44"/>
  <c r="G66" i="80"/>
  <c r="H66" i="80"/>
  <c r="L66" i="80"/>
  <c r="F68" i="80"/>
  <c r="G242" i="44"/>
  <c r="H242" i="44"/>
  <c r="L242" i="44"/>
  <c r="F244" i="44"/>
  <c r="I242" i="80"/>
  <c r="F64" i="44"/>
  <c r="G62" i="44"/>
  <c r="H62" i="44"/>
  <c r="I62" i="44"/>
  <c r="I162" i="44"/>
  <c r="G248" i="81"/>
  <c r="H248" i="81"/>
  <c r="F250" i="81"/>
  <c r="I70" i="81"/>
  <c r="L64" i="80"/>
  <c r="I248" i="81"/>
  <c r="V323" i="41"/>
  <c r="R324" i="41"/>
  <c r="V344" i="41"/>
  <c r="T324" i="41"/>
  <c r="V316" i="41"/>
  <c r="V324" i="41"/>
  <c r="T323" i="41"/>
  <c r="R323" i="41"/>
  <c r="F74" i="81"/>
  <c r="G72" i="81"/>
  <c r="H72" i="81"/>
  <c r="L72" i="81"/>
  <c r="I240" i="44"/>
  <c r="I242" i="44"/>
  <c r="AB323" i="41"/>
  <c r="X324" i="41"/>
  <c r="Z324" i="41"/>
  <c r="X323" i="41"/>
  <c r="AB324" i="41"/>
  <c r="AB344" i="41"/>
  <c r="AB316" i="41"/>
  <c r="Z323" i="41"/>
  <c r="F1096" i="57"/>
  <c r="G1096" i="57"/>
  <c r="E1096" i="57"/>
  <c r="L156" i="81"/>
  <c r="I154" i="80"/>
  <c r="F66" i="44"/>
  <c r="G64" i="44"/>
  <c r="H64" i="44"/>
  <c r="L64" i="44"/>
  <c r="T341" i="41"/>
  <c r="R341" i="41"/>
  <c r="V342" i="41"/>
  <c r="T342" i="41"/>
  <c r="R342" i="41"/>
  <c r="V334" i="41"/>
  <c r="V362" i="41"/>
  <c r="V341" i="41"/>
  <c r="I72" i="81"/>
  <c r="I74" i="81"/>
  <c r="F246" i="44"/>
  <c r="G244" i="44"/>
  <c r="H244" i="44"/>
  <c r="L389" i="41"/>
  <c r="L242" i="80"/>
  <c r="P416" i="41"/>
  <c r="G1205" i="57"/>
  <c r="F1205" i="57"/>
  <c r="P388" i="41"/>
  <c r="G1202" i="57"/>
  <c r="E1205" i="57"/>
  <c r="F158" i="80"/>
  <c r="G156" i="80"/>
  <c r="H156" i="80"/>
  <c r="L156" i="80"/>
  <c r="AB362" i="41"/>
  <c r="X341" i="41"/>
  <c r="Z342" i="41"/>
  <c r="Z341" i="41"/>
  <c r="AB342" i="41"/>
  <c r="AB341" i="41"/>
  <c r="X342" i="41"/>
  <c r="AB334" i="41"/>
  <c r="L248" i="81"/>
  <c r="F168" i="44"/>
  <c r="G166" i="44"/>
  <c r="H166" i="44"/>
  <c r="G244" i="80"/>
  <c r="H244" i="80"/>
  <c r="I244" i="80"/>
  <c r="F246" i="80"/>
  <c r="I244" i="44"/>
  <c r="L62" i="44"/>
  <c r="G74" i="81"/>
  <c r="H74" i="81"/>
  <c r="L74" i="81"/>
  <c r="F76" i="81"/>
  <c r="I158" i="81"/>
  <c r="F252" i="81"/>
  <c r="G250" i="81"/>
  <c r="H250" i="81"/>
  <c r="F70" i="80"/>
  <c r="G68" i="80"/>
  <c r="H68" i="80"/>
  <c r="I164" i="44"/>
  <c r="G160" i="81"/>
  <c r="H160" i="81"/>
  <c r="F162" i="81"/>
  <c r="E1151" i="57"/>
  <c r="F1151" i="57"/>
  <c r="G1151" i="57"/>
  <c r="G1206" i="57"/>
  <c r="E1206" i="57"/>
  <c r="F1206" i="57"/>
  <c r="F72" i="80"/>
  <c r="G70" i="80"/>
  <c r="H70" i="80"/>
  <c r="L70" i="80"/>
  <c r="G1260" i="57"/>
  <c r="P434" i="41"/>
  <c r="E1260" i="57"/>
  <c r="F1260" i="57"/>
  <c r="P406" i="41"/>
  <c r="G1257" i="57"/>
  <c r="L160" i="81"/>
  <c r="F170" i="44"/>
  <c r="G168" i="44"/>
  <c r="H168" i="44"/>
  <c r="L168" i="44"/>
  <c r="L407" i="41"/>
  <c r="L68" i="80"/>
  <c r="G76" i="81"/>
  <c r="H76" i="81"/>
  <c r="F78" i="81"/>
  <c r="F248" i="80"/>
  <c r="G246" i="80"/>
  <c r="H246" i="80"/>
  <c r="I246" i="80"/>
  <c r="F164" i="81"/>
  <c r="G162" i="81"/>
  <c r="H162" i="81"/>
  <c r="L166" i="44"/>
  <c r="X360" i="41"/>
  <c r="Z359" i="41"/>
  <c r="AB380" i="41"/>
  <c r="X359" i="41"/>
  <c r="Z360" i="41"/>
  <c r="AB352" i="41"/>
  <c r="AB360" i="41"/>
  <c r="AB359" i="41"/>
  <c r="F68" i="44"/>
  <c r="G66" i="44"/>
  <c r="H66" i="44"/>
  <c r="G246" i="44"/>
  <c r="H246" i="44"/>
  <c r="L246" i="44"/>
  <c r="F248" i="44"/>
  <c r="I68" i="80"/>
  <c r="L244" i="80"/>
  <c r="I166" i="44"/>
  <c r="L250" i="81"/>
  <c r="I156" i="80"/>
  <c r="I160" i="81"/>
  <c r="T359" i="41"/>
  <c r="R359" i="41"/>
  <c r="V360" i="41"/>
  <c r="V359" i="41"/>
  <c r="R360" i="41"/>
  <c r="V352" i="41"/>
  <c r="V380" i="41"/>
  <c r="T360" i="41"/>
  <c r="I64" i="44"/>
  <c r="G158" i="80"/>
  <c r="H158" i="80"/>
  <c r="F160" i="80"/>
  <c r="L244" i="44"/>
  <c r="G252" i="81"/>
  <c r="H252" i="81"/>
  <c r="F254" i="81"/>
  <c r="I250" i="81"/>
  <c r="I252" i="81"/>
  <c r="V398" i="41"/>
  <c r="R377" i="41"/>
  <c r="V378" i="41"/>
  <c r="V377" i="41"/>
  <c r="T378" i="41"/>
  <c r="R378" i="41"/>
  <c r="T377" i="41"/>
  <c r="V370" i="41"/>
  <c r="I70" i="80"/>
  <c r="Z377" i="41"/>
  <c r="X377" i="41"/>
  <c r="AB378" i="41"/>
  <c r="Z378" i="41"/>
  <c r="AB377" i="41"/>
  <c r="X378" i="41"/>
  <c r="AB398" i="41"/>
  <c r="AB370" i="41"/>
  <c r="L76" i="81"/>
  <c r="L425" i="41"/>
  <c r="G254" i="81"/>
  <c r="H254" i="81"/>
  <c r="L254" i="81"/>
  <c r="F256" i="81"/>
  <c r="G72" i="80"/>
  <c r="H72" i="80"/>
  <c r="F74" i="80"/>
  <c r="L66" i="44"/>
  <c r="I76" i="81"/>
  <c r="L252" i="81"/>
  <c r="E1261" i="57"/>
  <c r="F1261" i="57"/>
  <c r="G1261" i="57"/>
  <c r="I254" i="81"/>
  <c r="L162" i="81"/>
  <c r="G170" i="44"/>
  <c r="H170" i="44"/>
  <c r="F172" i="44"/>
  <c r="I162" i="81"/>
  <c r="I66" i="44"/>
  <c r="L158" i="80"/>
  <c r="F70" i="44"/>
  <c r="G68" i="44"/>
  <c r="H68" i="44"/>
  <c r="G164" i="81"/>
  <c r="H164" i="81"/>
  <c r="L164" i="81"/>
  <c r="F166" i="81"/>
  <c r="I158" i="80"/>
  <c r="I160" i="80"/>
  <c r="G248" i="80"/>
  <c r="H248" i="80"/>
  <c r="L248" i="80"/>
  <c r="F250" i="80"/>
  <c r="I168" i="44"/>
  <c r="F250" i="44"/>
  <c r="G248" i="44"/>
  <c r="H248" i="44"/>
  <c r="L248" i="44"/>
  <c r="G160" i="80"/>
  <c r="H160" i="80"/>
  <c r="L160" i="80"/>
  <c r="F162" i="80"/>
  <c r="L246" i="80"/>
  <c r="I246" i="44"/>
  <c r="I248" i="44"/>
  <c r="F80" i="81"/>
  <c r="G78" i="81"/>
  <c r="H78" i="81"/>
  <c r="L78" i="81"/>
  <c r="F1315" i="57"/>
  <c r="G1315" i="57"/>
  <c r="P424" i="41"/>
  <c r="G1312" i="57"/>
  <c r="P452" i="41"/>
  <c r="E1315" i="57"/>
  <c r="F72" i="44"/>
  <c r="G70" i="44"/>
  <c r="H70" i="44"/>
  <c r="L70" i="44"/>
  <c r="I78" i="81"/>
  <c r="G74" i="80"/>
  <c r="H74" i="80"/>
  <c r="L74" i="80"/>
  <c r="F76" i="80"/>
  <c r="G166" i="81"/>
  <c r="H166" i="81"/>
  <c r="L166" i="81"/>
  <c r="F168" i="81"/>
  <c r="E1370" i="57"/>
  <c r="G1367" i="57"/>
  <c r="P442" i="41"/>
  <c r="G1370" i="57"/>
  <c r="P470" i="41"/>
  <c r="F1370" i="57"/>
  <c r="F82" i="81"/>
  <c r="G80" i="81"/>
  <c r="H80" i="81"/>
  <c r="L80" i="81"/>
  <c r="G250" i="80"/>
  <c r="H250" i="80"/>
  <c r="L250" i="80"/>
  <c r="F252" i="80"/>
  <c r="AB416" i="41"/>
  <c r="AB388" i="41"/>
  <c r="X395" i="41"/>
  <c r="AB396" i="41"/>
  <c r="AB395" i="41"/>
  <c r="X396" i="41"/>
  <c r="Z395" i="41"/>
  <c r="Z396" i="41"/>
  <c r="L68" i="44"/>
  <c r="L72" i="80"/>
  <c r="L170" i="44"/>
  <c r="I250" i="44"/>
  <c r="I68" i="44"/>
  <c r="I70" i="44"/>
  <c r="T395" i="41"/>
  <c r="R395" i="41"/>
  <c r="V416" i="41"/>
  <c r="V396" i="41"/>
  <c r="T396" i="41"/>
  <c r="V395" i="41"/>
  <c r="R396" i="41"/>
  <c r="V388" i="41"/>
  <c r="G162" i="80"/>
  <c r="H162" i="80"/>
  <c r="I162" i="80"/>
  <c r="F164" i="80"/>
  <c r="G1316" i="57"/>
  <c r="F1316" i="57"/>
  <c r="E1316" i="57"/>
  <c r="G250" i="44"/>
  <c r="H250" i="44"/>
  <c r="F252" i="44"/>
  <c r="F258" i="81"/>
  <c r="G256" i="81"/>
  <c r="H256" i="81"/>
  <c r="I72" i="80"/>
  <c r="I248" i="80"/>
  <c r="L443" i="41"/>
  <c r="I164" i="81"/>
  <c r="I166" i="81"/>
  <c r="G172" i="44"/>
  <c r="H172" i="44"/>
  <c r="L172" i="44"/>
  <c r="F174" i="44"/>
  <c r="I170" i="44"/>
  <c r="I172" i="44"/>
  <c r="F176" i="44"/>
  <c r="G174" i="44"/>
  <c r="H174" i="44"/>
  <c r="L174" i="44"/>
  <c r="I74" i="80"/>
  <c r="L256" i="81"/>
  <c r="G1371" i="57"/>
  <c r="E1371" i="57"/>
  <c r="F1371" i="57"/>
  <c r="L461" i="41"/>
  <c r="G164" i="80"/>
  <c r="H164" i="80"/>
  <c r="L164" i="80"/>
  <c r="F166" i="80"/>
  <c r="G72" i="44"/>
  <c r="H72" i="44"/>
  <c r="I72" i="44"/>
  <c r="F74" i="44"/>
  <c r="G82" i="81"/>
  <c r="H82" i="81"/>
  <c r="F84" i="81"/>
  <c r="V413" i="41"/>
  <c r="V406" i="41"/>
  <c r="T413" i="41"/>
  <c r="V414" i="41"/>
  <c r="T414" i="41"/>
  <c r="R414" i="41"/>
  <c r="R413" i="41"/>
  <c r="V434" i="41"/>
  <c r="L250" i="44"/>
  <c r="I174" i="44"/>
  <c r="F254" i="80"/>
  <c r="G252" i="80"/>
  <c r="H252" i="80"/>
  <c r="I80" i="81"/>
  <c r="F260" i="81"/>
  <c r="G258" i="81"/>
  <c r="H258" i="81"/>
  <c r="L258" i="81"/>
  <c r="AB434" i="41"/>
  <c r="X413" i="41"/>
  <c r="AB414" i="41"/>
  <c r="Z414" i="41"/>
  <c r="AB413" i="41"/>
  <c r="X414" i="41"/>
  <c r="AB406" i="41"/>
  <c r="Z413" i="41"/>
  <c r="G168" i="81"/>
  <c r="H168" i="81"/>
  <c r="I168" i="81"/>
  <c r="F170" i="81"/>
  <c r="I256" i="81"/>
  <c r="I258" i="81"/>
  <c r="L162" i="80"/>
  <c r="I250" i="80"/>
  <c r="I252" i="80"/>
  <c r="P488" i="41"/>
  <c r="P460" i="41"/>
  <c r="F1425" i="57"/>
  <c r="G1425" i="57"/>
  <c r="G1422" i="57"/>
  <c r="E1425" i="57"/>
  <c r="F254" i="44"/>
  <c r="G252" i="44"/>
  <c r="H252" i="44"/>
  <c r="L252" i="44"/>
  <c r="G76" i="80"/>
  <c r="H76" i="80"/>
  <c r="L76" i="80"/>
  <c r="F78" i="80"/>
  <c r="L479" i="41"/>
  <c r="G78" i="80"/>
  <c r="H78" i="80"/>
  <c r="F80" i="80"/>
  <c r="R432" i="41"/>
  <c r="V452" i="41"/>
  <c r="R431" i="41"/>
  <c r="V432" i="41"/>
  <c r="T432" i="41"/>
  <c r="V424" i="41"/>
  <c r="V431" i="41"/>
  <c r="T431" i="41"/>
  <c r="G84" i="81"/>
  <c r="H84" i="81"/>
  <c r="F86" i="81"/>
  <c r="AB424" i="41"/>
  <c r="AB431" i="41"/>
  <c r="X432" i="41"/>
  <c r="Z431" i="41"/>
  <c r="AB452" i="41"/>
  <c r="X431" i="41"/>
  <c r="AB432" i="41"/>
  <c r="Z432" i="41"/>
  <c r="I82" i="81"/>
  <c r="I84" i="81"/>
  <c r="L72" i="44"/>
  <c r="F256" i="80"/>
  <c r="G254" i="80"/>
  <c r="H254" i="80"/>
  <c r="F178" i="44"/>
  <c r="G178" i="44"/>
  <c r="H178" i="44"/>
  <c r="L178" i="44"/>
  <c r="G176" i="44"/>
  <c r="H176" i="44"/>
  <c r="I76" i="80"/>
  <c r="I78" i="80"/>
  <c r="L252" i="80"/>
  <c r="I252" i="44"/>
  <c r="I254" i="44"/>
  <c r="I176" i="44"/>
  <c r="I178" i="44"/>
  <c r="T179" i="44"/>
  <c r="G170" i="81"/>
  <c r="H170" i="81"/>
  <c r="F172" i="81"/>
  <c r="G260" i="81"/>
  <c r="H260" i="81"/>
  <c r="F262" i="81"/>
  <c r="L168" i="81"/>
  <c r="F256" i="44"/>
  <c r="G254" i="44"/>
  <c r="H254" i="44"/>
  <c r="E1426" i="57"/>
  <c r="F1426" i="57"/>
  <c r="G1426" i="57"/>
  <c r="I254" i="80"/>
  <c r="I260" i="81"/>
  <c r="L82" i="81"/>
  <c r="F76" i="44"/>
  <c r="G74" i="44"/>
  <c r="H74" i="44"/>
  <c r="G1477" i="57"/>
  <c r="F1480" i="57"/>
  <c r="P506" i="41"/>
  <c r="E1480" i="57"/>
  <c r="P478" i="41"/>
  <c r="G1480" i="57"/>
  <c r="F168" i="80"/>
  <c r="G166" i="80"/>
  <c r="H166" i="80"/>
  <c r="L166" i="80"/>
  <c r="I164" i="80"/>
  <c r="I166" i="80"/>
  <c r="F264" i="81"/>
  <c r="G262" i="81"/>
  <c r="H262" i="81"/>
  <c r="L262" i="81"/>
  <c r="L260" i="81"/>
  <c r="F258" i="80"/>
  <c r="G256" i="80"/>
  <c r="H256" i="80"/>
  <c r="I256" i="80"/>
  <c r="I256" i="44"/>
  <c r="F88" i="81"/>
  <c r="G88" i="81"/>
  <c r="H88" i="81"/>
  <c r="L88" i="81"/>
  <c r="G86" i="81"/>
  <c r="H86" i="81"/>
  <c r="I262" i="81"/>
  <c r="L170" i="81"/>
  <c r="E1535" i="57"/>
  <c r="G1535" i="57"/>
  <c r="P524" i="41"/>
  <c r="F1535" i="57"/>
  <c r="P496" i="41"/>
  <c r="G1532" i="57"/>
  <c r="F1481" i="57"/>
  <c r="G1481" i="57"/>
  <c r="E1481" i="57"/>
  <c r="G172" i="81"/>
  <c r="H172" i="81"/>
  <c r="F174" i="81"/>
  <c r="G80" i="80"/>
  <c r="H80" i="80"/>
  <c r="L80" i="80"/>
  <c r="F82" i="80"/>
  <c r="L254" i="44"/>
  <c r="L176" i="44"/>
  <c r="S179" i="44"/>
  <c r="Q179" i="44"/>
  <c r="L497" i="41"/>
  <c r="I168" i="80"/>
  <c r="L84" i="81"/>
  <c r="AB442" i="41"/>
  <c r="AB449" i="41"/>
  <c r="AB450" i="41"/>
  <c r="AB470" i="41"/>
  <c r="X449" i="41"/>
  <c r="X450" i="41"/>
  <c r="Z449" i="41"/>
  <c r="Z450" i="41"/>
  <c r="L74" i="44"/>
  <c r="F258" i="44"/>
  <c r="G256" i="44"/>
  <c r="H256" i="44"/>
  <c r="L256" i="44"/>
  <c r="I170" i="81"/>
  <c r="I172" i="81"/>
  <c r="G168" i="80"/>
  <c r="H168" i="80"/>
  <c r="F170" i="80"/>
  <c r="T450" i="41"/>
  <c r="R450" i="41"/>
  <c r="T449" i="41"/>
  <c r="R449" i="41"/>
  <c r="V450" i="41"/>
  <c r="V449" i="41"/>
  <c r="V470" i="41"/>
  <c r="V442" i="41"/>
  <c r="L78" i="80"/>
  <c r="G76" i="44"/>
  <c r="H76" i="44"/>
  <c r="F78" i="44"/>
  <c r="L254" i="80"/>
  <c r="I74" i="44"/>
  <c r="P514" i="41"/>
  <c r="P542" i="41"/>
  <c r="G1587" i="57"/>
  <c r="E1590" i="57"/>
  <c r="F1590" i="57"/>
  <c r="G1590" i="57"/>
  <c r="L76" i="44"/>
  <c r="I258" i="44"/>
  <c r="I264" i="81"/>
  <c r="L86" i="81"/>
  <c r="S89" i="81"/>
  <c r="F80" i="44"/>
  <c r="G78" i="44"/>
  <c r="H78" i="44"/>
  <c r="L78" i="44"/>
  <c r="T467" i="41"/>
  <c r="V468" i="41"/>
  <c r="T468" i="41"/>
  <c r="V467" i="41"/>
  <c r="V460" i="41"/>
  <c r="V488" i="41"/>
  <c r="R467" i="41"/>
  <c r="R468" i="41"/>
  <c r="G258" i="44"/>
  <c r="H258" i="44"/>
  <c r="F260" i="44"/>
  <c r="Q89" i="81"/>
  <c r="L515" i="41"/>
  <c r="I258" i="80"/>
  <c r="G170" i="80"/>
  <c r="H170" i="80"/>
  <c r="L170" i="80"/>
  <c r="F172" i="80"/>
  <c r="I86" i="81"/>
  <c r="I88" i="81"/>
  <c r="AB488" i="41"/>
  <c r="X468" i="41"/>
  <c r="Z467" i="41"/>
  <c r="AB468" i="41"/>
  <c r="AB460" i="41"/>
  <c r="AB467" i="41"/>
  <c r="X467" i="41"/>
  <c r="Z468" i="41"/>
  <c r="L168" i="80"/>
  <c r="F260" i="80"/>
  <c r="G258" i="80"/>
  <c r="H258" i="80"/>
  <c r="I80" i="80"/>
  <c r="I82" i="80"/>
  <c r="F176" i="81"/>
  <c r="G174" i="81"/>
  <c r="H174" i="81"/>
  <c r="L174" i="81"/>
  <c r="L256" i="80"/>
  <c r="F84" i="80"/>
  <c r="G82" i="80"/>
  <c r="H82" i="80"/>
  <c r="F1536" i="57"/>
  <c r="G1536" i="57"/>
  <c r="E1536" i="57"/>
  <c r="I76" i="44"/>
  <c r="I78" i="44"/>
  <c r="L172" i="81"/>
  <c r="F266" i="81"/>
  <c r="G264" i="81"/>
  <c r="H264" i="81"/>
  <c r="I260" i="44"/>
  <c r="L264" i="81"/>
  <c r="L258" i="80"/>
  <c r="G1591" i="57"/>
  <c r="E1591" i="57"/>
  <c r="F1591" i="57"/>
  <c r="F268" i="81"/>
  <c r="G268" i="81"/>
  <c r="H268" i="81"/>
  <c r="L268" i="81"/>
  <c r="G266" i="81"/>
  <c r="H266" i="81"/>
  <c r="L266" i="81"/>
  <c r="AB486" i="41"/>
  <c r="AB478" i="41"/>
  <c r="AB506" i="41"/>
  <c r="X486" i="41"/>
  <c r="Z485" i="41"/>
  <c r="AB485" i="41"/>
  <c r="X485" i="41"/>
  <c r="Z486" i="41"/>
  <c r="F174" i="80"/>
  <c r="G172" i="80"/>
  <c r="H172" i="80"/>
  <c r="L172" i="80"/>
  <c r="G176" i="81"/>
  <c r="H176" i="81"/>
  <c r="L176" i="81"/>
  <c r="F178" i="81"/>
  <c r="G178" i="81"/>
  <c r="H178" i="81"/>
  <c r="L178" i="81"/>
  <c r="I170" i="80"/>
  <c r="G84" i="80"/>
  <c r="H84" i="80"/>
  <c r="L84" i="80"/>
  <c r="F86" i="80"/>
  <c r="I260" i="80"/>
  <c r="I174" i="81"/>
  <c r="I176" i="81"/>
  <c r="I178" i="81"/>
  <c r="T179" i="81"/>
  <c r="G1644" i="57"/>
  <c r="G1641" i="57"/>
  <c r="E1644" i="57"/>
  <c r="P532" i="41"/>
  <c r="F1644" i="57"/>
  <c r="I80" i="44"/>
  <c r="F262" i="44"/>
  <c r="G260" i="44"/>
  <c r="H260" i="44"/>
  <c r="L260" i="44"/>
  <c r="L533" i="41"/>
  <c r="Q179" i="81"/>
  <c r="T89" i="81"/>
  <c r="L258" i="44"/>
  <c r="S179" i="81"/>
  <c r="T486" i="41"/>
  <c r="R486" i="41"/>
  <c r="R485" i="41"/>
  <c r="V485" i="41"/>
  <c r="V478" i="41"/>
  <c r="T485" i="41"/>
  <c r="V486" i="41"/>
  <c r="V506" i="41"/>
  <c r="F262" i="80"/>
  <c r="G260" i="80"/>
  <c r="H260" i="80"/>
  <c r="L82" i="80"/>
  <c r="F82" i="44"/>
  <c r="G80" i="44"/>
  <c r="H80" i="44"/>
  <c r="I266" i="81"/>
  <c r="I268" i="81"/>
  <c r="R504" i="41"/>
  <c r="V496" i="41"/>
  <c r="V524" i="41"/>
  <c r="R503" i="41"/>
  <c r="T504" i="41"/>
  <c r="V503" i="41"/>
  <c r="T503" i="41"/>
  <c r="V504" i="41"/>
  <c r="G86" i="80"/>
  <c r="H86" i="80"/>
  <c r="L86" i="80"/>
  <c r="F88" i="80"/>
  <c r="G88" i="80"/>
  <c r="H88" i="80"/>
  <c r="L88" i="80"/>
  <c r="G174" i="80"/>
  <c r="H174" i="80"/>
  <c r="L174" i="80"/>
  <c r="F176" i="80"/>
  <c r="F1645" i="57"/>
  <c r="G1645" i="57"/>
  <c r="E1645" i="57"/>
  <c r="L80" i="44"/>
  <c r="I172" i="80"/>
  <c r="I174" i="80"/>
  <c r="S269" i="81"/>
  <c r="Q89" i="80"/>
  <c r="L260" i="80"/>
  <c r="F84" i="44"/>
  <c r="G82" i="44"/>
  <c r="H82" i="44"/>
  <c r="L82" i="44"/>
  <c r="G262" i="80"/>
  <c r="H262" i="80"/>
  <c r="F264" i="80"/>
  <c r="G262" i="44"/>
  <c r="H262" i="44"/>
  <c r="F264" i="44"/>
  <c r="I262" i="80"/>
  <c r="Q269" i="81"/>
  <c r="I262" i="44"/>
  <c r="AB503" i="41"/>
  <c r="Z503" i="41"/>
  <c r="AB504" i="41"/>
  <c r="X504" i="41"/>
  <c r="X503" i="41"/>
  <c r="Z504" i="41"/>
  <c r="AB524" i="41"/>
  <c r="AB496" i="41"/>
  <c r="I84" i="80"/>
  <c r="I86" i="80"/>
  <c r="I88" i="80"/>
  <c r="F266" i="44"/>
  <c r="G264" i="44"/>
  <c r="H264" i="44"/>
  <c r="L264" i="44"/>
  <c r="I264" i="80"/>
  <c r="L262" i="80"/>
  <c r="I264" i="44"/>
  <c r="L262" i="44"/>
  <c r="F86" i="44"/>
  <c r="G84" i="44"/>
  <c r="H84" i="44"/>
  <c r="L84" i="44"/>
  <c r="Z521" i="41"/>
  <c r="AB522" i="41"/>
  <c r="AB514" i="41"/>
  <c r="X522" i="41"/>
  <c r="AB542" i="41"/>
  <c r="AB521" i="41"/>
  <c r="X521" i="41"/>
  <c r="Z522" i="41"/>
  <c r="G176" i="80"/>
  <c r="H176" i="80"/>
  <c r="F178" i="80"/>
  <c r="G178" i="80"/>
  <c r="H178" i="80"/>
  <c r="L178" i="80"/>
  <c r="S89" i="80"/>
  <c r="T89" i="80"/>
  <c r="I82" i="44"/>
  <c r="I84" i="44"/>
  <c r="G264" i="80"/>
  <c r="H264" i="80"/>
  <c r="L264" i="80"/>
  <c r="F266" i="80"/>
  <c r="V514" i="41"/>
  <c r="T521" i="41"/>
  <c r="R521" i="41"/>
  <c r="V522" i="41"/>
  <c r="R522" i="41"/>
  <c r="V542" i="41"/>
  <c r="T522" i="41"/>
  <c r="V521" i="41"/>
  <c r="T269" i="81"/>
  <c r="R539" i="41"/>
  <c r="V539" i="41"/>
  <c r="N43" i="45" s="1"/>
  <c r="V540" i="41"/>
  <c r="Q54" i="45"/>
  <c r="P54" i="45" s="1"/>
  <c r="R540" i="41"/>
  <c r="Q52" i="45"/>
  <c r="P52" i="45"/>
  <c r="V532" i="41"/>
  <c r="T539" i="41"/>
  <c r="N42" i="45"/>
  <c r="P42" i="45" s="1"/>
  <c r="T540" i="41"/>
  <c r="Q53" i="45" s="1"/>
  <c r="P53" i="45" s="1"/>
  <c r="L176" i="80"/>
  <c r="S179" i="80"/>
  <c r="Q179" i="80"/>
  <c r="F268" i="44"/>
  <c r="G268" i="44"/>
  <c r="H268" i="44"/>
  <c r="L268" i="44"/>
  <c r="G266" i="44"/>
  <c r="H266" i="44"/>
  <c r="F268" i="80"/>
  <c r="G268" i="80"/>
  <c r="H268" i="80"/>
  <c r="L268" i="80"/>
  <c r="G266" i="80"/>
  <c r="H266" i="80"/>
  <c r="I176" i="80"/>
  <c r="I178" i="80"/>
  <c r="T179" i="80"/>
  <c r="Z539" i="41"/>
  <c r="X42" i="45"/>
  <c r="Z42" i="45" s="1"/>
  <c r="AB540" i="41"/>
  <c r="AA54" i="45" s="1"/>
  <c r="Z54" i="45" s="1"/>
  <c r="X539" i="41"/>
  <c r="X41" i="45" s="1"/>
  <c r="Z41" i="45" s="1"/>
  <c r="AB539" i="41"/>
  <c r="X43" i="45"/>
  <c r="V43" i="45" s="1"/>
  <c r="V54" i="45" s="1"/>
  <c r="AB532" i="41"/>
  <c r="X540" i="41"/>
  <c r="AA52" i="45" s="1"/>
  <c r="Z52" i="45" s="1"/>
  <c r="Z540" i="41"/>
  <c r="AA53" i="45"/>
  <c r="Z53" i="45" s="1"/>
  <c r="G86" i="44"/>
  <c r="H86" i="44"/>
  <c r="F88" i="44"/>
  <c r="G88" i="44"/>
  <c r="H88" i="44"/>
  <c r="L88" i="44"/>
  <c r="L266" i="80"/>
  <c r="Q269" i="80"/>
  <c r="S269" i="80"/>
  <c r="L266" i="44"/>
  <c r="Q269" i="44"/>
  <c r="S269" i="44"/>
  <c r="I266" i="44"/>
  <c r="I268" i="44"/>
  <c r="T269" i="44"/>
  <c r="I266" i="80"/>
  <c r="I268" i="80"/>
  <c r="T269" i="80"/>
  <c r="L86" i="44"/>
  <c r="Q89" i="44"/>
  <c r="S89" i="44"/>
  <c r="I86" i="44"/>
  <c r="I88" i="44"/>
  <c r="T89" i="44"/>
  <c r="B36" i="40" l="1"/>
  <c r="I40" i="57" s="1"/>
  <c r="I536" i="57"/>
  <c r="B38" i="40"/>
  <c r="B37" i="40"/>
  <c r="I41" i="57" s="1"/>
  <c r="J7" i="23"/>
  <c r="I406" i="57"/>
  <c r="K135" i="57"/>
  <c r="I408" i="57"/>
  <c r="I407" i="57"/>
  <c r="I137" i="57"/>
  <c r="I296" i="57"/>
  <c r="I193" i="57"/>
  <c r="K138" i="57"/>
  <c r="K241" i="57"/>
  <c r="K136" i="57"/>
  <c r="K248" i="57"/>
  <c r="I247" i="57"/>
  <c r="I530" i="57"/>
  <c r="I249" i="57"/>
  <c r="K311" i="57"/>
  <c r="I195" i="57"/>
  <c r="K195" i="57"/>
  <c r="K306" i="57"/>
  <c r="I306" i="57"/>
  <c r="K146" i="57"/>
  <c r="I146" i="57"/>
  <c r="K145" i="57"/>
  <c r="I145" i="57"/>
  <c r="K144" i="57"/>
  <c r="I144" i="57"/>
  <c r="K422" i="57"/>
  <c r="I422" i="57"/>
  <c r="I424" i="57"/>
  <c r="K529" i="57"/>
  <c r="I529" i="57"/>
  <c r="K143" i="57"/>
  <c r="I143" i="57"/>
  <c r="K421" i="57"/>
  <c r="I421" i="57"/>
  <c r="I423" i="57"/>
  <c r="I86" i="57"/>
  <c r="I85" i="57"/>
  <c r="I531" i="57"/>
  <c r="K305" i="57"/>
  <c r="I305" i="57"/>
  <c r="K304" i="57"/>
  <c r="I304" i="57"/>
  <c r="K90" i="57"/>
  <c r="I90" i="57"/>
  <c r="K89" i="57"/>
  <c r="I89" i="57"/>
  <c r="K88" i="57"/>
  <c r="I88" i="57"/>
  <c r="K87" i="57"/>
  <c r="I87" i="57"/>
  <c r="K147" i="57"/>
  <c r="I147" i="57"/>
  <c r="I528" i="57"/>
  <c r="I527" i="57"/>
  <c r="I420" i="57"/>
  <c r="I526" i="57"/>
  <c r="I419" i="57"/>
  <c r="I525" i="57"/>
  <c r="I418" i="57"/>
  <c r="I524" i="57"/>
  <c r="I142" i="57"/>
  <c r="I417" i="57"/>
  <c r="I141" i="57"/>
  <c r="K370" i="57"/>
  <c r="I416" i="57"/>
  <c r="I140" i="57"/>
  <c r="K369" i="57"/>
  <c r="K368" i="57"/>
  <c r="I574" i="57"/>
  <c r="I865" i="57"/>
  <c r="K865" i="57"/>
  <c r="I573" i="57"/>
  <c r="I864" i="57"/>
  <c r="K864" i="57"/>
  <c r="K866" i="57"/>
  <c r="K910" i="57"/>
  <c r="I910" i="57"/>
  <c r="K744" i="57"/>
  <c r="K901" i="57"/>
  <c r="I901" i="57"/>
  <c r="I801" i="57"/>
  <c r="K801" i="57"/>
  <c r="I902" i="57"/>
  <c r="K902" i="57"/>
  <c r="I921" i="57"/>
  <c r="K921" i="57"/>
  <c r="K693" i="57"/>
  <c r="I693" i="57"/>
  <c r="K692" i="57"/>
  <c r="I692" i="57"/>
  <c r="I1011" i="57"/>
  <c r="K1011" i="57"/>
  <c r="K1013" i="57"/>
  <c r="I1013" i="57"/>
  <c r="K1078" i="57"/>
  <c r="I1078" i="57"/>
  <c r="K691" i="57"/>
  <c r="K1012" i="57"/>
  <c r="I1012" i="57"/>
  <c r="I1031" i="57"/>
  <c r="K1031" i="57"/>
  <c r="K971" i="57"/>
  <c r="I971" i="57"/>
  <c r="I571" i="57"/>
  <c r="K571" i="57"/>
  <c r="K803" i="57"/>
  <c r="K909" i="57"/>
  <c r="I909" i="57"/>
  <c r="I626" i="57"/>
  <c r="K626" i="57"/>
  <c r="K802" i="57"/>
  <c r="K908" i="57"/>
  <c r="I908" i="57"/>
  <c r="K1067" i="57"/>
  <c r="I1067" i="57"/>
  <c r="K903" i="57"/>
  <c r="K698" i="57"/>
  <c r="I698" i="57"/>
  <c r="I1085" i="57"/>
  <c r="K1085" i="57"/>
  <c r="K1086" i="57"/>
  <c r="K1030" i="57"/>
  <c r="K1084" i="57"/>
  <c r="K799" i="57"/>
  <c r="I1028" i="57"/>
  <c r="K1028" i="57"/>
  <c r="K1029" i="57"/>
  <c r="I575" i="57"/>
  <c r="K575" i="57"/>
  <c r="I970" i="57"/>
  <c r="I1077" i="57"/>
  <c r="J11" i="23"/>
  <c r="K863" i="57"/>
  <c r="K1076" i="57"/>
  <c r="K862" i="57"/>
  <c r="I1074" i="57"/>
  <c r="K1074" i="57"/>
  <c r="K1075" i="57"/>
  <c r="K861" i="57"/>
  <c r="I907" i="57"/>
  <c r="K858" i="57"/>
  <c r="I858" i="57"/>
  <c r="K860" i="57"/>
  <c r="I906" i="57"/>
  <c r="I963" i="57"/>
  <c r="K963" i="57"/>
  <c r="K964" i="57"/>
  <c r="I857" i="57"/>
  <c r="K920" i="57"/>
  <c r="K962" i="57"/>
  <c r="K1027" i="57"/>
  <c r="K1073" i="57"/>
  <c r="I856" i="57"/>
  <c r="K919" i="57"/>
  <c r="K961" i="57"/>
  <c r="K1026" i="57"/>
  <c r="K1072" i="57"/>
  <c r="K794" i="57"/>
  <c r="I855" i="57"/>
  <c r="K918" i="57"/>
  <c r="K960" i="57"/>
  <c r="K1025" i="57"/>
  <c r="K1071" i="57"/>
  <c r="J12" i="23"/>
  <c r="K793" i="57"/>
  <c r="I854" i="57"/>
  <c r="K917" i="57"/>
  <c r="K959" i="57"/>
  <c r="K1024" i="57"/>
  <c r="K1070" i="57"/>
  <c r="I1299" i="57"/>
  <c r="I1633" i="57"/>
  <c r="I1178" i="57"/>
  <c r="K1178" i="57"/>
  <c r="I1298" i="57"/>
  <c r="I1348" i="57"/>
  <c r="K1414" i="57"/>
  <c r="I1521" i="57"/>
  <c r="I1632" i="57"/>
  <c r="K1141" i="57"/>
  <c r="K1304" i="57"/>
  <c r="I1297" i="57"/>
  <c r="K1413" i="57"/>
  <c r="I1520" i="57"/>
  <c r="I1631" i="57"/>
  <c r="K1344" i="57"/>
  <c r="K1565" i="57"/>
  <c r="I1630" i="57"/>
  <c r="I1136" i="57"/>
  <c r="K1135" i="57"/>
  <c r="K1581" i="57"/>
  <c r="I1581" i="57"/>
  <c r="K1134" i="57"/>
  <c r="I1295" i="57"/>
  <c r="K1295" i="57"/>
  <c r="K1296" i="57"/>
  <c r="K1453" i="57"/>
  <c r="K1138" i="57"/>
  <c r="I1249" i="57"/>
  <c r="K1410" i="57"/>
  <c r="I1248" i="57"/>
  <c r="K1300" i="57"/>
  <c r="K1409" i="57"/>
  <c r="I1627" i="57"/>
  <c r="I1137" i="57"/>
  <c r="K1407" i="57"/>
  <c r="I1407" i="57"/>
  <c r="K1408" i="57"/>
  <c r="K1122" i="57"/>
  <c r="I1470" i="57"/>
  <c r="K1470" i="57"/>
  <c r="K1515" i="57"/>
  <c r="K1179" i="57"/>
  <c r="I1469" i="57"/>
  <c r="K1469" i="57"/>
  <c r="I1514" i="57"/>
  <c r="K1514" i="57"/>
  <c r="K1301" i="57"/>
  <c r="I1457" i="57"/>
  <c r="K1629" i="57"/>
  <c r="K1350" i="57"/>
  <c r="I1350" i="57"/>
  <c r="I1561" i="57"/>
  <c r="K1561" i="57"/>
  <c r="K1247" i="57"/>
  <c r="I1247" i="57"/>
  <c r="I1406" i="57"/>
  <c r="K1513" i="57"/>
  <c r="K1580" i="57"/>
  <c r="K1626" i="57"/>
  <c r="K1177" i="57"/>
  <c r="I1246" i="57"/>
  <c r="K1294" i="57"/>
  <c r="I1405" i="57"/>
  <c r="K1468" i="57"/>
  <c r="K1512" i="57"/>
  <c r="K1579" i="57"/>
  <c r="K1625" i="57"/>
  <c r="K1196" i="57"/>
  <c r="I1245" i="57"/>
  <c r="K1293" i="57"/>
  <c r="I1404" i="57"/>
  <c r="K1467" i="57"/>
  <c r="K1511" i="57"/>
  <c r="K1578" i="57"/>
  <c r="K1195" i="57"/>
  <c r="I1244" i="57"/>
  <c r="K1292" i="57"/>
  <c r="I1403" i="57"/>
  <c r="K1466" i="57"/>
  <c r="K1510" i="57"/>
  <c r="K1577" i="57"/>
  <c r="K1291" i="57"/>
  <c r="K1509" i="57"/>
  <c r="K1193" i="57"/>
  <c r="I1194" i="57"/>
  <c r="I1242" i="57"/>
  <c r="K1243" i="57"/>
  <c r="K1290" i="57"/>
  <c r="I1353" i="57"/>
  <c r="K1402" i="57"/>
  <c r="I1401" i="57"/>
  <c r="K1463" i="57"/>
  <c r="K1508" i="57"/>
  <c r="I1621" i="57"/>
  <c r="I1125" i="57"/>
  <c r="I1286" i="57"/>
  <c r="I1620" i="57"/>
  <c r="I1351" i="57"/>
  <c r="I1399" i="57"/>
  <c r="I1616" i="57"/>
  <c r="I1619" i="57"/>
  <c r="I1465" i="57"/>
  <c r="I1618" i="57"/>
  <c r="I1617" i="57"/>
  <c r="I1568" i="57"/>
  <c r="I1464" i="57"/>
  <c r="I1461" i="57"/>
  <c r="I1471" i="57"/>
  <c r="I1396" i="57"/>
  <c r="I1361" i="57"/>
  <c r="O230" i="40"/>
  <c r="L1147" i="57"/>
  <c r="L82" i="40"/>
  <c r="L4" i="40" s="1"/>
  <c r="K699" i="57"/>
  <c r="I701" i="57"/>
  <c r="K685" i="57"/>
  <c r="I806" i="57"/>
  <c r="I805" i="57"/>
  <c r="I742" i="57"/>
  <c r="I756" i="57"/>
  <c r="I686" i="57"/>
  <c r="I684" i="57"/>
  <c r="I700" i="57"/>
  <c r="K628" i="57"/>
  <c r="K647" i="57"/>
  <c r="K627" i="57"/>
  <c r="K646" i="57"/>
  <c r="K645" i="57"/>
  <c r="I591" i="57"/>
  <c r="I590" i="57"/>
  <c r="I800" i="57"/>
  <c r="G39" i="23"/>
  <c r="J39" i="23" s="1"/>
  <c r="L597" i="57"/>
  <c r="J20" i="23"/>
  <c r="I797" i="57"/>
  <c r="J13" i="23"/>
  <c r="J9" i="23"/>
  <c r="O152" i="40"/>
  <c r="G41" i="23"/>
  <c r="J41" i="23" s="1"/>
  <c r="G40" i="23"/>
  <c r="J40" i="23" s="1"/>
  <c r="G42" i="23"/>
  <c r="J42" i="23" s="1"/>
  <c r="G43" i="23"/>
  <c r="G38" i="23"/>
  <c r="J38" i="23" s="1"/>
  <c r="K520" i="57"/>
  <c r="K519" i="57"/>
  <c r="K536" i="57"/>
  <c r="K535" i="57"/>
  <c r="I467" i="57"/>
  <c r="I466" i="57"/>
  <c r="I481" i="57"/>
  <c r="I480" i="57"/>
  <c r="I254" i="57"/>
  <c r="I253" i="57"/>
  <c r="I261" i="57"/>
  <c r="I260" i="57"/>
  <c r="I206" i="57"/>
  <c r="I205" i="57"/>
  <c r="I204" i="57"/>
  <c r="I203" i="57"/>
  <c r="I202" i="57"/>
  <c r="I201" i="57"/>
  <c r="I200" i="57"/>
  <c r="I96" i="57"/>
  <c r="I92" i="57"/>
  <c r="I95" i="57"/>
  <c r="I94" i="57"/>
  <c r="I93" i="57"/>
  <c r="J8" i="23"/>
  <c r="J22" i="23"/>
  <c r="E10" i="15"/>
  <c r="E20" i="15" s="1"/>
  <c r="J6" i="23"/>
  <c r="K21" i="57"/>
  <c r="K38" i="57"/>
  <c r="A96" i="40"/>
  <c r="A174" i="40" s="1"/>
  <c r="J19" i="67"/>
  <c r="G6" i="16"/>
  <c r="I6" i="55"/>
  <c r="R36" i="18"/>
  <c r="U295" i="41"/>
  <c r="V295" i="41" s="1"/>
  <c r="V32" i="41"/>
  <c r="V49" i="41"/>
  <c r="V67" i="41" s="1"/>
  <c r="V85" i="41" s="1"/>
  <c r="V103" i="41" s="1"/>
  <c r="V121" i="41" s="1"/>
  <c r="V139" i="41" s="1"/>
  <c r="V157" i="41" s="1"/>
  <c r="V175" i="41" s="1"/>
  <c r="V193" i="41" s="1"/>
  <c r="V211" i="41" s="1"/>
  <c r="V229" i="41" s="1"/>
  <c r="V247" i="41" s="1"/>
  <c r="V265" i="41" s="1"/>
  <c r="V283" i="41" s="1"/>
  <c r="V301" i="41" s="1"/>
  <c r="V319" i="41" s="1"/>
  <c r="V337" i="41" s="1"/>
  <c r="V355" i="41" s="1"/>
  <c r="V373" i="41" s="1"/>
  <c r="V391" i="41" s="1"/>
  <c r="V409" i="41" s="1"/>
  <c r="V427" i="41" s="1"/>
  <c r="V445" i="41" s="1"/>
  <c r="V463" i="41" s="1"/>
  <c r="V481" i="41" s="1"/>
  <c r="V499" i="41" s="1"/>
  <c r="V517" i="41" s="1"/>
  <c r="V535" i="41" s="1"/>
  <c r="X32" i="41"/>
  <c r="X49" i="41"/>
  <c r="X67" i="41" s="1"/>
  <c r="X85" i="41" s="1"/>
  <c r="X103" i="41" s="1"/>
  <c r="X121" i="41" s="1"/>
  <c r="X139" i="41" s="1"/>
  <c r="X157" i="41" s="1"/>
  <c r="X175" i="41" s="1"/>
  <c r="X193" i="41" s="1"/>
  <c r="X211" i="41" s="1"/>
  <c r="X229" i="41" s="1"/>
  <c r="X247" i="41" s="1"/>
  <c r="X265" i="41" s="1"/>
  <c r="X283" i="41" s="1"/>
  <c r="X301" i="41" s="1"/>
  <c r="X319" i="41" s="1"/>
  <c r="X337" i="41" s="1"/>
  <c r="X355" i="41" s="1"/>
  <c r="X373" i="41" s="1"/>
  <c r="X391" i="41" s="1"/>
  <c r="X409" i="41" s="1"/>
  <c r="X427" i="41" s="1"/>
  <c r="X445" i="41" s="1"/>
  <c r="X463" i="41" s="1"/>
  <c r="X481" i="41" s="1"/>
  <c r="X499" i="41" s="1"/>
  <c r="X517" i="41" s="1"/>
  <c r="X535" i="41" s="1"/>
  <c r="T31" i="41"/>
  <c r="T49" i="41" s="1"/>
  <c r="T67" i="41" s="1"/>
  <c r="T85" i="41" s="1"/>
  <c r="T103" i="41" s="1"/>
  <c r="T121" i="41" s="1"/>
  <c r="T139" i="41" s="1"/>
  <c r="T157" i="41" s="1"/>
  <c r="T175" i="41" s="1"/>
  <c r="T193" i="41" s="1"/>
  <c r="T211" i="41" s="1"/>
  <c r="T229" i="41" s="1"/>
  <c r="T247" i="41" s="1"/>
  <c r="T265" i="41" s="1"/>
  <c r="T283" i="41" s="1"/>
  <c r="T301" i="41" s="1"/>
  <c r="T319" i="41" s="1"/>
  <c r="T337" i="41" s="1"/>
  <c r="T355" i="41" s="1"/>
  <c r="T373" i="41" s="1"/>
  <c r="T391" i="41" s="1"/>
  <c r="T409" i="41" s="1"/>
  <c r="T427" i="41" s="1"/>
  <c r="T445" i="41" s="1"/>
  <c r="T463" i="41" s="1"/>
  <c r="T481" i="41" s="1"/>
  <c r="T499" i="41" s="1"/>
  <c r="T517" i="41" s="1"/>
  <c r="T535" i="41" s="1"/>
  <c r="AB14" i="41"/>
  <c r="AA295" i="41"/>
  <c r="AB295" i="41" s="1"/>
  <c r="R25" i="41"/>
  <c r="P14" i="41"/>
  <c r="P17" i="41" s="1"/>
  <c r="G53" i="57" s="1"/>
  <c r="AB31" i="41"/>
  <c r="AB49" i="41" s="1"/>
  <c r="AB67" i="41" s="1"/>
  <c r="AB85" i="41" s="1"/>
  <c r="AB103" i="41" s="1"/>
  <c r="AB121" i="41" s="1"/>
  <c r="AB139" i="41" s="1"/>
  <c r="AB157" i="41" s="1"/>
  <c r="AB175" i="41" s="1"/>
  <c r="AB193" i="41" s="1"/>
  <c r="AB211" i="41" s="1"/>
  <c r="AB229" i="41" s="1"/>
  <c r="AB247" i="41" s="1"/>
  <c r="AB265" i="41" s="1"/>
  <c r="AB283" i="41" s="1"/>
  <c r="AB301" i="41" s="1"/>
  <c r="AB319" i="41" s="1"/>
  <c r="AB337" i="41" s="1"/>
  <c r="AB355" i="41" s="1"/>
  <c r="AB373" i="41" s="1"/>
  <c r="AB391" i="41" s="1"/>
  <c r="AB409" i="41" s="1"/>
  <c r="AB427" i="41" s="1"/>
  <c r="AB445" i="41" s="1"/>
  <c r="AB463" i="41" s="1"/>
  <c r="AB481" i="41" s="1"/>
  <c r="AB499" i="41" s="1"/>
  <c r="AB517" i="41" s="1"/>
  <c r="AB535" i="41" s="1"/>
  <c r="R30" i="41"/>
  <c r="R48" i="41" s="1"/>
  <c r="R66" i="41" s="1"/>
  <c r="X14" i="41"/>
  <c r="X115" i="41"/>
  <c r="R421" i="41"/>
  <c r="N53" i="45"/>
  <c r="B35" i="45"/>
  <c r="T32" i="41"/>
  <c r="Z31" i="41"/>
  <c r="AA529" i="41"/>
  <c r="AB529" i="41" s="1"/>
  <c r="AA97" i="41"/>
  <c r="AB97" i="41" s="1"/>
  <c r="AA115" i="41"/>
  <c r="AB115" i="41" s="1"/>
  <c r="R67" i="41"/>
  <c r="R85" i="41" s="1"/>
  <c r="R103" i="41" s="1"/>
  <c r="R121" i="41" s="1"/>
  <c r="R139" i="41" s="1"/>
  <c r="R157" i="41" s="1"/>
  <c r="R175" i="41" s="1"/>
  <c r="R193" i="41" s="1"/>
  <c r="R211" i="41" s="1"/>
  <c r="R229" i="41" s="1"/>
  <c r="R247" i="41" s="1"/>
  <c r="R265" i="41" s="1"/>
  <c r="R283" i="41" s="1"/>
  <c r="R301" i="41" s="1"/>
  <c r="R319" i="41" s="1"/>
  <c r="R337" i="41" s="1"/>
  <c r="R355" i="41" s="1"/>
  <c r="R373" i="41" s="1"/>
  <c r="R391" i="41" s="1"/>
  <c r="R409" i="41" s="1"/>
  <c r="R427" i="41" s="1"/>
  <c r="R445" i="41" s="1"/>
  <c r="R463" i="41" s="1"/>
  <c r="R481" i="41" s="1"/>
  <c r="R499" i="41" s="1"/>
  <c r="R517" i="41" s="1"/>
  <c r="R535" i="41" s="1"/>
  <c r="L35" i="45" s="1"/>
  <c r="R50" i="41"/>
  <c r="X223" i="41"/>
  <c r="U475" i="41"/>
  <c r="V475" i="41" s="1"/>
  <c r="R475" i="41"/>
  <c r="X295" i="41"/>
  <c r="X403" i="41"/>
  <c r="P43" i="45"/>
  <c r="L43" i="45"/>
  <c r="L54" i="45" s="1"/>
  <c r="R61" i="41"/>
  <c r="R187" i="41"/>
  <c r="R43" i="41"/>
  <c r="R313" i="41"/>
  <c r="AA475" i="41"/>
  <c r="AB475" i="41" s="1"/>
  <c r="P18" i="41"/>
  <c r="G54" i="57" s="1"/>
  <c r="G50" i="57" s="1"/>
  <c r="Z43" i="45"/>
  <c r="R223" i="41"/>
  <c r="U61" i="41"/>
  <c r="V61" i="41" s="1"/>
  <c r="X349" i="41"/>
  <c r="AA367" i="41"/>
  <c r="AB367" i="41" s="1"/>
  <c r="U313" i="41"/>
  <c r="V313" i="41" s="1"/>
  <c r="X529" i="41"/>
  <c r="R511" i="41"/>
  <c r="U133" i="41"/>
  <c r="V133" i="41" s="1"/>
  <c r="R97" i="41"/>
  <c r="R529" i="41"/>
  <c r="AA259" i="41"/>
  <c r="AB259" i="41" s="1"/>
  <c r="AA187" i="41"/>
  <c r="AB187" i="41" s="1"/>
  <c r="U349" i="41"/>
  <c r="V349" i="41" s="1"/>
  <c r="U205" i="41"/>
  <c r="V205" i="41" s="1"/>
  <c r="AA349" i="41"/>
  <c r="AB349" i="41" s="1"/>
  <c r="X43" i="41"/>
  <c r="X475" i="41"/>
  <c r="U43" i="41"/>
  <c r="V43" i="41" s="1"/>
  <c r="V45" i="45"/>
  <c r="Z45" i="45"/>
  <c r="B45" i="45"/>
  <c r="F45" i="45"/>
  <c r="L45" i="45"/>
  <c r="P45" i="45"/>
  <c r="N14" i="41"/>
  <c r="Z102" i="41"/>
  <c r="AA547" i="41"/>
  <c r="AB547" i="41" s="1"/>
  <c r="X547" i="41"/>
  <c r="N32" i="41"/>
  <c r="N48" i="41"/>
  <c r="U511" i="41"/>
  <c r="V511" i="41" s="1"/>
  <c r="U259" i="41"/>
  <c r="V259" i="41" s="1"/>
  <c r="R259" i="41"/>
  <c r="U529" i="41"/>
  <c r="V529" i="41" s="1"/>
  <c r="AA403" i="41"/>
  <c r="AB403" i="41" s="1"/>
  <c r="AA151" i="41"/>
  <c r="AB151" i="41" s="1"/>
  <c r="X187" i="41"/>
  <c r="X259" i="41"/>
  <c r="X169" i="41"/>
  <c r="U403" i="41"/>
  <c r="V403" i="41" s="1"/>
  <c r="U223" i="41"/>
  <c r="V223" i="41" s="1"/>
  <c r="U97" i="41"/>
  <c r="V97" i="41" s="1"/>
  <c r="X367" i="41"/>
  <c r="T48" i="41"/>
  <c r="X457" i="41"/>
  <c r="U421" i="41"/>
  <c r="V421" i="41" s="1"/>
  <c r="R205" i="41"/>
  <c r="X313" i="41"/>
  <c r="R115" i="41"/>
  <c r="AA25" i="41"/>
  <c r="AB25" i="41" s="1"/>
  <c r="AB66" i="41"/>
  <c r="AB50" i="41"/>
  <c r="P46" i="45"/>
  <c r="L46" i="45"/>
  <c r="B46" i="45"/>
  <c r="F46" i="45"/>
  <c r="V66" i="41"/>
  <c r="P32" i="41"/>
  <c r="P48" i="41"/>
  <c r="V156" i="41"/>
  <c r="R349" i="41"/>
  <c r="AA457" i="41"/>
  <c r="AB457" i="41" s="1"/>
  <c r="AA421" i="41"/>
  <c r="AB421" i="41" s="1"/>
  <c r="R133" i="41"/>
  <c r="U66" i="45"/>
  <c r="V66" i="45" s="1"/>
  <c r="R493" i="41"/>
  <c r="X385" i="41"/>
  <c r="N54" i="45"/>
  <c r="U331" i="41"/>
  <c r="V331" i="41" s="1"/>
  <c r="AA313" i="41"/>
  <c r="AB313" i="41" s="1"/>
  <c r="X151" i="41"/>
  <c r="AA43" i="41"/>
  <c r="AB43" i="41" s="1"/>
  <c r="U25" i="41"/>
  <c r="V25" i="41" s="1"/>
  <c r="R295" i="41"/>
  <c r="U115" i="41"/>
  <c r="V115" i="41" s="1"/>
  <c r="AA223" i="41"/>
  <c r="AB223" i="41" s="1"/>
  <c r="U439" i="41"/>
  <c r="V439" i="41" s="1"/>
  <c r="AA241" i="41"/>
  <c r="AB241" i="41" s="1"/>
  <c r="AA169" i="41"/>
  <c r="AB169" i="41" s="1"/>
  <c r="U79" i="41"/>
  <c r="V79" i="41" s="1"/>
  <c r="AB32" i="41"/>
  <c r="U547" i="41"/>
  <c r="V547" i="41" s="1"/>
  <c r="N41" i="45"/>
  <c r="L41" i="45" s="1"/>
  <c r="L52" i="45" s="1"/>
  <c r="R547" i="41"/>
  <c r="X66" i="41"/>
  <c r="R439" i="41"/>
  <c r="L32" i="41"/>
  <c r="X439" i="41"/>
  <c r="AA439" i="41"/>
  <c r="AB439" i="41" s="1"/>
  <c r="U385" i="41"/>
  <c r="V385" i="41" s="1"/>
  <c r="R385" i="41"/>
  <c r="X205" i="41"/>
  <c r="AA205" i="41"/>
  <c r="AB205" i="41" s="1"/>
  <c r="AA493" i="41"/>
  <c r="AB493" i="41" s="1"/>
  <c r="X493" i="41"/>
  <c r="R84" i="41"/>
  <c r="AA79" i="41"/>
  <c r="AB79" i="41" s="1"/>
  <c r="X79" i="41"/>
  <c r="L50" i="41"/>
  <c r="L66" i="41"/>
  <c r="R367" i="41"/>
  <c r="U367" i="41"/>
  <c r="V367" i="41" s="1"/>
  <c r="R151" i="41"/>
  <c r="U151" i="41"/>
  <c r="V151" i="41" s="1"/>
  <c r="R88" i="41"/>
  <c r="R106" i="41" s="1"/>
  <c r="R124" i="41" s="1"/>
  <c r="R142" i="41" s="1"/>
  <c r="R160" i="41" s="1"/>
  <c r="R178" i="41" s="1"/>
  <c r="R196" i="41" s="1"/>
  <c r="R214" i="41" s="1"/>
  <c r="R232" i="41" s="1"/>
  <c r="R250" i="41" s="1"/>
  <c r="R268" i="41" s="1"/>
  <c r="R286" i="41" s="1"/>
  <c r="R304" i="41" s="1"/>
  <c r="R322" i="41" s="1"/>
  <c r="R340" i="41" s="1"/>
  <c r="R358" i="41" s="1"/>
  <c r="R376" i="41" s="1"/>
  <c r="R394" i="41" s="1"/>
  <c r="R412" i="41" s="1"/>
  <c r="R430" i="41" s="1"/>
  <c r="R448" i="41" s="1"/>
  <c r="R466" i="41" s="1"/>
  <c r="R484" i="41" s="1"/>
  <c r="R502" i="41" s="1"/>
  <c r="R520" i="41" s="1"/>
  <c r="R538" i="41" s="1"/>
  <c r="N44" i="45" s="1"/>
  <c r="P44" i="45" s="1"/>
  <c r="J69" i="45"/>
  <c r="L17" i="41"/>
  <c r="L18" i="41"/>
  <c r="E54" i="57" s="1"/>
  <c r="X241" i="41"/>
  <c r="X34" i="41"/>
  <c r="K67" i="45" s="1"/>
  <c r="X511" i="41"/>
  <c r="AA511" i="41"/>
  <c r="AB511" i="41" s="1"/>
  <c r="AA277" i="41"/>
  <c r="AB277" i="41" s="1"/>
  <c r="X277" i="41"/>
  <c r="U493" i="41"/>
  <c r="V493" i="41" s="1"/>
  <c r="U187" i="41"/>
  <c r="V187" i="41" s="1"/>
  <c r="J68" i="45"/>
  <c r="J66" i="45"/>
  <c r="X133" i="41"/>
  <c r="AA133" i="41"/>
  <c r="AB133" i="41" s="1"/>
  <c r="R79" i="41"/>
  <c r="R331" i="41"/>
  <c r="U241" i="41"/>
  <c r="V241" i="41" s="1"/>
  <c r="R241" i="41"/>
  <c r="X25" i="41"/>
  <c r="K66" i="45"/>
  <c r="U277" i="41"/>
  <c r="V277" i="41" s="1"/>
  <c r="R277" i="41"/>
  <c r="U169" i="41"/>
  <c r="V169" i="41" s="1"/>
  <c r="R169" i="41"/>
  <c r="X97" i="41"/>
  <c r="AA61" i="41"/>
  <c r="AB61" i="41" s="1"/>
  <c r="X61" i="41"/>
  <c r="AA385" i="41"/>
  <c r="AB385" i="41" s="1"/>
  <c r="R403" i="41"/>
  <c r="X421" i="41"/>
  <c r="AA331" i="41"/>
  <c r="AB331" i="41" s="1"/>
  <c r="X331" i="41"/>
  <c r="L88" i="41"/>
  <c r="V41" i="45"/>
  <c r="V52" i="45" s="1"/>
  <c r="X52" i="45"/>
  <c r="U457" i="41"/>
  <c r="V457" i="41" s="1"/>
  <c r="R457" i="41"/>
  <c r="H159" i="57"/>
  <c r="H160" i="57" s="1"/>
  <c r="H161" i="57" s="1"/>
  <c r="H162" i="57" s="1"/>
  <c r="H163" i="57" s="1"/>
  <c r="H214" i="57" s="1"/>
  <c r="H215" i="57" s="1"/>
  <c r="H216" i="57" s="1"/>
  <c r="H217" i="57" s="1"/>
  <c r="H218" i="57" s="1"/>
  <c r="H269" i="57" s="1"/>
  <c r="H270" i="57" s="1"/>
  <c r="H271" i="57" s="1"/>
  <c r="H272" i="57" s="1"/>
  <c r="H273" i="57" s="1"/>
  <c r="H324" i="57" s="1"/>
  <c r="H325" i="57" s="1"/>
  <c r="H326" i="57" s="1"/>
  <c r="H327" i="57" s="1"/>
  <c r="H328" i="57" s="1"/>
  <c r="H379" i="57" s="1"/>
  <c r="H380" i="57" s="1"/>
  <c r="H381" i="57" s="1"/>
  <c r="H382" i="57" s="1"/>
  <c r="H383" i="57" s="1"/>
  <c r="H434" i="57" s="1"/>
  <c r="H435" i="57" s="1"/>
  <c r="H436" i="57" s="1"/>
  <c r="H437" i="57" s="1"/>
  <c r="H438" i="57" s="1"/>
  <c r="H489" i="57" s="1"/>
  <c r="H490" i="57" s="1"/>
  <c r="H491" i="57" s="1"/>
  <c r="H492" i="57" s="1"/>
  <c r="H493" i="57" s="1"/>
  <c r="H544" i="57" s="1"/>
  <c r="H545" i="57" s="1"/>
  <c r="H546" i="57" s="1"/>
  <c r="H547" i="57" s="1"/>
  <c r="H548" i="57" s="1"/>
  <c r="H599" i="57" s="1"/>
  <c r="H600" i="57" s="1"/>
  <c r="H601" i="57" s="1"/>
  <c r="H602" i="57" s="1"/>
  <c r="H603" i="57" s="1"/>
  <c r="H654" i="57" s="1"/>
  <c r="H655" i="57" s="1"/>
  <c r="H656" i="57" s="1"/>
  <c r="H657" i="57" s="1"/>
  <c r="H658" i="57" s="1"/>
  <c r="H709" i="57" s="1"/>
  <c r="H710" i="57" s="1"/>
  <c r="H711" i="57" s="1"/>
  <c r="H712" i="57" s="1"/>
  <c r="H713" i="57" s="1"/>
  <c r="H764" i="57" s="1"/>
  <c r="H765" i="57" s="1"/>
  <c r="H766" i="57" s="1"/>
  <c r="H767" i="57" s="1"/>
  <c r="H768" i="57" s="1"/>
  <c r="H819" i="57" s="1"/>
  <c r="H820" i="57" s="1"/>
  <c r="H821" i="57" s="1"/>
  <c r="H822" i="57" s="1"/>
  <c r="H823" i="57" s="1"/>
  <c r="H874" i="57" s="1"/>
  <c r="H875" i="57" s="1"/>
  <c r="H876" i="57" s="1"/>
  <c r="H877" i="57" s="1"/>
  <c r="H878" i="57" s="1"/>
  <c r="H929" i="57" s="1"/>
  <c r="H930" i="57" s="1"/>
  <c r="H931" i="57" s="1"/>
  <c r="H932" i="57" s="1"/>
  <c r="H933" i="57" s="1"/>
  <c r="H984" i="57" s="1"/>
  <c r="H985" i="57" s="1"/>
  <c r="H986" i="57" s="1"/>
  <c r="H987" i="57" s="1"/>
  <c r="H988" i="57" s="1"/>
  <c r="H1039" i="57" s="1"/>
  <c r="H1040" i="57" s="1"/>
  <c r="H1041" i="57" s="1"/>
  <c r="H1042" i="57" s="1"/>
  <c r="H1043" i="57" s="1"/>
  <c r="H1094" i="57" s="1"/>
  <c r="H1095" i="57" s="1"/>
  <c r="H1096" i="57" s="1"/>
  <c r="H1097" i="57" s="1"/>
  <c r="H1098" i="57" s="1"/>
  <c r="H1149" i="57" s="1"/>
  <c r="H1150" i="57" s="1"/>
  <c r="H1151" i="57" s="1"/>
  <c r="H1152" i="57" s="1"/>
  <c r="H1153" i="57" s="1"/>
  <c r="H1204" i="57" s="1"/>
  <c r="H1205" i="57" s="1"/>
  <c r="H1206" i="57" s="1"/>
  <c r="H1207" i="57" s="1"/>
  <c r="H1208" i="57" s="1"/>
  <c r="H1259" i="57" s="1"/>
  <c r="H1260" i="57" s="1"/>
  <c r="H1261" i="57" s="1"/>
  <c r="H1262" i="57" s="1"/>
  <c r="H1263" i="57" s="1"/>
  <c r="H1314" i="57" s="1"/>
  <c r="H1315" i="57" s="1"/>
  <c r="H1316" i="57" s="1"/>
  <c r="H1317" i="57" s="1"/>
  <c r="H1318" i="57" s="1"/>
  <c r="H1369" i="57" s="1"/>
  <c r="H1370" i="57" s="1"/>
  <c r="H1371" i="57" s="1"/>
  <c r="H1372" i="57" s="1"/>
  <c r="H1373" i="57" s="1"/>
  <c r="H1424" i="57" s="1"/>
  <c r="H1425" i="57" s="1"/>
  <c r="H1426" i="57" s="1"/>
  <c r="H1427" i="57" s="1"/>
  <c r="H1428" i="57" s="1"/>
  <c r="H1479" i="57" s="1"/>
  <c r="H1480" i="57" s="1"/>
  <c r="H1481" i="57" s="1"/>
  <c r="H1482" i="57" s="1"/>
  <c r="H1483" i="57" s="1"/>
  <c r="H1534" i="57" s="1"/>
  <c r="H1535" i="57" s="1"/>
  <c r="H1536" i="57" s="1"/>
  <c r="H1537" i="57" s="1"/>
  <c r="H1538" i="57" s="1"/>
  <c r="H1589" i="57" s="1"/>
  <c r="H1590" i="57" s="1"/>
  <c r="H1591" i="57" s="1"/>
  <c r="H1592" i="57" s="1"/>
  <c r="B177" i="43"/>
  <c r="D175" i="43" s="1"/>
  <c r="D130" i="43" s="1"/>
  <c r="D85" i="43" s="1"/>
  <c r="D40" i="43" s="1"/>
  <c r="J94" i="43"/>
  <c r="J4" i="43" s="1"/>
  <c r="M239" i="49"/>
  <c r="F239" i="49"/>
  <c r="A148" i="43"/>
  <c r="A149" i="43" s="1"/>
  <c r="A150" i="43" s="1"/>
  <c r="A151" i="43" s="1"/>
  <c r="A152" i="43" s="1"/>
  <c r="A153" i="43" s="1"/>
  <c r="A154" i="43" s="1"/>
  <c r="A155" i="43" s="1"/>
  <c r="A156" i="43" s="1"/>
  <c r="A157" i="43" s="1"/>
  <c r="A159" i="43" s="1"/>
  <c r="A160" i="43" s="1"/>
  <c r="A161" i="43" s="1"/>
  <c r="A162" i="43" s="1"/>
  <c r="A163" i="43" s="1"/>
  <c r="A164" i="43" s="1"/>
  <c r="A165" i="43" s="1"/>
  <c r="A166" i="43" s="1"/>
  <c r="A167" i="43" s="1"/>
  <c r="A168" i="43" s="1"/>
  <c r="C148" i="43" s="1"/>
  <c r="C149" i="43" s="1"/>
  <c r="C150" i="43" s="1"/>
  <c r="C151" i="43" s="1"/>
  <c r="C152" i="43" s="1"/>
  <c r="C153" i="43" s="1"/>
  <c r="C154" i="43" s="1"/>
  <c r="C155" i="43" s="1"/>
  <c r="C156" i="43" s="1"/>
  <c r="C157" i="43" s="1"/>
  <c r="C159" i="43" s="1"/>
  <c r="C160" i="43" s="1"/>
  <c r="C161" i="43" s="1"/>
  <c r="C162" i="43" s="1"/>
  <c r="C163" i="43" s="1"/>
  <c r="C164" i="43" s="1"/>
  <c r="C165" i="43" s="1"/>
  <c r="C166" i="43" s="1"/>
  <c r="C167" i="43" s="1"/>
  <c r="C168" i="43" s="1"/>
  <c r="E148" i="43" s="1"/>
  <c r="E149" i="43" s="1"/>
  <c r="E150" i="43" s="1"/>
  <c r="E151" i="43" s="1"/>
  <c r="E152" i="43" s="1"/>
  <c r="E153" i="43" s="1"/>
  <c r="E154" i="43" s="1"/>
  <c r="E155" i="43" s="1"/>
  <c r="E156" i="43" s="1"/>
  <c r="E157" i="43" s="1"/>
  <c r="E159" i="43" s="1"/>
  <c r="E160" i="43" s="1"/>
  <c r="E161" i="43" s="1"/>
  <c r="E162" i="43" s="1"/>
  <c r="E163" i="43" s="1"/>
  <c r="E164" i="43" s="1"/>
  <c r="E165" i="43" s="1"/>
  <c r="E166" i="43" s="1"/>
  <c r="E167" i="43" s="1"/>
  <c r="E168" i="43" s="1"/>
  <c r="G148" i="43" s="1"/>
  <c r="G149" i="43" s="1"/>
  <c r="G150" i="43" s="1"/>
  <c r="G151" i="43" s="1"/>
  <c r="G152" i="43" s="1"/>
  <c r="G153" i="43" s="1"/>
  <c r="G154" i="43" s="1"/>
  <c r="G155" i="43" s="1"/>
  <c r="G156" i="43" s="1"/>
  <c r="G157" i="43" s="1"/>
  <c r="G159" i="43" s="1"/>
  <c r="G160" i="43" s="1"/>
  <c r="G161" i="43" s="1"/>
  <c r="G162" i="43" s="1"/>
  <c r="G163" i="43" s="1"/>
  <c r="G164" i="43" s="1"/>
  <c r="G165" i="43" s="1"/>
  <c r="G166" i="43" s="1"/>
  <c r="G167" i="43" s="1"/>
  <c r="G168" i="43" s="1"/>
  <c r="I148" i="43" s="1"/>
  <c r="I149" i="43" s="1"/>
  <c r="I150" i="43" s="1"/>
  <c r="I151" i="43" s="1"/>
  <c r="I152" i="43" s="1"/>
  <c r="I153" i="43" s="1"/>
  <c r="I154" i="43" s="1"/>
  <c r="I155" i="43" s="1"/>
  <c r="I156" i="43" s="1"/>
  <c r="I157" i="43" s="1"/>
  <c r="I159" i="43" s="1"/>
  <c r="I160" i="43" s="1"/>
  <c r="I161" i="43" s="1"/>
  <c r="I162" i="43" s="1"/>
  <c r="I163" i="43" s="1"/>
  <c r="I164" i="43" s="1"/>
  <c r="I165" i="43" s="1"/>
  <c r="I166" i="43" s="1"/>
  <c r="I167" i="43" s="1"/>
  <c r="I168" i="43" s="1"/>
  <c r="J125" i="43"/>
  <c r="B131" i="43" s="1"/>
  <c r="B132" i="43"/>
  <c r="D129" i="43" s="1"/>
  <c r="D84" i="43" s="1"/>
  <c r="J80" i="43"/>
  <c r="B86" i="43" s="1"/>
  <c r="F80" i="43"/>
  <c r="B84" i="43" s="1"/>
  <c r="B87" i="43" s="1"/>
  <c r="D83" i="43" s="1"/>
  <c r="D128" i="43" s="1"/>
  <c r="D173" i="43" s="1"/>
  <c r="F121" i="49"/>
  <c r="K119" i="49"/>
  <c r="F35" i="43"/>
  <c r="B39" i="43" s="1"/>
  <c r="F49" i="49"/>
  <c r="F50" i="49" s="1"/>
  <c r="F51" i="49" s="1"/>
  <c r="F52" i="49" s="1"/>
  <c r="F53" i="49" s="1"/>
  <c r="F54" i="49" s="1"/>
  <c r="F55" i="49" s="1"/>
  <c r="F56" i="49" s="1"/>
  <c r="F57" i="49" s="1"/>
  <c r="L22" i="49" s="1"/>
  <c r="L23" i="49" s="1"/>
  <c r="L24" i="49" s="1"/>
  <c r="L25" i="49" s="1"/>
  <c r="L26" i="49" s="1"/>
  <c r="L27" i="49" s="1"/>
  <c r="L28" i="49" s="1"/>
  <c r="L29" i="49" s="1"/>
  <c r="L30" i="49" s="1"/>
  <c r="L31" i="49" s="1"/>
  <c r="L35" i="49" s="1"/>
  <c r="L36" i="49" s="1"/>
  <c r="L37" i="49" s="1"/>
  <c r="L38" i="49" s="1"/>
  <c r="L39" i="49" s="1"/>
  <c r="L40" i="49" s="1"/>
  <c r="L41" i="49" s="1"/>
  <c r="L42" i="49" s="1"/>
  <c r="L43" i="49" s="1"/>
  <c r="L44" i="49" s="1"/>
  <c r="L48" i="49" s="1"/>
  <c r="L49" i="49" s="1"/>
  <c r="L50" i="49" s="1"/>
  <c r="L51" i="49" s="1"/>
  <c r="L52" i="49" s="1"/>
  <c r="L53" i="49" s="1"/>
  <c r="L54" i="49" s="1"/>
  <c r="L55" i="49" s="1"/>
  <c r="L56" i="49" s="1"/>
  <c r="L57" i="49" s="1"/>
  <c r="F67" i="49" s="1"/>
  <c r="F68" i="49" s="1"/>
  <c r="F69" i="49" s="1"/>
  <c r="F70" i="49" s="1"/>
  <c r="F71" i="49" s="1"/>
  <c r="F72" i="49" s="1"/>
  <c r="F73" i="49" s="1"/>
  <c r="F74" i="49" s="1"/>
  <c r="F75" i="49" s="1"/>
  <c r="F76" i="49" s="1"/>
  <c r="F80" i="49" s="1"/>
  <c r="F81" i="49" s="1"/>
  <c r="F82" i="49" s="1"/>
  <c r="F83" i="49" s="1"/>
  <c r="F84" i="49" s="1"/>
  <c r="F85" i="49" s="1"/>
  <c r="F86" i="49" s="1"/>
  <c r="F87" i="49" s="1"/>
  <c r="F88" i="49" s="1"/>
  <c r="F89" i="49" s="1"/>
  <c r="F93" i="49" s="1"/>
  <c r="F94" i="49" s="1"/>
  <c r="F95" i="49" s="1"/>
  <c r="F96" i="49" s="1"/>
  <c r="F97" i="49" s="1"/>
  <c r="F98" i="49" s="1"/>
  <c r="F99" i="49" s="1"/>
  <c r="F100" i="49" s="1"/>
  <c r="F101" i="49" s="1"/>
  <c r="F102" i="49" s="1"/>
  <c r="F106" i="49" s="1"/>
  <c r="F107" i="49" s="1"/>
  <c r="F108" i="49" s="1"/>
  <c r="F109" i="49" s="1"/>
  <c r="F110" i="49" s="1"/>
  <c r="F111" i="49" s="1"/>
  <c r="F112" i="49" s="1"/>
  <c r="F113" i="49" s="1"/>
  <c r="F114" i="49" s="1"/>
  <c r="F115" i="49" s="1"/>
  <c r="L67" i="49" s="1"/>
  <c r="L68" i="49" s="1"/>
  <c r="L69" i="49" s="1"/>
  <c r="L70" i="49" s="1"/>
  <c r="L71" i="49" s="1"/>
  <c r="L72" i="49" s="1"/>
  <c r="L73" i="49" s="1"/>
  <c r="L74" i="49" s="1"/>
  <c r="L75" i="49" s="1"/>
  <c r="L76" i="49" s="1"/>
  <c r="L80" i="49" s="1"/>
  <c r="L81" i="49" s="1"/>
  <c r="L82" i="49" s="1"/>
  <c r="L83" i="49" s="1"/>
  <c r="L84" i="49" s="1"/>
  <c r="L85" i="49" s="1"/>
  <c r="L86" i="49" s="1"/>
  <c r="L87" i="49" s="1"/>
  <c r="L88" i="49" s="1"/>
  <c r="L89" i="49" s="1"/>
  <c r="L93" i="49" s="1"/>
  <c r="L94" i="49" s="1"/>
  <c r="L95" i="49" s="1"/>
  <c r="L96" i="49" s="1"/>
  <c r="L97" i="49" s="1"/>
  <c r="L98" i="49" s="1"/>
  <c r="L99" i="49" s="1"/>
  <c r="L100" i="49" s="1"/>
  <c r="L101" i="49" s="1"/>
  <c r="L102" i="49" s="1"/>
  <c r="L106" i="49" s="1"/>
  <c r="L107" i="49" s="1"/>
  <c r="L108" i="49" s="1"/>
  <c r="L109" i="49" s="1"/>
  <c r="L110" i="49" s="1"/>
  <c r="L111" i="49" s="1"/>
  <c r="L112" i="49" s="1"/>
  <c r="L113" i="49" s="1"/>
  <c r="L114" i="49" s="1"/>
  <c r="L115" i="49" s="1"/>
  <c r="F126" i="49" s="1"/>
  <c r="F127" i="49" s="1"/>
  <c r="F128" i="49" s="1"/>
  <c r="F129" i="49" s="1"/>
  <c r="F130" i="49" s="1"/>
  <c r="F131" i="49" s="1"/>
  <c r="F132" i="49" s="1"/>
  <c r="F133" i="49" s="1"/>
  <c r="F134" i="49" s="1"/>
  <c r="F135" i="49" s="1"/>
  <c r="F139" i="49" s="1"/>
  <c r="F140" i="49" s="1"/>
  <c r="F141" i="49" s="1"/>
  <c r="F142" i="49" s="1"/>
  <c r="F143" i="49" s="1"/>
  <c r="F144" i="49" s="1"/>
  <c r="F145" i="49" s="1"/>
  <c r="F146" i="49" s="1"/>
  <c r="F147" i="49" s="1"/>
  <c r="F148" i="49" s="1"/>
  <c r="F152" i="49" s="1"/>
  <c r="F153" i="49" s="1"/>
  <c r="F154" i="49" s="1"/>
  <c r="F155" i="49" s="1"/>
  <c r="F156" i="49" s="1"/>
  <c r="F157" i="49" s="1"/>
  <c r="F158" i="49" s="1"/>
  <c r="F159" i="49" s="1"/>
  <c r="F160" i="49" s="1"/>
  <c r="F161" i="49" s="1"/>
  <c r="F165" i="49" s="1"/>
  <c r="F166" i="49" s="1"/>
  <c r="F167" i="49" s="1"/>
  <c r="F168" i="49" s="1"/>
  <c r="F169" i="49" s="1"/>
  <c r="F170" i="49" s="1"/>
  <c r="F171" i="49" s="1"/>
  <c r="F172" i="49" s="1"/>
  <c r="F173" i="49" s="1"/>
  <c r="F174" i="49" s="1"/>
  <c r="L126" i="49" s="1"/>
  <c r="L127" i="49" s="1"/>
  <c r="L128" i="49" s="1"/>
  <c r="L129" i="49" s="1"/>
  <c r="L130" i="49" s="1"/>
  <c r="L131" i="49" s="1"/>
  <c r="L132" i="49" s="1"/>
  <c r="L133" i="49" s="1"/>
  <c r="L134" i="49" s="1"/>
  <c r="L135" i="49" s="1"/>
  <c r="L139" i="49" s="1"/>
  <c r="L140" i="49" s="1"/>
  <c r="L141" i="49" s="1"/>
  <c r="L142" i="49" s="1"/>
  <c r="L143" i="49" s="1"/>
  <c r="L144" i="49" s="1"/>
  <c r="L145" i="49" s="1"/>
  <c r="L146" i="49" s="1"/>
  <c r="L147" i="49" s="1"/>
  <c r="L148" i="49" s="1"/>
  <c r="L152" i="49" s="1"/>
  <c r="L153" i="49" s="1"/>
  <c r="L154" i="49" s="1"/>
  <c r="L155" i="49" s="1"/>
  <c r="L156" i="49" s="1"/>
  <c r="L157" i="49" s="1"/>
  <c r="L158" i="49" s="1"/>
  <c r="L159" i="49" s="1"/>
  <c r="L160" i="49" s="1"/>
  <c r="L161" i="49" s="1"/>
  <c r="L165" i="49" s="1"/>
  <c r="L166" i="49" s="1"/>
  <c r="L167" i="49" s="1"/>
  <c r="L168" i="49" s="1"/>
  <c r="L169" i="49" s="1"/>
  <c r="L170" i="49" s="1"/>
  <c r="L171" i="49" s="1"/>
  <c r="L172" i="49" s="1"/>
  <c r="L173" i="49" s="1"/>
  <c r="L174" i="49" s="1"/>
  <c r="F185" i="49" s="1"/>
  <c r="F186" i="49" s="1"/>
  <c r="F187" i="49" s="1"/>
  <c r="F188" i="49" s="1"/>
  <c r="F189" i="49" s="1"/>
  <c r="F190" i="49" s="1"/>
  <c r="F191" i="49" s="1"/>
  <c r="F192" i="49" s="1"/>
  <c r="F193" i="49" s="1"/>
  <c r="F194" i="49" s="1"/>
  <c r="F198" i="49" s="1"/>
  <c r="F199" i="49" s="1"/>
  <c r="F200" i="49" s="1"/>
  <c r="F201" i="49" s="1"/>
  <c r="F202" i="49" s="1"/>
  <c r="F203" i="49" s="1"/>
  <c r="F204" i="49" s="1"/>
  <c r="F205" i="49" s="1"/>
  <c r="F206" i="49" s="1"/>
  <c r="F207" i="49" s="1"/>
  <c r="F211" i="49" s="1"/>
  <c r="F212" i="49" s="1"/>
  <c r="F213" i="49" s="1"/>
  <c r="F214" i="49" s="1"/>
  <c r="F215" i="49" s="1"/>
  <c r="F216" i="49" s="1"/>
  <c r="F217" i="49" s="1"/>
  <c r="F218" i="49" s="1"/>
  <c r="F219" i="49" s="1"/>
  <c r="F220" i="49" s="1"/>
  <c r="F224" i="49" s="1"/>
  <c r="F225" i="49" s="1"/>
  <c r="F226" i="49" s="1"/>
  <c r="F227" i="49" s="1"/>
  <c r="F228" i="49" s="1"/>
  <c r="F229" i="49" s="1"/>
  <c r="F230" i="49" s="1"/>
  <c r="F231" i="49" s="1"/>
  <c r="F232" i="49" s="1"/>
  <c r="F233" i="49" s="1"/>
  <c r="L185" i="49" s="1"/>
  <c r="L186" i="49" s="1"/>
  <c r="L187" i="49" s="1"/>
  <c r="L188" i="49" s="1"/>
  <c r="L189" i="49" s="1"/>
  <c r="L190" i="49" s="1"/>
  <c r="L191" i="49" s="1"/>
  <c r="L192" i="49" s="1"/>
  <c r="L193" i="49" s="1"/>
  <c r="L194" i="49" s="1"/>
  <c r="L198" i="49" s="1"/>
  <c r="L199" i="49" s="1"/>
  <c r="L200" i="49" s="1"/>
  <c r="L201" i="49" s="1"/>
  <c r="L202" i="49" s="1"/>
  <c r="L203" i="49" s="1"/>
  <c r="L204" i="49" s="1"/>
  <c r="L205" i="49" s="1"/>
  <c r="L206" i="49" s="1"/>
  <c r="L207" i="49" s="1"/>
  <c r="L211" i="49" s="1"/>
  <c r="L212" i="49" s="1"/>
  <c r="L213" i="49" s="1"/>
  <c r="L214" i="49" s="1"/>
  <c r="L215" i="49" s="1"/>
  <c r="L216" i="49" s="1"/>
  <c r="L217" i="49" s="1"/>
  <c r="L218" i="49" s="1"/>
  <c r="L219" i="49" s="1"/>
  <c r="L220" i="49" s="1"/>
  <c r="L224" i="49" s="1"/>
  <c r="L225" i="49" s="1"/>
  <c r="L226" i="49" s="1"/>
  <c r="L227" i="49" s="1"/>
  <c r="L228" i="49" s="1"/>
  <c r="L229" i="49" s="1"/>
  <c r="L230" i="49" s="1"/>
  <c r="L231" i="49" s="1"/>
  <c r="L232" i="49" s="1"/>
  <c r="L233" i="49" s="1"/>
  <c r="F244" i="49" s="1"/>
  <c r="F245" i="49" s="1"/>
  <c r="F246" i="49" s="1"/>
  <c r="F247" i="49" s="1"/>
  <c r="F248" i="49" s="1"/>
  <c r="F249" i="49" s="1"/>
  <c r="F250" i="49" s="1"/>
  <c r="F251" i="49" s="1"/>
  <c r="F252" i="49" s="1"/>
  <c r="F253" i="49" s="1"/>
  <c r="F257" i="49" s="1"/>
  <c r="F258" i="49" s="1"/>
  <c r="F259" i="49" s="1"/>
  <c r="F260" i="49" s="1"/>
  <c r="F261" i="49" s="1"/>
  <c r="F262" i="49" s="1"/>
  <c r="F263" i="49" s="1"/>
  <c r="F264" i="49" s="1"/>
  <c r="F265" i="49" s="1"/>
  <c r="F266" i="49" s="1"/>
  <c r="F270" i="49" s="1"/>
  <c r="F271" i="49" s="1"/>
  <c r="F272" i="49" s="1"/>
  <c r="F273" i="49" s="1"/>
  <c r="F274" i="49" s="1"/>
  <c r="F275" i="49" s="1"/>
  <c r="F276" i="49" s="1"/>
  <c r="F277" i="49" s="1"/>
  <c r="F278" i="49" s="1"/>
  <c r="F279" i="49" s="1"/>
  <c r="F283" i="49" s="1"/>
  <c r="F284" i="49" s="1"/>
  <c r="F285" i="49" s="1"/>
  <c r="F286" i="49" s="1"/>
  <c r="F287" i="49" s="1"/>
  <c r="F288" i="49" s="1"/>
  <c r="F289" i="49" s="1"/>
  <c r="F290" i="49" s="1"/>
  <c r="F291" i="49" s="1"/>
  <c r="F292" i="49" s="1"/>
  <c r="L244" i="49" s="1"/>
  <c r="L245" i="49" s="1"/>
  <c r="L246" i="49" s="1"/>
  <c r="L247" i="49" s="1"/>
  <c r="L248" i="49" s="1"/>
  <c r="L249" i="49" s="1"/>
  <c r="L250" i="49" s="1"/>
  <c r="L251" i="49" s="1"/>
  <c r="L252" i="49" s="1"/>
  <c r="L253" i="49" s="1"/>
  <c r="L257" i="49" s="1"/>
  <c r="L258" i="49" s="1"/>
  <c r="L259" i="49" s="1"/>
  <c r="L260" i="49" s="1"/>
  <c r="L261" i="49" s="1"/>
  <c r="L262" i="49" s="1"/>
  <c r="L263" i="49" s="1"/>
  <c r="L264" i="49" s="1"/>
  <c r="L265" i="49" s="1"/>
  <c r="L266" i="49" s="1"/>
  <c r="L270" i="49" s="1"/>
  <c r="L271" i="49" s="1"/>
  <c r="L272" i="49" s="1"/>
  <c r="L273" i="49" s="1"/>
  <c r="L274" i="49" s="1"/>
  <c r="L275" i="49" s="1"/>
  <c r="L276" i="49" s="1"/>
  <c r="L277" i="49" s="1"/>
  <c r="L278" i="49" s="1"/>
  <c r="L279" i="49" s="1"/>
  <c r="L283" i="49" s="1"/>
  <c r="L284" i="49" s="1"/>
  <c r="L285" i="49" s="1"/>
  <c r="L286" i="49" s="1"/>
  <c r="L287" i="49" s="1"/>
  <c r="L288" i="49" s="1"/>
  <c r="L289" i="49" s="1"/>
  <c r="L290" i="49" s="1"/>
  <c r="L291" i="49" s="1"/>
  <c r="L292" i="49" s="1"/>
  <c r="M60" i="49"/>
  <c r="M2" i="49" s="1"/>
  <c r="B42" i="43"/>
  <c r="D37" i="43" s="1"/>
  <c r="D82" i="43" s="1"/>
  <c r="D59" i="49"/>
  <c r="O24" i="49" s="1"/>
  <c r="E33" i="49"/>
  <c r="E35" i="49"/>
  <c r="E36" i="49" s="1"/>
  <c r="E37" i="49" s="1"/>
  <c r="E38" i="49" s="1"/>
  <c r="E39" i="49" s="1"/>
  <c r="E40" i="49" s="1"/>
  <c r="E41" i="49" s="1"/>
  <c r="E42" i="49" s="1"/>
  <c r="E43" i="49" s="1"/>
  <c r="E44" i="49" s="1"/>
  <c r="E101" i="16"/>
  <c r="E41" i="16"/>
  <c r="G53" i="16"/>
  <c r="I26" i="57"/>
  <c r="I36" i="57"/>
  <c r="I39" i="57"/>
  <c r="K37" i="57"/>
  <c r="K36" i="57"/>
  <c r="K35" i="57"/>
  <c r="K34" i="57"/>
  <c r="K32" i="57"/>
  <c r="K31" i="57"/>
  <c r="L42" i="45"/>
  <c r="L53" i="45" s="1"/>
  <c r="V46" i="45"/>
  <c r="J67" i="45"/>
  <c r="X53" i="45"/>
  <c r="V42" i="45"/>
  <c r="V53" i="45" s="1"/>
  <c r="X54" i="45"/>
  <c r="N50" i="45"/>
  <c r="Q50" i="45"/>
  <c r="X50" i="45" s="1"/>
  <c r="AA50" i="45" s="1"/>
  <c r="J40" i="6"/>
  <c r="J42" i="6" s="1"/>
  <c r="G75" i="6"/>
  <c r="I60" i="6"/>
  <c r="F58" i="6"/>
  <c r="I56" i="6"/>
  <c r="J59" i="6"/>
  <c r="I59" i="6" s="1"/>
  <c r="L56" i="6"/>
  <c r="J60" i="6"/>
  <c r="F9" i="16"/>
  <c r="G9" i="16" s="1"/>
  <c r="G39" i="16" s="1"/>
  <c r="G41" i="16" s="1"/>
  <c r="G100" i="16" s="1"/>
  <c r="G101" i="16" s="1"/>
  <c r="J15" i="23"/>
  <c r="J18" i="23"/>
  <c r="J16" i="23"/>
  <c r="O74" i="40"/>
  <c r="O76" i="40" s="1"/>
  <c r="L48" i="57"/>
  <c r="J10" i="23"/>
  <c r="L50" i="57"/>
  <c r="L103" i="57" s="1"/>
  <c r="L104" i="57" s="1"/>
  <c r="L158" i="57" s="1"/>
  <c r="L159" i="57" s="1"/>
  <c r="L213" i="57" s="1"/>
  <c r="L214" i="57" s="1"/>
  <c r="L268" i="57" s="1"/>
  <c r="L269" i="57" s="1"/>
  <c r="L323" i="57" s="1"/>
  <c r="L324" i="57" s="1"/>
  <c r="L378" i="57" s="1"/>
  <c r="L379" i="57" s="1"/>
  <c r="L433" i="57" s="1"/>
  <c r="L434" i="57" s="1"/>
  <c r="L488" i="57" s="1"/>
  <c r="L489" i="57" s="1"/>
  <c r="L543" i="57" s="1"/>
  <c r="L544" i="57" s="1"/>
  <c r="L598" i="57" s="1"/>
  <c r="F75" i="40"/>
  <c r="F76" i="40" s="1"/>
  <c r="G75" i="40" s="1"/>
  <c r="G76" i="40" s="1"/>
  <c r="H75" i="40" s="1"/>
  <c r="H76" i="40" s="1"/>
  <c r="I75" i="40" s="1"/>
  <c r="I76" i="40" s="1"/>
  <c r="J75" i="40" s="1"/>
  <c r="J76" i="40" s="1"/>
  <c r="K75" i="40" s="1"/>
  <c r="K76" i="40" s="1"/>
  <c r="L75" i="40" s="1"/>
  <c r="L76" i="40" s="1"/>
  <c r="M75" i="40" s="1"/>
  <c r="M76" i="40" s="1"/>
  <c r="N75" i="40" s="1"/>
  <c r="N76" i="40" s="1"/>
  <c r="E153" i="40" s="1"/>
  <c r="G5" i="40"/>
  <c r="C25" i="41"/>
  <c r="A67" i="45" s="1"/>
  <c r="K60" i="57"/>
  <c r="E44" i="57" s="1"/>
  <c r="K5" i="57"/>
  <c r="B219" i="40"/>
  <c r="B140" i="40"/>
  <c r="B217" i="40"/>
  <c r="B142" i="40"/>
  <c r="C23" i="23"/>
  <c r="C21" i="23"/>
  <c r="B114" i="40"/>
  <c r="B192" i="40" s="1"/>
  <c r="C8" i="23"/>
  <c r="C7" i="23"/>
  <c r="B20" i="40"/>
  <c r="B34" i="40"/>
  <c r="C19" i="23"/>
  <c r="C18" i="23"/>
  <c r="A28" i="23"/>
  <c r="B31" i="40"/>
  <c r="B30" i="40"/>
  <c r="C35" i="23"/>
  <c r="B28" i="40"/>
  <c r="B27" i="40"/>
  <c r="B25" i="40"/>
  <c r="B24" i="40"/>
  <c r="B23" i="40"/>
  <c r="B29" i="40"/>
  <c r="B26" i="40"/>
  <c r="B116" i="40"/>
  <c r="B194" i="40" s="1"/>
  <c r="A33" i="23"/>
  <c r="A32" i="23"/>
  <c r="A31" i="23"/>
  <c r="B19" i="40"/>
  <c r="B18" i="40"/>
  <c r="H79" i="73"/>
  <c r="J4" i="23"/>
  <c r="B89" i="40"/>
  <c r="B167" i="40" s="1"/>
  <c r="G50" i="73"/>
  <c r="H50" i="73" s="1"/>
  <c r="H20" i="73"/>
  <c r="B115" i="40" l="1"/>
  <c r="B193" i="40" s="1"/>
  <c r="I371" i="57"/>
  <c r="I151" i="57"/>
  <c r="I316" i="57"/>
  <c r="I426" i="57"/>
  <c r="I42" i="57"/>
  <c r="I97" i="57"/>
  <c r="I47" i="23"/>
  <c r="L599" i="57"/>
  <c r="L653" i="57" s="1"/>
  <c r="L654" i="57" s="1"/>
  <c r="L708" i="57" s="1"/>
  <c r="L709" i="57" s="1"/>
  <c r="L763" i="57" s="1"/>
  <c r="L764" i="57" s="1"/>
  <c r="L818" i="57" s="1"/>
  <c r="L819" i="57" s="1"/>
  <c r="L873" i="57" s="1"/>
  <c r="L874" i="57" s="1"/>
  <c r="L928" i="57" s="1"/>
  <c r="L929" i="57" s="1"/>
  <c r="L983" i="57" s="1"/>
  <c r="L984" i="57" s="1"/>
  <c r="L1038" i="57" s="1"/>
  <c r="L1039" i="57" s="1"/>
  <c r="L1093" i="57" s="1"/>
  <c r="L1094" i="57" s="1"/>
  <c r="L1148" i="57" s="1"/>
  <c r="L1149" i="57" s="1"/>
  <c r="L1203" i="57" s="1"/>
  <c r="L1204" i="57" s="1"/>
  <c r="L1258" i="57" s="1"/>
  <c r="L1259" i="57" s="1"/>
  <c r="L1313" i="57" s="1"/>
  <c r="L1314" i="57" s="1"/>
  <c r="L1368" i="57" s="1"/>
  <c r="L1369" i="57" s="1"/>
  <c r="L1423" i="57" s="1"/>
  <c r="L1424" i="57" s="1"/>
  <c r="L1478" i="57" s="1"/>
  <c r="L1479" i="57" s="1"/>
  <c r="L1533" i="57" s="1"/>
  <c r="L1534" i="57" s="1"/>
  <c r="L1588" i="57" s="1"/>
  <c r="L1589" i="57" s="1"/>
  <c r="L1642" i="57" s="1"/>
  <c r="L1643" i="57" s="1"/>
  <c r="R68" i="41"/>
  <c r="V140" i="41"/>
  <c r="V50" i="41"/>
  <c r="X50" i="41"/>
  <c r="R32" i="41"/>
  <c r="Z32" i="41"/>
  <c r="Z49" i="41"/>
  <c r="L44" i="45"/>
  <c r="N52" i="45"/>
  <c r="P41" i="45"/>
  <c r="N66" i="41"/>
  <c r="N50" i="41"/>
  <c r="N36" i="41"/>
  <c r="F108" i="57" s="1"/>
  <c r="N35" i="41"/>
  <c r="F107" i="57" s="1"/>
  <c r="N17" i="41"/>
  <c r="F53" i="57" s="1"/>
  <c r="N18" i="41"/>
  <c r="F54" i="57" s="1"/>
  <c r="Z120" i="41"/>
  <c r="T66" i="41"/>
  <c r="T50" i="41"/>
  <c r="P66" i="41"/>
  <c r="P50" i="41"/>
  <c r="V158" i="41"/>
  <c r="V174" i="41"/>
  <c r="P35" i="41"/>
  <c r="G107" i="57" s="1"/>
  <c r="P36" i="41"/>
  <c r="G108" i="57" s="1"/>
  <c r="V68" i="41"/>
  <c r="V84" i="41"/>
  <c r="AB84" i="41"/>
  <c r="AB68" i="41"/>
  <c r="J70" i="45"/>
  <c r="L106" i="41"/>
  <c r="L35" i="41"/>
  <c r="L36" i="41"/>
  <c r="E108" i="57" s="1"/>
  <c r="L67" i="45"/>
  <c r="R102" i="41"/>
  <c r="R86" i="41"/>
  <c r="X52" i="41"/>
  <c r="U67" i="45"/>
  <c r="V67" i="45" s="1"/>
  <c r="L25" i="41"/>
  <c r="E53" i="57"/>
  <c r="E50" i="57" s="1"/>
  <c r="X84" i="41"/>
  <c r="X68" i="41"/>
  <c r="L66" i="45"/>
  <c r="L84" i="41"/>
  <c r="L68" i="41"/>
  <c r="L53" i="41"/>
  <c r="L54" i="41"/>
  <c r="E163" i="57" s="1"/>
  <c r="H1593" i="57"/>
  <c r="H1643" i="57"/>
  <c r="H1644" i="57" s="1"/>
  <c r="H1645" i="57" s="1"/>
  <c r="H1646" i="57" s="1"/>
  <c r="H1647" i="57" s="1"/>
  <c r="D39" i="43"/>
  <c r="D41" i="43" s="1"/>
  <c r="D174" i="43"/>
  <c r="D38" i="43"/>
  <c r="M121" i="49"/>
  <c r="M119" i="49"/>
  <c r="D127" i="43"/>
  <c r="D86" i="43"/>
  <c r="E46" i="49"/>
  <c r="E48" i="49"/>
  <c r="E49" i="49" s="1"/>
  <c r="E50" i="49" s="1"/>
  <c r="E51" i="49" s="1"/>
  <c r="E52" i="49" s="1"/>
  <c r="E53" i="49" s="1"/>
  <c r="E54" i="49" s="1"/>
  <c r="E55" i="49" s="1"/>
  <c r="E56" i="49" s="1"/>
  <c r="E57" i="49" s="1"/>
  <c r="F39" i="16"/>
  <c r="F41" i="16" s="1"/>
  <c r="F100" i="16" s="1"/>
  <c r="F101" i="16" s="1"/>
  <c r="G103" i="16" s="1"/>
  <c r="B107" i="40"/>
  <c r="B185" i="40" s="1"/>
  <c r="I33" i="57"/>
  <c r="B102" i="40"/>
  <c r="B180" i="40" s="1"/>
  <c r="I28" i="57"/>
  <c r="B108" i="40"/>
  <c r="B186" i="40" s="1"/>
  <c r="I34" i="57"/>
  <c r="B104" i="40"/>
  <c r="B182" i="40" s="1"/>
  <c r="I30" i="57"/>
  <c r="B101" i="40"/>
  <c r="B179" i="40" s="1"/>
  <c r="I27" i="57"/>
  <c r="B103" i="40"/>
  <c r="B181" i="40" s="1"/>
  <c r="I29" i="57"/>
  <c r="B98" i="40"/>
  <c r="B176" i="40" s="1"/>
  <c r="I24" i="57"/>
  <c r="B106" i="40"/>
  <c r="B184" i="40" s="1"/>
  <c r="I32" i="57"/>
  <c r="B96" i="40"/>
  <c r="B174" i="40" s="1"/>
  <c r="I22" i="57"/>
  <c r="B105" i="40"/>
  <c r="B183" i="40" s="1"/>
  <c r="I31" i="57"/>
  <c r="B109" i="40"/>
  <c r="B187" i="40" s="1"/>
  <c r="I35" i="57"/>
  <c r="B112" i="40"/>
  <c r="B190" i="40" s="1"/>
  <c r="I38" i="57"/>
  <c r="B97" i="40"/>
  <c r="B175" i="40" s="1"/>
  <c r="I23" i="57"/>
  <c r="H74" i="6"/>
  <c r="H72" i="6"/>
  <c r="H73" i="6"/>
  <c r="L60" i="6"/>
  <c r="K60" i="6"/>
  <c r="I80" i="6"/>
  <c r="I78" i="6"/>
  <c r="I77" i="6"/>
  <c r="J58" i="6"/>
  <c r="I35" i="23"/>
  <c r="I36" i="23" s="1"/>
  <c r="G35" i="23"/>
  <c r="O153" i="40"/>
  <c r="O154" i="40" s="1"/>
  <c r="E154" i="40"/>
  <c r="F153" i="40" s="1"/>
  <c r="F154" i="40" s="1"/>
  <c r="G153" i="40" s="1"/>
  <c r="G154" i="40" s="1"/>
  <c r="H153" i="40" s="1"/>
  <c r="H154" i="40" s="1"/>
  <c r="I153" i="40" s="1"/>
  <c r="I154" i="40" s="1"/>
  <c r="J153" i="40" s="1"/>
  <c r="J154" i="40" s="1"/>
  <c r="K153" i="40" s="1"/>
  <c r="K154" i="40" s="1"/>
  <c r="L153" i="40" s="1"/>
  <c r="L154" i="40" s="1"/>
  <c r="M153" i="40" s="1"/>
  <c r="M154" i="40" s="1"/>
  <c r="N153" i="40" s="1"/>
  <c r="N154" i="40" s="1"/>
  <c r="E231" i="40" s="1"/>
  <c r="K114" i="57"/>
  <c r="E98" i="57" s="1"/>
  <c r="C43" i="41"/>
  <c r="A68" i="45" s="1"/>
  <c r="H5" i="40"/>
  <c r="G64" i="73"/>
  <c r="G81" i="73"/>
  <c r="J47" i="23" l="1"/>
  <c r="G104" i="57"/>
  <c r="O25" i="41"/>
  <c r="P25" i="41" s="1"/>
  <c r="Z67" i="41"/>
  <c r="Z50" i="41"/>
  <c r="F50" i="57"/>
  <c r="F104" i="57"/>
  <c r="T68" i="41"/>
  <c r="T84" i="41"/>
  <c r="Z138" i="41"/>
  <c r="N54" i="41"/>
  <c r="F163" i="57" s="1"/>
  <c r="N53" i="41"/>
  <c r="F162" i="57" s="1"/>
  <c r="N84" i="41"/>
  <c r="N68" i="41"/>
  <c r="P53" i="41"/>
  <c r="G162" i="57" s="1"/>
  <c r="P54" i="41"/>
  <c r="G163" i="57" s="1"/>
  <c r="G159" i="57" s="1"/>
  <c r="P68" i="41"/>
  <c r="P84" i="41"/>
  <c r="AB86" i="41"/>
  <c r="AB102" i="41"/>
  <c r="V86" i="41"/>
  <c r="V102" i="41"/>
  <c r="V192" i="41"/>
  <c r="V176" i="41"/>
  <c r="L72" i="41"/>
  <c r="E218" i="57" s="1"/>
  <c r="L71" i="41"/>
  <c r="L86" i="41"/>
  <c r="L102" i="41"/>
  <c r="U68" i="45"/>
  <c r="V68" i="45" s="1"/>
  <c r="X70" i="41"/>
  <c r="K68" i="45"/>
  <c r="L68" i="45" s="1"/>
  <c r="R104" i="41"/>
  <c r="R120" i="41"/>
  <c r="L43" i="41"/>
  <c r="O43" i="41"/>
  <c r="P43" i="41" s="1"/>
  <c r="E107" i="57"/>
  <c r="E104" i="57" s="1"/>
  <c r="L124" i="41"/>
  <c r="J71" i="45"/>
  <c r="X102" i="41"/>
  <c r="X86" i="41"/>
  <c r="E162" i="57"/>
  <c r="E159" i="57" s="1"/>
  <c r="D131" i="43"/>
  <c r="D172" i="43"/>
  <c r="D176" i="43" s="1"/>
  <c r="E59" i="49"/>
  <c r="K22" i="49"/>
  <c r="K23" i="49" s="1"/>
  <c r="K24" i="49" s="1"/>
  <c r="K25" i="49" s="1"/>
  <c r="K26" i="49" s="1"/>
  <c r="K27" i="49" s="1"/>
  <c r="K28" i="49" s="1"/>
  <c r="K29" i="49" s="1"/>
  <c r="K30" i="49" s="1"/>
  <c r="K31" i="49" s="1"/>
  <c r="G43" i="16"/>
  <c r="H75" i="6"/>
  <c r="I75" i="6" s="1"/>
  <c r="I81" i="6"/>
  <c r="E64" i="6"/>
  <c r="E63" i="6"/>
  <c r="J35" i="23"/>
  <c r="O231" i="40"/>
  <c r="O232" i="40" s="1"/>
  <c r="E232" i="40"/>
  <c r="F231" i="40" s="1"/>
  <c r="F232" i="40" s="1"/>
  <c r="G231" i="40" s="1"/>
  <c r="G232" i="40" s="1"/>
  <c r="H231" i="40" s="1"/>
  <c r="H232" i="40" s="1"/>
  <c r="I231" i="40" s="1"/>
  <c r="I232" i="40" s="1"/>
  <c r="J231" i="40" s="1"/>
  <c r="J232" i="40" s="1"/>
  <c r="K231" i="40" s="1"/>
  <c r="K232" i="40" s="1"/>
  <c r="L231" i="40" s="1"/>
  <c r="L232" i="40" s="1"/>
  <c r="M231" i="40" s="1"/>
  <c r="M232" i="40" s="1"/>
  <c r="N231" i="40" s="1"/>
  <c r="N232" i="40" s="1"/>
  <c r="C61" i="41"/>
  <c r="A69" i="45" s="1"/>
  <c r="K169" i="57"/>
  <c r="E153" i="57" s="1"/>
  <c r="I5" i="40"/>
  <c r="H65" i="73"/>
  <c r="H81" i="73" s="1"/>
  <c r="G82" i="73"/>
  <c r="Z85" i="41" l="1"/>
  <c r="Z68" i="41"/>
  <c r="F159" i="57"/>
  <c r="T86" i="41"/>
  <c r="T102" i="41"/>
  <c r="N72" i="41"/>
  <c r="F218" i="57" s="1"/>
  <c r="N71" i="41"/>
  <c r="F217" i="57" s="1"/>
  <c r="N86" i="41"/>
  <c r="N102" i="41"/>
  <c r="Z156" i="41"/>
  <c r="P86" i="41"/>
  <c r="P102" i="41"/>
  <c r="P72" i="41"/>
  <c r="G218" i="57" s="1"/>
  <c r="P71" i="41"/>
  <c r="G217" i="57" s="1"/>
  <c r="L61" i="41"/>
  <c r="V210" i="41"/>
  <c r="V194" i="41"/>
  <c r="O61" i="41"/>
  <c r="P61" i="41" s="1"/>
  <c r="V120" i="41"/>
  <c r="V122" i="41" s="1"/>
  <c r="V104" i="41"/>
  <c r="AB120" i="41"/>
  <c r="AB104" i="41"/>
  <c r="L142" i="41"/>
  <c r="J72" i="45"/>
  <c r="X120" i="41"/>
  <c r="X104" i="41"/>
  <c r="R122" i="41"/>
  <c r="R138" i="41"/>
  <c r="U69" i="45"/>
  <c r="V69" i="45" s="1"/>
  <c r="X88" i="41"/>
  <c r="K69" i="45"/>
  <c r="L69" i="45" s="1"/>
  <c r="L120" i="41"/>
  <c r="L104" i="41"/>
  <c r="L90" i="41"/>
  <c r="E273" i="57" s="1"/>
  <c r="L89" i="41"/>
  <c r="E217" i="57"/>
  <c r="E214" i="57" s="1"/>
  <c r="K33" i="49"/>
  <c r="K35" i="49"/>
  <c r="K36" i="49" s="1"/>
  <c r="K37" i="49" s="1"/>
  <c r="K38" i="49" s="1"/>
  <c r="K39" i="49" s="1"/>
  <c r="K40" i="49" s="1"/>
  <c r="K41" i="49" s="1"/>
  <c r="K42" i="49" s="1"/>
  <c r="K43" i="49" s="1"/>
  <c r="K44" i="49" s="1"/>
  <c r="E106" i="16"/>
  <c r="D40" i="16" s="1"/>
  <c r="C43" i="16"/>
  <c r="K224" i="57"/>
  <c r="E208" i="57" s="1"/>
  <c r="J5" i="40"/>
  <c r="C79" i="41"/>
  <c r="A70" i="45" s="1"/>
  <c r="H82" i="73"/>
  <c r="H83" i="73" s="1"/>
  <c r="I49" i="23"/>
  <c r="Z103" i="41" l="1"/>
  <c r="Z86" i="41"/>
  <c r="N120" i="41"/>
  <c r="N104" i="41"/>
  <c r="Z174" i="41"/>
  <c r="N90" i="41"/>
  <c r="F273" i="57" s="1"/>
  <c r="N89" i="41"/>
  <c r="F272" i="57" s="1"/>
  <c r="F214" i="57"/>
  <c r="T104" i="41"/>
  <c r="T120" i="41"/>
  <c r="G214" i="57"/>
  <c r="P89" i="41"/>
  <c r="G272" i="57" s="1"/>
  <c r="P90" i="41"/>
  <c r="G273" i="57" s="1"/>
  <c r="G269" i="57" s="1"/>
  <c r="AB122" i="41"/>
  <c r="AB138" i="41"/>
  <c r="P104" i="41"/>
  <c r="P120" i="41"/>
  <c r="O79" i="41"/>
  <c r="P79" i="41" s="1"/>
  <c r="L79" i="41"/>
  <c r="V212" i="41"/>
  <c r="V228" i="41"/>
  <c r="E272" i="57"/>
  <c r="E269" i="57" s="1"/>
  <c r="L122" i="41"/>
  <c r="L138" i="41"/>
  <c r="R140" i="41"/>
  <c r="R156" i="41"/>
  <c r="L108" i="41"/>
  <c r="E328" i="57" s="1"/>
  <c r="L107" i="41"/>
  <c r="X106" i="41"/>
  <c r="U70" i="45"/>
  <c r="V70" i="45" s="1"/>
  <c r="K70" i="45"/>
  <c r="L70" i="45" s="1"/>
  <c r="X138" i="41"/>
  <c r="X122" i="41"/>
  <c r="J73" i="45"/>
  <c r="L160" i="41"/>
  <c r="K46" i="49"/>
  <c r="K48" i="49"/>
  <c r="K49" i="49" s="1"/>
  <c r="K50" i="49" s="1"/>
  <c r="K51" i="49" s="1"/>
  <c r="K52" i="49" s="1"/>
  <c r="K53" i="49" s="1"/>
  <c r="K54" i="49" s="1"/>
  <c r="K55" i="49" s="1"/>
  <c r="K56" i="49" s="1"/>
  <c r="K57" i="49" s="1"/>
  <c r="C44" i="16"/>
  <c r="C45" i="16" s="1"/>
  <c r="C97" i="41"/>
  <c r="A71" i="45" s="1"/>
  <c r="K5" i="40"/>
  <c r="K279" i="57"/>
  <c r="E263" i="57" s="1"/>
  <c r="I50" i="23"/>
  <c r="I64" i="23" s="1"/>
  <c r="Z121" i="41" l="1"/>
  <c r="Z104" i="41"/>
  <c r="T122" i="41"/>
  <c r="T138" i="41"/>
  <c r="Z192" i="41"/>
  <c r="F269" i="57"/>
  <c r="N108" i="41"/>
  <c r="F328" i="57" s="1"/>
  <c r="N107" i="41"/>
  <c r="F327" i="57" s="1"/>
  <c r="N122" i="41"/>
  <c r="N138" i="41"/>
  <c r="L97" i="41"/>
  <c r="O97" i="41"/>
  <c r="P97" i="41" s="1"/>
  <c r="V230" i="41"/>
  <c r="V246" i="41"/>
  <c r="P138" i="41"/>
  <c r="P122" i="41"/>
  <c r="P108" i="41"/>
  <c r="G328" i="57" s="1"/>
  <c r="P107" i="41"/>
  <c r="G327" i="57" s="1"/>
  <c r="AB140" i="41"/>
  <c r="AB156" i="41"/>
  <c r="L178" i="41"/>
  <c r="J74" i="45"/>
  <c r="X140" i="41"/>
  <c r="X156" i="41"/>
  <c r="U71" i="45"/>
  <c r="V71" i="45" s="1"/>
  <c r="X124" i="41"/>
  <c r="K71" i="45"/>
  <c r="L71" i="45" s="1"/>
  <c r="E327" i="57"/>
  <c r="E324" i="57"/>
  <c r="R174" i="41"/>
  <c r="R158" i="41"/>
  <c r="L140" i="41"/>
  <c r="L156" i="41"/>
  <c r="L125" i="41"/>
  <c r="L126" i="41"/>
  <c r="E383" i="57" s="1"/>
  <c r="K59" i="49"/>
  <c r="E67" i="49"/>
  <c r="E68" i="49" s="1"/>
  <c r="E69" i="49" s="1"/>
  <c r="E70" i="49" s="1"/>
  <c r="E71" i="49" s="1"/>
  <c r="E72" i="49" s="1"/>
  <c r="E73" i="49" s="1"/>
  <c r="E74" i="49" s="1"/>
  <c r="E75" i="49" s="1"/>
  <c r="E76" i="49" s="1"/>
  <c r="C115" i="41"/>
  <c r="A72" i="45" s="1"/>
  <c r="K334" i="57"/>
  <c r="E318" i="57" s="1"/>
  <c r="L5" i="40"/>
  <c r="M49" i="23"/>
  <c r="L49" i="23"/>
  <c r="K49" i="23"/>
  <c r="L52" i="57"/>
  <c r="L106" i="57" s="1"/>
  <c r="L161" i="57" s="1"/>
  <c r="L216" i="57" s="1"/>
  <c r="L271" i="57" s="1"/>
  <c r="L326" i="57" s="1"/>
  <c r="L381" i="57" s="1"/>
  <c r="L436" i="57" s="1"/>
  <c r="L491" i="57" s="1"/>
  <c r="L546" i="57" s="1"/>
  <c r="L601" i="57" s="1"/>
  <c r="L656" i="57" s="1"/>
  <c r="L711" i="57" s="1"/>
  <c r="L766" i="57" s="1"/>
  <c r="L821" i="57" s="1"/>
  <c r="L876" i="57" s="1"/>
  <c r="L931" i="57" s="1"/>
  <c r="L986" i="57" s="1"/>
  <c r="L1041" i="57" s="1"/>
  <c r="L1096" i="57" s="1"/>
  <c r="L1151" i="57" s="1"/>
  <c r="L1206" i="57" s="1"/>
  <c r="L1261" i="57" s="1"/>
  <c r="L1316" i="57" s="1"/>
  <c r="L1371" i="57" s="1"/>
  <c r="L1426" i="57" s="1"/>
  <c r="L1481" i="57" s="1"/>
  <c r="L1536" i="57" s="1"/>
  <c r="L1591" i="57" s="1"/>
  <c r="L1645" i="57" s="1"/>
  <c r="G324" i="57" l="1"/>
  <c r="Z139" i="41"/>
  <c r="Z122" i="41"/>
  <c r="L115" i="41"/>
  <c r="O115" i="41"/>
  <c r="P115" i="41" s="1"/>
  <c r="N125" i="41"/>
  <c r="F382" i="57" s="1"/>
  <c r="N126" i="41"/>
  <c r="F383" i="57" s="1"/>
  <c r="N156" i="41"/>
  <c r="N140" i="41"/>
  <c r="F324" i="57"/>
  <c r="Z210" i="41"/>
  <c r="T156" i="41"/>
  <c r="T140" i="41"/>
  <c r="V248" i="41"/>
  <c r="V264" i="41"/>
  <c r="AB158" i="41"/>
  <c r="AB174" i="41"/>
  <c r="P125" i="41"/>
  <c r="G382" i="57" s="1"/>
  <c r="P126" i="41"/>
  <c r="G383" i="57" s="1"/>
  <c r="P156" i="41"/>
  <c r="P140" i="41"/>
  <c r="L158" i="41"/>
  <c r="L174" i="41"/>
  <c r="X142" i="41"/>
  <c r="U72" i="45"/>
  <c r="V72" i="45" s="1"/>
  <c r="K72" i="45"/>
  <c r="L72" i="45" s="1"/>
  <c r="E382" i="57"/>
  <c r="E379" i="57" s="1"/>
  <c r="L143" i="41"/>
  <c r="L144" i="41"/>
  <c r="E438" i="57" s="1"/>
  <c r="R192" i="41"/>
  <c r="R176" i="41"/>
  <c r="X174" i="41"/>
  <c r="X158" i="41"/>
  <c r="J75" i="45"/>
  <c r="L196" i="41"/>
  <c r="E78" i="49"/>
  <c r="E80" i="49"/>
  <c r="E81" i="49" s="1"/>
  <c r="E82" i="49" s="1"/>
  <c r="E83" i="49" s="1"/>
  <c r="E84" i="49" s="1"/>
  <c r="E85" i="49" s="1"/>
  <c r="E86" i="49" s="1"/>
  <c r="E87" i="49" s="1"/>
  <c r="E88" i="49" s="1"/>
  <c r="E89" i="49" s="1"/>
  <c r="C133" i="41"/>
  <c r="A73" i="45" s="1"/>
  <c r="M5" i="40"/>
  <c r="K389" i="57"/>
  <c r="E373" i="57" s="1"/>
  <c r="G64" i="23"/>
  <c r="J64" i="23" s="1"/>
  <c r="E44" i="16"/>
  <c r="E104" i="16" s="1"/>
  <c r="E105" i="16" s="1"/>
  <c r="G379" i="57" l="1"/>
  <c r="Z157" i="41"/>
  <c r="Z140" i="41"/>
  <c r="T174" i="41"/>
  <c r="T158" i="41"/>
  <c r="Z228" i="41"/>
  <c r="O133" i="41"/>
  <c r="P133" i="41" s="1"/>
  <c r="L133" i="41"/>
  <c r="N144" i="41"/>
  <c r="F438" i="57" s="1"/>
  <c r="N143" i="41"/>
  <c r="F437" i="57" s="1"/>
  <c r="N158" i="41"/>
  <c r="N174" i="41"/>
  <c r="F379" i="57"/>
  <c r="AB192" i="41"/>
  <c r="AB176" i="41"/>
  <c r="P144" i="41"/>
  <c r="G438" i="57" s="1"/>
  <c r="P143" i="41"/>
  <c r="G437" i="57" s="1"/>
  <c r="P174" i="41"/>
  <c r="P158" i="41"/>
  <c r="V282" i="41"/>
  <c r="V266" i="41"/>
  <c r="X176" i="41"/>
  <c r="X192" i="41"/>
  <c r="L176" i="41"/>
  <c r="L192" i="41"/>
  <c r="E437" i="57"/>
  <c r="E434" i="57" s="1"/>
  <c r="X160" i="41"/>
  <c r="U73" i="45"/>
  <c r="V73" i="45" s="1"/>
  <c r="K73" i="45"/>
  <c r="L73" i="45" s="1"/>
  <c r="L162" i="41"/>
  <c r="E493" i="57" s="1"/>
  <c r="L161" i="41"/>
  <c r="L214" i="41"/>
  <c r="J76" i="45"/>
  <c r="R210" i="41"/>
  <c r="R194" i="41"/>
  <c r="E93" i="49"/>
  <c r="E94" i="49" s="1"/>
  <c r="E95" i="49" s="1"/>
  <c r="E96" i="49" s="1"/>
  <c r="E97" i="49" s="1"/>
  <c r="E98" i="49" s="1"/>
  <c r="E99" i="49" s="1"/>
  <c r="E100" i="49" s="1"/>
  <c r="E101" i="49" s="1"/>
  <c r="E102" i="49" s="1"/>
  <c r="E91" i="49"/>
  <c r="C151" i="41"/>
  <c r="A74" i="45" s="1"/>
  <c r="K444" i="57"/>
  <c r="E428" i="57" s="1"/>
  <c r="N5" i="40"/>
  <c r="J49" i="23"/>
  <c r="Z175" i="41" l="1"/>
  <c r="Z158" i="41"/>
  <c r="N176" i="41"/>
  <c r="N192" i="41"/>
  <c r="T192" i="41"/>
  <c r="T176" i="41"/>
  <c r="N162" i="41"/>
  <c r="F493" i="57" s="1"/>
  <c r="N161" i="41"/>
  <c r="F492" i="57" s="1"/>
  <c r="F434" i="57"/>
  <c r="Z246" i="41"/>
  <c r="L151" i="41"/>
  <c r="G434" i="57"/>
  <c r="P161" i="41"/>
  <c r="G492" i="57" s="1"/>
  <c r="P162" i="41"/>
  <c r="G493" i="57" s="1"/>
  <c r="G489" i="57" s="1"/>
  <c r="AB210" i="41"/>
  <c r="AB194" i="41"/>
  <c r="O151" i="41"/>
  <c r="P151" i="41" s="1"/>
  <c r="V300" i="41"/>
  <c r="V284" i="41"/>
  <c r="P192" i="41"/>
  <c r="P176" i="41"/>
  <c r="R228" i="41"/>
  <c r="R212" i="41"/>
  <c r="E492" i="57"/>
  <c r="L180" i="41"/>
  <c r="E548" i="57" s="1"/>
  <c r="L179" i="41"/>
  <c r="L232" i="41"/>
  <c r="J77" i="45"/>
  <c r="X178" i="41"/>
  <c r="U74" i="45"/>
  <c r="V74" i="45" s="1"/>
  <c r="K74" i="45"/>
  <c r="L74" i="45" s="1"/>
  <c r="L210" i="41"/>
  <c r="L194" i="41"/>
  <c r="X194" i="41"/>
  <c r="X210" i="41"/>
  <c r="E489" i="57"/>
  <c r="E104" i="49"/>
  <c r="E106" i="49"/>
  <c r="E107" i="49" s="1"/>
  <c r="E108" i="49" s="1"/>
  <c r="E109" i="49" s="1"/>
  <c r="E110" i="49" s="1"/>
  <c r="E111" i="49" s="1"/>
  <c r="E112" i="49" s="1"/>
  <c r="E113" i="49" s="1"/>
  <c r="E114" i="49" s="1"/>
  <c r="E115" i="49" s="1"/>
  <c r="C169" i="41"/>
  <c r="A75" i="45" s="1"/>
  <c r="E83" i="40"/>
  <c r="K499" i="57"/>
  <c r="E483" i="57" s="1"/>
  <c r="Z193" i="41" l="1"/>
  <c r="Z176" i="41"/>
  <c r="N180" i="41"/>
  <c r="F548" i="57" s="1"/>
  <c r="N179" i="41"/>
  <c r="F547" i="57" s="1"/>
  <c r="Z264" i="41"/>
  <c r="F489" i="57"/>
  <c r="T210" i="41"/>
  <c r="T194" i="41"/>
  <c r="N194" i="41"/>
  <c r="N210" i="41"/>
  <c r="O169" i="41"/>
  <c r="P169" i="41" s="1"/>
  <c r="P179" i="41"/>
  <c r="G547" i="57" s="1"/>
  <c r="P180" i="41"/>
  <c r="G548" i="57" s="1"/>
  <c r="L169" i="41"/>
  <c r="P210" i="41"/>
  <c r="P194" i="41"/>
  <c r="V318" i="41"/>
  <c r="V302" i="41"/>
  <c r="AB212" i="41"/>
  <c r="AB228" i="41"/>
  <c r="L250" i="41"/>
  <c r="J78" i="45"/>
  <c r="L197" i="41"/>
  <c r="L198" i="41"/>
  <c r="E603" i="57" s="1"/>
  <c r="X212" i="41"/>
  <c r="X228" i="41"/>
  <c r="L212" i="41"/>
  <c r="L228" i="41"/>
  <c r="U75" i="45"/>
  <c r="V75" i="45" s="1"/>
  <c r="X196" i="41"/>
  <c r="K75" i="45"/>
  <c r="L75" i="45" s="1"/>
  <c r="E547" i="57"/>
  <c r="E544" i="57" s="1"/>
  <c r="R230" i="41"/>
  <c r="R246" i="41"/>
  <c r="K67" i="49"/>
  <c r="K68" i="49" s="1"/>
  <c r="K69" i="49" s="1"/>
  <c r="K70" i="49" s="1"/>
  <c r="K71" i="49" s="1"/>
  <c r="K72" i="49" s="1"/>
  <c r="K73" i="49" s="1"/>
  <c r="K74" i="49" s="1"/>
  <c r="K75" i="49" s="1"/>
  <c r="K76" i="49" s="1"/>
  <c r="E117" i="49"/>
  <c r="C187" i="41"/>
  <c r="A76" i="45" s="1"/>
  <c r="F83" i="40"/>
  <c r="K554" i="57"/>
  <c r="E538" i="57" s="1"/>
  <c r="O187" i="41" l="1"/>
  <c r="P187" i="41" s="1"/>
  <c r="L187" i="41"/>
  <c r="G544" i="57"/>
  <c r="F544" i="57"/>
  <c r="Z211" i="41"/>
  <c r="Z194" i="41"/>
  <c r="N228" i="41"/>
  <c r="N212" i="41"/>
  <c r="N197" i="41"/>
  <c r="F602" i="57" s="1"/>
  <c r="N198" i="41"/>
  <c r="F603" i="57" s="1"/>
  <c r="F599" i="57" s="1"/>
  <c r="T212" i="41"/>
  <c r="T228" i="41"/>
  <c r="Z282" i="41"/>
  <c r="V336" i="41"/>
  <c r="V320" i="41"/>
  <c r="AB246" i="41"/>
  <c r="AB230" i="41"/>
  <c r="P198" i="41"/>
  <c r="G603" i="57" s="1"/>
  <c r="P197" i="41"/>
  <c r="G602" i="57" s="1"/>
  <c r="P212" i="41"/>
  <c r="P228" i="41"/>
  <c r="U76" i="45"/>
  <c r="V76" i="45" s="1"/>
  <c r="X214" i="41"/>
  <c r="K76" i="45"/>
  <c r="L76" i="45" s="1"/>
  <c r="X230" i="41"/>
  <c r="X246" i="41"/>
  <c r="L230" i="41"/>
  <c r="L246" i="41"/>
  <c r="J79" i="45"/>
  <c r="L268" i="41"/>
  <c r="E602" i="57"/>
  <c r="E599" i="57" s="1"/>
  <c r="R248" i="41"/>
  <c r="R264" i="41"/>
  <c r="L215" i="41"/>
  <c r="L216" i="41"/>
  <c r="E658" i="57" s="1"/>
  <c r="K78" i="49"/>
  <c r="K80" i="49"/>
  <c r="K81" i="49" s="1"/>
  <c r="K82" i="49" s="1"/>
  <c r="K83" i="49" s="1"/>
  <c r="K84" i="49" s="1"/>
  <c r="K85" i="49" s="1"/>
  <c r="K86" i="49" s="1"/>
  <c r="K87" i="49" s="1"/>
  <c r="K88" i="49" s="1"/>
  <c r="K89" i="49" s="1"/>
  <c r="K609" i="57"/>
  <c r="E593" i="57" s="1"/>
  <c r="G83" i="40"/>
  <c r="C205" i="41"/>
  <c r="A77" i="45" s="1"/>
  <c r="Z229" i="41" l="1"/>
  <c r="Z212" i="41"/>
  <c r="L205" i="41"/>
  <c r="O205" i="41"/>
  <c r="P205" i="41" s="1"/>
  <c r="Z300" i="41"/>
  <c r="T246" i="41"/>
  <c r="T230" i="41"/>
  <c r="N215" i="41"/>
  <c r="F657" i="57" s="1"/>
  <c r="N216" i="41"/>
  <c r="F658" i="57" s="1"/>
  <c r="F654" i="57" s="1"/>
  <c r="N230" i="41"/>
  <c r="N246" i="41"/>
  <c r="AB264" i="41"/>
  <c r="AB248" i="41"/>
  <c r="V338" i="41"/>
  <c r="V354" i="41"/>
  <c r="P216" i="41"/>
  <c r="G658" i="57" s="1"/>
  <c r="P215" i="41"/>
  <c r="G657" i="57" s="1"/>
  <c r="P230" i="41"/>
  <c r="P246" i="41"/>
  <c r="G599" i="57"/>
  <c r="R282" i="41"/>
  <c r="R266" i="41"/>
  <c r="L234" i="41"/>
  <c r="E713" i="57" s="1"/>
  <c r="L233" i="41"/>
  <c r="E657" i="57"/>
  <c r="E654" i="57" s="1"/>
  <c r="L286" i="41"/>
  <c r="J80" i="45"/>
  <c r="X248" i="41"/>
  <c r="X264" i="41"/>
  <c r="L264" i="41"/>
  <c r="L248" i="41"/>
  <c r="X232" i="41"/>
  <c r="U77" i="45"/>
  <c r="V77" i="45" s="1"/>
  <c r="K77" i="45"/>
  <c r="L77" i="45" s="1"/>
  <c r="K91" i="49"/>
  <c r="K93" i="49"/>
  <c r="K94" i="49" s="1"/>
  <c r="K95" i="49" s="1"/>
  <c r="K96" i="49" s="1"/>
  <c r="K97" i="49" s="1"/>
  <c r="K98" i="49" s="1"/>
  <c r="K99" i="49" s="1"/>
  <c r="K100" i="49" s="1"/>
  <c r="K101" i="49" s="1"/>
  <c r="K102" i="49" s="1"/>
  <c r="H83" i="40"/>
  <c r="K664" i="57"/>
  <c r="E648" i="57" s="1"/>
  <c r="C223" i="41"/>
  <c r="A78" i="45" s="1"/>
  <c r="Z247" i="41" l="1"/>
  <c r="Z230" i="41"/>
  <c r="N264" i="41"/>
  <c r="N248" i="41"/>
  <c r="L223" i="41"/>
  <c r="T264" i="41"/>
  <c r="T248" i="41"/>
  <c r="O223" i="41"/>
  <c r="P223" i="41" s="1"/>
  <c r="Z318" i="41"/>
  <c r="N234" i="41"/>
  <c r="F713" i="57" s="1"/>
  <c r="N233" i="41"/>
  <c r="F712" i="57" s="1"/>
  <c r="P264" i="41"/>
  <c r="P248" i="41"/>
  <c r="P234" i="41"/>
  <c r="G713" i="57" s="1"/>
  <c r="P233" i="41"/>
  <c r="G712" i="57" s="1"/>
  <c r="G654" i="57"/>
  <c r="AB266" i="41"/>
  <c r="AB282" i="41"/>
  <c r="V372" i="41"/>
  <c r="V356" i="41"/>
  <c r="L252" i="41"/>
  <c r="E768" i="57" s="1"/>
  <c r="L251" i="41"/>
  <c r="L282" i="41"/>
  <c r="L266" i="41"/>
  <c r="R284" i="41"/>
  <c r="R300" i="41"/>
  <c r="U78" i="45"/>
  <c r="V78" i="45" s="1"/>
  <c r="X250" i="41"/>
  <c r="K78" i="45"/>
  <c r="L78" i="45" s="1"/>
  <c r="X266" i="41"/>
  <c r="X282" i="41"/>
  <c r="L304" i="41"/>
  <c r="J81" i="45"/>
  <c r="E712" i="57"/>
  <c r="E709" i="57" s="1"/>
  <c r="K104" i="49"/>
  <c r="K106" i="49"/>
  <c r="K107" i="49" s="1"/>
  <c r="K108" i="49" s="1"/>
  <c r="K109" i="49" s="1"/>
  <c r="K110" i="49" s="1"/>
  <c r="K111" i="49" s="1"/>
  <c r="K112" i="49" s="1"/>
  <c r="K113" i="49" s="1"/>
  <c r="K114" i="49" s="1"/>
  <c r="K115" i="49" s="1"/>
  <c r="K719" i="57"/>
  <c r="E703" i="57" s="1"/>
  <c r="I83" i="40"/>
  <c r="C241" i="41"/>
  <c r="A79" i="45" s="1"/>
  <c r="Z265" i="41" l="1"/>
  <c r="Z248" i="41"/>
  <c r="F709" i="57"/>
  <c r="N252" i="41"/>
  <c r="F768" i="57" s="1"/>
  <c r="N251" i="41"/>
  <c r="F767" i="57" s="1"/>
  <c r="Z336" i="41"/>
  <c r="T266" i="41"/>
  <c r="T282" i="41"/>
  <c r="N266" i="41"/>
  <c r="N282" i="41"/>
  <c r="AB300" i="41"/>
  <c r="AB284" i="41"/>
  <c r="G709" i="57"/>
  <c r="P251" i="41"/>
  <c r="G767" i="57" s="1"/>
  <c r="P252" i="41"/>
  <c r="G768" i="57" s="1"/>
  <c r="V374" i="41"/>
  <c r="V390" i="41"/>
  <c r="L241" i="41"/>
  <c r="O241" i="41"/>
  <c r="P241" i="41" s="1"/>
  <c r="P266" i="41"/>
  <c r="P282" i="41"/>
  <c r="X284" i="41"/>
  <c r="X300" i="41"/>
  <c r="R318" i="41"/>
  <c r="R302" i="41"/>
  <c r="L322" i="41"/>
  <c r="J82" i="45"/>
  <c r="X268" i="41"/>
  <c r="U79" i="45"/>
  <c r="V79" i="45" s="1"/>
  <c r="K79" i="45"/>
  <c r="L79" i="45" s="1"/>
  <c r="E767" i="57"/>
  <c r="E764" i="57"/>
  <c r="L270" i="41"/>
  <c r="E823" i="57" s="1"/>
  <c r="L269" i="41"/>
  <c r="L284" i="41"/>
  <c r="L300" i="41"/>
  <c r="E126" i="49"/>
  <c r="E127" i="49" s="1"/>
  <c r="E128" i="49" s="1"/>
  <c r="E129" i="49" s="1"/>
  <c r="E130" i="49" s="1"/>
  <c r="E131" i="49" s="1"/>
  <c r="E132" i="49" s="1"/>
  <c r="E133" i="49" s="1"/>
  <c r="E134" i="49" s="1"/>
  <c r="E135" i="49" s="1"/>
  <c r="K117" i="49"/>
  <c r="J83" i="40"/>
  <c r="K774" i="57"/>
  <c r="E758" i="57" s="1"/>
  <c r="C259" i="41"/>
  <c r="A80" i="45" s="1"/>
  <c r="G764" i="57" l="1"/>
  <c r="Z283" i="41"/>
  <c r="Z266" i="41"/>
  <c r="N284" i="41"/>
  <c r="N300" i="41"/>
  <c r="T300" i="41"/>
  <c r="T284" i="41"/>
  <c r="N270" i="41"/>
  <c r="F823" i="57" s="1"/>
  <c r="N269" i="41"/>
  <c r="F822" i="57" s="1"/>
  <c r="Z354" i="41"/>
  <c r="F764" i="57"/>
  <c r="P270" i="41"/>
  <c r="G823" i="57" s="1"/>
  <c r="P269" i="41"/>
  <c r="G822" i="57" s="1"/>
  <c r="L259" i="41"/>
  <c r="P284" i="41"/>
  <c r="P300" i="41"/>
  <c r="V392" i="41"/>
  <c r="V408" i="41"/>
  <c r="O259" i="41"/>
  <c r="P259" i="41" s="1"/>
  <c r="AB302" i="41"/>
  <c r="AB318" i="41"/>
  <c r="L302" i="41"/>
  <c r="L318" i="41"/>
  <c r="U80" i="45"/>
  <c r="V80" i="45" s="1"/>
  <c r="X286" i="41"/>
  <c r="K80" i="45"/>
  <c r="L80" i="45" s="1"/>
  <c r="E822" i="57"/>
  <c r="E819" i="57" s="1"/>
  <c r="R320" i="41"/>
  <c r="R336" i="41"/>
  <c r="L288" i="41"/>
  <c r="E878" i="57" s="1"/>
  <c r="L287" i="41"/>
  <c r="L340" i="41"/>
  <c r="J83" i="45"/>
  <c r="X318" i="41"/>
  <c r="X302" i="41"/>
  <c r="E137" i="49"/>
  <c r="E139" i="49"/>
  <c r="E140" i="49" s="1"/>
  <c r="E141" i="49" s="1"/>
  <c r="E142" i="49" s="1"/>
  <c r="E143" i="49" s="1"/>
  <c r="E144" i="49" s="1"/>
  <c r="E145" i="49" s="1"/>
  <c r="E146" i="49" s="1"/>
  <c r="E147" i="49" s="1"/>
  <c r="E148" i="49" s="1"/>
  <c r="C277" i="41"/>
  <c r="A81" i="45" s="1"/>
  <c r="K829" i="57"/>
  <c r="E813" i="57" s="1"/>
  <c r="K83" i="40"/>
  <c r="Z301" i="41" l="1"/>
  <c r="Z284" i="41"/>
  <c r="O277" i="41"/>
  <c r="P277" i="41" s="1"/>
  <c r="Z372" i="41"/>
  <c r="T302" i="41"/>
  <c r="T318" i="41"/>
  <c r="L277" i="41"/>
  <c r="N318" i="41"/>
  <c r="N302" i="41"/>
  <c r="F819" i="57"/>
  <c r="N288" i="41"/>
  <c r="F878" i="57" s="1"/>
  <c r="N287" i="41"/>
  <c r="F877" i="57" s="1"/>
  <c r="P318" i="41"/>
  <c r="P302" i="41"/>
  <c r="AB336" i="41"/>
  <c r="AB320" i="41"/>
  <c r="V410" i="41"/>
  <c r="V426" i="41"/>
  <c r="P287" i="41"/>
  <c r="G877" i="57" s="1"/>
  <c r="P288" i="41"/>
  <c r="G878" i="57" s="1"/>
  <c r="G819" i="57"/>
  <c r="R338" i="41"/>
  <c r="R354" i="41"/>
  <c r="X320" i="41"/>
  <c r="X336" i="41"/>
  <c r="U81" i="45"/>
  <c r="V81" i="45" s="1"/>
  <c r="X304" i="41"/>
  <c r="K81" i="45"/>
  <c r="L81" i="45" s="1"/>
  <c r="J84" i="45"/>
  <c r="L358" i="41"/>
  <c r="L320" i="41"/>
  <c r="L336" i="41"/>
  <c r="E877" i="57"/>
  <c r="E874" i="57" s="1"/>
  <c r="L306" i="41"/>
  <c r="E933" i="57" s="1"/>
  <c r="L305" i="41"/>
  <c r="E150" i="49"/>
  <c r="E152" i="49"/>
  <c r="E153" i="49" s="1"/>
  <c r="E154" i="49" s="1"/>
  <c r="E155" i="49" s="1"/>
  <c r="E156" i="49" s="1"/>
  <c r="E157" i="49" s="1"/>
  <c r="E158" i="49" s="1"/>
  <c r="E159" i="49" s="1"/>
  <c r="E160" i="49" s="1"/>
  <c r="E161" i="49" s="1"/>
  <c r="C295" i="41"/>
  <c r="A82" i="45" s="1"/>
  <c r="K884" i="57"/>
  <c r="E868" i="57" s="1"/>
  <c r="L83" i="40"/>
  <c r="F874" i="57" l="1"/>
  <c r="Z319" i="41"/>
  <c r="Z302" i="41"/>
  <c r="Z390" i="41"/>
  <c r="N305" i="41"/>
  <c r="F932" i="57" s="1"/>
  <c r="N306" i="41"/>
  <c r="F933" i="57" s="1"/>
  <c r="F929" i="57" s="1"/>
  <c r="N320" i="41"/>
  <c r="N336" i="41"/>
  <c r="T320" i="41"/>
  <c r="T336" i="41"/>
  <c r="G874" i="57"/>
  <c r="P306" i="41"/>
  <c r="G933" i="57" s="1"/>
  <c r="P305" i="41"/>
  <c r="G932" i="57" s="1"/>
  <c r="V444" i="41"/>
  <c r="V428" i="41"/>
  <c r="AB354" i="41"/>
  <c r="AB338" i="41"/>
  <c r="L295" i="41"/>
  <c r="O295" i="41"/>
  <c r="P295" i="41" s="1"/>
  <c r="P336" i="41"/>
  <c r="P320" i="41"/>
  <c r="L376" i="41"/>
  <c r="J85" i="45"/>
  <c r="E932" i="57"/>
  <c r="E929" i="57" s="1"/>
  <c r="X354" i="41"/>
  <c r="X338" i="41"/>
  <c r="L323" i="41"/>
  <c r="L324" i="41"/>
  <c r="E988" i="57" s="1"/>
  <c r="L338" i="41"/>
  <c r="L354" i="41"/>
  <c r="X322" i="41"/>
  <c r="U82" i="45"/>
  <c r="V82" i="45" s="1"/>
  <c r="K82" i="45"/>
  <c r="L82" i="45" s="1"/>
  <c r="R372" i="41"/>
  <c r="R356" i="41"/>
  <c r="E163" i="49"/>
  <c r="E165" i="49"/>
  <c r="E166" i="49" s="1"/>
  <c r="E167" i="49" s="1"/>
  <c r="E168" i="49" s="1"/>
  <c r="E169" i="49" s="1"/>
  <c r="E170" i="49" s="1"/>
  <c r="E171" i="49" s="1"/>
  <c r="E172" i="49" s="1"/>
  <c r="E173" i="49" s="1"/>
  <c r="E174" i="49" s="1"/>
  <c r="M83" i="40"/>
  <c r="K939" i="57"/>
  <c r="E923" i="57" s="1"/>
  <c r="C313" i="41"/>
  <c r="A83" i="45" s="1"/>
  <c r="Z337" i="41" l="1"/>
  <c r="Z320" i="41"/>
  <c r="T338" i="41"/>
  <c r="T354" i="41"/>
  <c r="N323" i="41"/>
  <c r="F987" i="57" s="1"/>
  <c r="N324" i="41"/>
  <c r="F988" i="57" s="1"/>
  <c r="F984" i="57" s="1"/>
  <c r="O313" i="41"/>
  <c r="P313" i="41" s="1"/>
  <c r="L313" i="41"/>
  <c r="N354" i="41"/>
  <c r="N338" i="41"/>
  <c r="Z408" i="41"/>
  <c r="P338" i="41"/>
  <c r="P354" i="41"/>
  <c r="AB372" i="41"/>
  <c r="AB356" i="41"/>
  <c r="V462" i="41"/>
  <c r="V446" i="41"/>
  <c r="P324" i="41"/>
  <c r="G988" i="57" s="1"/>
  <c r="P323" i="41"/>
  <c r="G987" i="57" s="1"/>
  <c r="G929" i="57"/>
  <c r="R374" i="41"/>
  <c r="R390" i="41"/>
  <c r="X340" i="41"/>
  <c r="U83" i="45"/>
  <c r="V83" i="45" s="1"/>
  <c r="K83" i="45"/>
  <c r="L83" i="45" s="1"/>
  <c r="L372" i="41"/>
  <c r="L356" i="41"/>
  <c r="E987" i="57"/>
  <c r="E984" i="57" s="1"/>
  <c r="X372" i="41"/>
  <c r="X356" i="41"/>
  <c r="L341" i="41"/>
  <c r="L342" i="41"/>
  <c r="E1043" i="57" s="1"/>
  <c r="L394" i="41"/>
  <c r="J86" i="45"/>
  <c r="E176" i="49"/>
  <c r="K126" i="49"/>
  <c r="K127" i="49" s="1"/>
  <c r="K128" i="49" s="1"/>
  <c r="K129" i="49" s="1"/>
  <c r="K130" i="49" s="1"/>
  <c r="K131" i="49" s="1"/>
  <c r="K132" i="49" s="1"/>
  <c r="K133" i="49" s="1"/>
  <c r="K134" i="49" s="1"/>
  <c r="K135" i="49" s="1"/>
  <c r="N83" i="40"/>
  <c r="K994" i="57"/>
  <c r="E978" i="57" s="1"/>
  <c r="C331" i="41"/>
  <c r="A84" i="45" s="1"/>
  <c r="Z355" i="41" l="1"/>
  <c r="Z338" i="41"/>
  <c r="L331" i="41"/>
  <c r="O331" i="41"/>
  <c r="P331" i="41" s="1"/>
  <c r="Z426" i="41"/>
  <c r="N342" i="41"/>
  <c r="F1043" i="57" s="1"/>
  <c r="N341" i="41"/>
  <c r="F1042" i="57" s="1"/>
  <c r="N372" i="41"/>
  <c r="N356" i="41"/>
  <c r="T372" i="41"/>
  <c r="T356" i="41"/>
  <c r="P372" i="41"/>
  <c r="P356" i="41"/>
  <c r="G984" i="57"/>
  <c r="V464" i="41"/>
  <c r="V480" i="41"/>
  <c r="AB390" i="41"/>
  <c r="AB374" i="41"/>
  <c r="P342" i="41"/>
  <c r="G1043" i="57" s="1"/>
  <c r="P341" i="41"/>
  <c r="G1042" i="57" s="1"/>
  <c r="L412" i="41"/>
  <c r="J87" i="45"/>
  <c r="X374" i="41"/>
  <c r="X390" i="41"/>
  <c r="E1042" i="57"/>
  <c r="E1039" i="57" s="1"/>
  <c r="L359" i="41"/>
  <c r="L360" i="41"/>
  <c r="E1098" i="57" s="1"/>
  <c r="L390" i="41"/>
  <c r="L374" i="41"/>
  <c r="X358" i="41"/>
  <c r="U84" i="45"/>
  <c r="V84" i="45" s="1"/>
  <c r="K84" i="45"/>
  <c r="L84" i="45" s="1"/>
  <c r="R392" i="41"/>
  <c r="R408" i="41"/>
  <c r="K137" i="49"/>
  <c r="K139" i="49"/>
  <c r="K140" i="49" s="1"/>
  <c r="K141" i="49" s="1"/>
  <c r="K142" i="49" s="1"/>
  <c r="K143" i="49" s="1"/>
  <c r="K144" i="49" s="1"/>
  <c r="K145" i="49" s="1"/>
  <c r="K146" i="49" s="1"/>
  <c r="K147" i="49" s="1"/>
  <c r="K148" i="49" s="1"/>
  <c r="E161" i="40"/>
  <c r="K1049" i="57"/>
  <c r="E1033" i="57" s="1"/>
  <c r="C349" i="41"/>
  <c r="A85" i="45" s="1"/>
  <c r="Z373" i="41" l="1"/>
  <c r="Z356" i="41"/>
  <c r="N359" i="41"/>
  <c r="F1097" i="57" s="1"/>
  <c r="N360" i="41"/>
  <c r="F1098" i="57" s="1"/>
  <c r="F1094" i="57" s="1"/>
  <c r="F1039" i="57"/>
  <c r="T390" i="41"/>
  <c r="T374" i="41"/>
  <c r="N374" i="41"/>
  <c r="N390" i="41"/>
  <c r="L349" i="41"/>
  <c r="O349" i="41"/>
  <c r="P349" i="41" s="1"/>
  <c r="Z444" i="41"/>
  <c r="AB392" i="41"/>
  <c r="AB408" i="41"/>
  <c r="P360" i="41"/>
  <c r="G1098" i="57" s="1"/>
  <c r="P359" i="41"/>
  <c r="G1097" i="57" s="1"/>
  <c r="G1039" i="57"/>
  <c r="V498" i="41"/>
  <c r="V482" i="41"/>
  <c r="P374" i="41"/>
  <c r="P390" i="41"/>
  <c r="R426" i="41"/>
  <c r="R410" i="41"/>
  <c r="E1097" i="57"/>
  <c r="E1094" i="57" s="1"/>
  <c r="L408" i="41"/>
  <c r="L392" i="41"/>
  <c r="X376" i="41"/>
  <c r="U85" i="45"/>
  <c r="V85" i="45" s="1"/>
  <c r="K85" i="45"/>
  <c r="L85" i="45" s="1"/>
  <c r="L377" i="41"/>
  <c r="L378" i="41"/>
  <c r="E1153" i="57" s="1"/>
  <c r="L430" i="41"/>
  <c r="J88" i="45"/>
  <c r="X392" i="41"/>
  <c r="X408" i="41"/>
  <c r="K150" i="49"/>
  <c r="K152" i="49"/>
  <c r="K153" i="49" s="1"/>
  <c r="K154" i="49" s="1"/>
  <c r="K155" i="49" s="1"/>
  <c r="K156" i="49" s="1"/>
  <c r="K157" i="49" s="1"/>
  <c r="K158" i="49" s="1"/>
  <c r="K159" i="49" s="1"/>
  <c r="K160" i="49" s="1"/>
  <c r="K161" i="49" s="1"/>
  <c r="C367" i="41"/>
  <c r="A86" i="45" s="1"/>
  <c r="F161" i="40"/>
  <c r="K1104" i="57"/>
  <c r="E1088" i="57" s="1"/>
  <c r="Z391" i="41" l="1"/>
  <c r="Z374" i="41"/>
  <c r="O367" i="41"/>
  <c r="P367" i="41" s="1"/>
  <c r="L367" i="41"/>
  <c r="T392" i="41"/>
  <c r="T408" i="41"/>
  <c r="Z462" i="41"/>
  <c r="N408" i="41"/>
  <c r="N392" i="41"/>
  <c r="N378" i="41"/>
  <c r="F1153" i="57" s="1"/>
  <c r="N377" i="41"/>
  <c r="F1152" i="57" s="1"/>
  <c r="V516" i="41"/>
  <c r="V500" i="41"/>
  <c r="P378" i="41"/>
  <c r="G1153" i="57" s="1"/>
  <c r="P377" i="41"/>
  <c r="G1152" i="57" s="1"/>
  <c r="AB410" i="41"/>
  <c r="AB426" i="41"/>
  <c r="P392" i="41"/>
  <c r="P408" i="41"/>
  <c r="G1094" i="57"/>
  <c r="X426" i="41"/>
  <c r="X410" i="41"/>
  <c r="L448" i="41"/>
  <c r="J89" i="45"/>
  <c r="X394" i="41"/>
  <c r="U86" i="45"/>
  <c r="V86" i="45" s="1"/>
  <c r="K86" i="45"/>
  <c r="L86" i="45" s="1"/>
  <c r="E1152" i="57"/>
  <c r="E1149" i="57" s="1"/>
  <c r="L396" i="41"/>
  <c r="E1208" i="57" s="1"/>
  <c r="L395" i="41"/>
  <c r="L426" i="41"/>
  <c r="L410" i="41"/>
  <c r="R428" i="41"/>
  <c r="R444" i="41"/>
  <c r="K163" i="49"/>
  <c r="K165" i="49"/>
  <c r="K166" i="49" s="1"/>
  <c r="K167" i="49" s="1"/>
  <c r="K168" i="49" s="1"/>
  <c r="K169" i="49" s="1"/>
  <c r="K170" i="49" s="1"/>
  <c r="K171" i="49" s="1"/>
  <c r="K172" i="49" s="1"/>
  <c r="K173" i="49" s="1"/>
  <c r="K174" i="49" s="1"/>
  <c r="C385" i="41"/>
  <c r="A87" i="45" s="1"/>
  <c r="G161" i="40"/>
  <c r="K1159" i="57"/>
  <c r="E1143" i="57" s="1"/>
  <c r="Z409" i="41" l="1"/>
  <c r="Z392" i="41"/>
  <c r="F1149" i="57"/>
  <c r="O385" i="41"/>
  <c r="P385" i="41" s="1"/>
  <c r="N426" i="41"/>
  <c r="N410" i="41"/>
  <c r="L385" i="41"/>
  <c r="T426" i="41"/>
  <c r="T410" i="41"/>
  <c r="N395" i="41"/>
  <c r="F1207" i="57" s="1"/>
  <c r="N396" i="41"/>
  <c r="F1208" i="57" s="1"/>
  <c r="F1204" i="57" s="1"/>
  <c r="Z480" i="41"/>
  <c r="P410" i="41"/>
  <c r="P426" i="41"/>
  <c r="P396" i="41"/>
  <c r="G1208" i="57" s="1"/>
  <c r="P395" i="41"/>
  <c r="G1207" i="57" s="1"/>
  <c r="AB444" i="41"/>
  <c r="AB428" i="41"/>
  <c r="G1149" i="57"/>
  <c r="V534" i="41"/>
  <c r="V536" i="41" s="1"/>
  <c r="V518" i="41"/>
  <c r="L413" i="41"/>
  <c r="L414" i="41"/>
  <c r="E1263" i="57" s="1"/>
  <c r="R446" i="41"/>
  <c r="R462" i="41"/>
  <c r="E1207" i="57"/>
  <c r="L444" i="41"/>
  <c r="L428" i="41"/>
  <c r="U87" i="45"/>
  <c r="V87" i="45" s="1"/>
  <c r="X412" i="41"/>
  <c r="K87" i="45"/>
  <c r="L87" i="45" s="1"/>
  <c r="E1204" i="57"/>
  <c r="L466" i="41"/>
  <c r="J90" i="45"/>
  <c r="X444" i="41"/>
  <c r="X428" i="41"/>
  <c r="K176" i="49"/>
  <c r="E185" i="49"/>
  <c r="E186" i="49" s="1"/>
  <c r="E187" i="49" s="1"/>
  <c r="E188" i="49" s="1"/>
  <c r="E189" i="49" s="1"/>
  <c r="E190" i="49" s="1"/>
  <c r="E191" i="49" s="1"/>
  <c r="E192" i="49" s="1"/>
  <c r="E193" i="49" s="1"/>
  <c r="E194" i="49" s="1"/>
  <c r="C403" i="41"/>
  <c r="A88" i="45" s="1"/>
  <c r="H161" i="40"/>
  <c r="K1214" i="57"/>
  <c r="E1198" i="57" s="1"/>
  <c r="Z427" i="41" l="1"/>
  <c r="Z410" i="41"/>
  <c r="Z498" i="41"/>
  <c r="N414" i="41"/>
  <c r="F1263" i="57" s="1"/>
  <c r="N413" i="41"/>
  <c r="F1262" i="57" s="1"/>
  <c r="L403" i="41"/>
  <c r="O403" i="41"/>
  <c r="P403" i="41" s="1"/>
  <c r="N444" i="41"/>
  <c r="N428" i="41"/>
  <c r="T444" i="41"/>
  <c r="T428" i="41"/>
  <c r="G1204" i="57"/>
  <c r="AB462" i="41"/>
  <c r="AB446" i="41"/>
  <c r="P428" i="41"/>
  <c r="P444" i="41"/>
  <c r="P414" i="41"/>
  <c r="G1263" i="57" s="1"/>
  <c r="P413" i="41"/>
  <c r="G1262" i="57" s="1"/>
  <c r="L462" i="41"/>
  <c r="L446" i="41"/>
  <c r="X462" i="41"/>
  <c r="X446" i="41"/>
  <c r="L484" i="41"/>
  <c r="J91" i="45"/>
  <c r="U88" i="45"/>
  <c r="V88" i="45" s="1"/>
  <c r="X430" i="41"/>
  <c r="K88" i="45"/>
  <c r="L88" i="45" s="1"/>
  <c r="L432" i="41"/>
  <c r="E1318" i="57" s="1"/>
  <c r="L431" i="41"/>
  <c r="R464" i="41"/>
  <c r="R480" i="41"/>
  <c r="E1262" i="57"/>
  <c r="E1259" i="57" s="1"/>
  <c r="E198" i="49"/>
  <c r="E199" i="49" s="1"/>
  <c r="E200" i="49" s="1"/>
  <c r="E201" i="49" s="1"/>
  <c r="E202" i="49" s="1"/>
  <c r="E203" i="49" s="1"/>
  <c r="E204" i="49" s="1"/>
  <c r="E205" i="49" s="1"/>
  <c r="E206" i="49" s="1"/>
  <c r="E207" i="49" s="1"/>
  <c r="E196" i="49"/>
  <c r="K1269" i="57"/>
  <c r="E1253" i="57" s="1"/>
  <c r="I161" i="40"/>
  <c r="C421" i="41"/>
  <c r="A89" i="45" s="1"/>
  <c r="Z445" i="41" l="1"/>
  <c r="Z428" i="41"/>
  <c r="F1259" i="57"/>
  <c r="T446" i="41"/>
  <c r="T462" i="41"/>
  <c r="Z516" i="41"/>
  <c r="N432" i="41"/>
  <c r="F1318" i="57" s="1"/>
  <c r="N431" i="41"/>
  <c r="F1317" i="57" s="1"/>
  <c r="N446" i="41"/>
  <c r="N462" i="41"/>
  <c r="P462" i="41"/>
  <c r="P446" i="41"/>
  <c r="O421" i="41"/>
  <c r="P421" i="41" s="1"/>
  <c r="AB480" i="41"/>
  <c r="AB464" i="41"/>
  <c r="G1259" i="57"/>
  <c r="P431" i="41"/>
  <c r="G1317" i="57" s="1"/>
  <c r="P432" i="41"/>
  <c r="G1318" i="57" s="1"/>
  <c r="G1314" i="57" s="1"/>
  <c r="L421" i="41"/>
  <c r="R482" i="41"/>
  <c r="R498" i="41"/>
  <c r="E1317" i="57"/>
  <c r="E1314" i="57" s="1"/>
  <c r="X464" i="41"/>
  <c r="X480" i="41"/>
  <c r="X448" i="41"/>
  <c r="U89" i="45"/>
  <c r="V89" i="45" s="1"/>
  <c r="K89" i="45"/>
  <c r="L89" i="45" s="1"/>
  <c r="L502" i="41"/>
  <c r="J92" i="45"/>
  <c r="L449" i="41"/>
  <c r="L450" i="41"/>
  <c r="E1373" i="57" s="1"/>
  <c r="L464" i="41"/>
  <c r="L480" i="41"/>
  <c r="E209" i="49"/>
  <c r="E211" i="49"/>
  <c r="E212" i="49" s="1"/>
  <c r="E213" i="49" s="1"/>
  <c r="E214" i="49" s="1"/>
  <c r="E215" i="49" s="1"/>
  <c r="E216" i="49" s="1"/>
  <c r="E217" i="49" s="1"/>
  <c r="E218" i="49" s="1"/>
  <c r="E219" i="49" s="1"/>
  <c r="E220" i="49" s="1"/>
  <c r="K1324" i="57"/>
  <c r="E1308" i="57" s="1"/>
  <c r="C439" i="41"/>
  <c r="A90" i="45" s="1"/>
  <c r="J161" i="40"/>
  <c r="Z463" i="41" l="1"/>
  <c r="Z446" i="41"/>
  <c r="N450" i="41"/>
  <c r="F1373" i="57" s="1"/>
  <c r="N449" i="41"/>
  <c r="F1372" i="57" s="1"/>
  <c r="T480" i="41"/>
  <c r="T464" i="41"/>
  <c r="N464" i="41"/>
  <c r="N480" i="41"/>
  <c r="F1314" i="57"/>
  <c r="Z534" i="41"/>
  <c r="O439" i="41"/>
  <c r="P439" i="41" s="1"/>
  <c r="L439" i="41"/>
  <c r="P450" i="41"/>
  <c r="G1373" i="57" s="1"/>
  <c r="P449" i="41"/>
  <c r="G1372" i="57" s="1"/>
  <c r="AB482" i="41"/>
  <c r="AB498" i="41"/>
  <c r="P480" i="41"/>
  <c r="P464" i="41"/>
  <c r="E1372" i="57"/>
  <c r="E1369" i="57" s="1"/>
  <c r="L520" i="41"/>
  <c r="J93" i="45"/>
  <c r="X498" i="41"/>
  <c r="X482" i="41"/>
  <c r="L498" i="41"/>
  <c r="L482" i="41"/>
  <c r="L468" i="41"/>
  <c r="E1428" i="57" s="1"/>
  <c r="L467" i="41"/>
  <c r="U90" i="45"/>
  <c r="V90" i="45" s="1"/>
  <c r="X466" i="41"/>
  <c r="K90" i="45"/>
  <c r="L90" i="45" s="1"/>
  <c r="R500" i="41"/>
  <c r="R516" i="41"/>
  <c r="E222" i="49"/>
  <c r="E224" i="49"/>
  <c r="E225" i="49" s="1"/>
  <c r="E226" i="49" s="1"/>
  <c r="E227" i="49" s="1"/>
  <c r="E228" i="49" s="1"/>
  <c r="E229" i="49" s="1"/>
  <c r="E230" i="49" s="1"/>
  <c r="E231" i="49" s="1"/>
  <c r="E232" i="49" s="1"/>
  <c r="E233" i="49" s="1"/>
  <c r="C457" i="41"/>
  <c r="A91" i="45" s="1"/>
  <c r="K161" i="40"/>
  <c r="K1379" i="57"/>
  <c r="E1363" i="57" s="1"/>
  <c r="Z481" i="41" l="1"/>
  <c r="Z464" i="41"/>
  <c r="L457" i="41"/>
  <c r="O457" i="41"/>
  <c r="P457" i="41" s="1"/>
  <c r="N468" i="41"/>
  <c r="F1428" i="57" s="1"/>
  <c r="N467" i="41"/>
  <c r="F1427" i="57" s="1"/>
  <c r="T498" i="41"/>
  <c r="T482" i="41"/>
  <c r="N482" i="41"/>
  <c r="N498" i="41"/>
  <c r="F1369" i="57"/>
  <c r="AB516" i="41"/>
  <c r="AB500" i="41"/>
  <c r="P468" i="41"/>
  <c r="G1428" i="57" s="1"/>
  <c r="P467" i="41"/>
  <c r="G1427" i="57" s="1"/>
  <c r="P498" i="41"/>
  <c r="P482" i="41"/>
  <c r="G1369" i="57"/>
  <c r="R518" i="41"/>
  <c r="R534" i="41"/>
  <c r="X500" i="41"/>
  <c r="X516" i="41"/>
  <c r="X484" i="41"/>
  <c r="U91" i="45"/>
  <c r="V91" i="45" s="1"/>
  <c r="K91" i="45"/>
  <c r="L91" i="45" s="1"/>
  <c r="E1427" i="57"/>
  <c r="L516" i="41"/>
  <c r="L500" i="41"/>
  <c r="L485" i="41"/>
  <c r="L486" i="41"/>
  <c r="E1483" i="57" s="1"/>
  <c r="L538" i="41"/>
  <c r="J94" i="45"/>
  <c r="E1424" i="57"/>
  <c r="K185" i="49"/>
  <c r="K186" i="49" s="1"/>
  <c r="K187" i="49" s="1"/>
  <c r="K188" i="49" s="1"/>
  <c r="K189" i="49" s="1"/>
  <c r="K190" i="49" s="1"/>
  <c r="K191" i="49" s="1"/>
  <c r="K192" i="49" s="1"/>
  <c r="K193" i="49" s="1"/>
  <c r="K194" i="49" s="1"/>
  <c r="E235" i="49"/>
  <c r="C475" i="41"/>
  <c r="A92" i="45" s="1"/>
  <c r="L161" i="40"/>
  <c r="K1434" i="57"/>
  <c r="E1418" i="57" s="1"/>
  <c r="Z499" i="41" l="1"/>
  <c r="Z482" i="41"/>
  <c r="L475" i="41"/>
  <c r="O475" i="41"/>
  <c r="P475" i="41" s="1"/>
  <c r="N500" i="41"/>
  <c r="N516" i="41"/>
  <c r="N486" i="41"/>
  <c r="F1483" i="57" s="1"/>
  <c r="N485" i="41"/>
  <c r="F1482" i="57" s="1"/>
  <c r="T500" i="41"/>
  <c r="T516" i="41"/>
  <c r="F1424" i="57"/>
  <c r="P486" i="41"/>
  <c r="G1483" i="57" s="1"/>
  <c r="P485" i="41"/>
  <c r="G1482" i="57" s="1"/>
  <c r="P516" i="41"/>
  <c r="P500" i="41"/>
  <c r="G1424" i="57"/>
  <c r="AB518" i="41"/>
  <c r="AB534" i="41"/>
  <c r="AB536" i="41" s="1"/>
  <c r="U92" i="45"/>
  <c r="V92" i="45" s="1"/>
  <c r="X502" i="41"/>
  <c r="K92" i="45"/>
  <c r="L92" i="45" s="1"/>
  <c r="E1482" i="57"/>
  <c r="E1479" i="57" s="1"/>
  <c r="X518" i="41"/>
  <c r="X534" i="41"/>
  <c r="J95" i="45"/>
  <c r="D44" i="45"/>
  <c r="L503" i="41"/>
  <c r="L504" i="41"/>
  <c r="E1538" i="57" s="1"/>
  <c r="L534" i="41"/>
  <c r="L518" i="41"/>
  <c r="R536" i="41"/>
  <c r="K196" i="49"/>
  <c r="K198" i="49"/>
  <c r="K199" i="49" s="1"/>
  <c r="K200" i="49" s="1"/>
  <c r="K201" i="49" s="1"/>
  <c r="K202" i="49" s="1"/>
  <c r="K203" i="49" s="1"/>
  <c r="K204" i="49" s="1"/>
  <c r="K205" i="49" s="1"/>
  <c r="K206" i="49" s="1"/>
  <c r="K207" i="49" s="1"/>
  <c r="M161" i="40"/>
  <c r="K1489" i="57"/>
  <c r="E1473" i="57" s="1"/>
  <c r="C493" i="41"/>
  <c r="A93" i="45" s="1"/>
  <c r="L493" i="41" l="1"/>
  <c r="Z517" i="41"/>
  <c r="Z500" i="41"/>
  <c r="O493" i="41"/>
  <c r="P493" i="41" s="1"/>
  <c r="T518" i="41"/>
  <c r="T534" i="41"/>
  <c r="F1479" i="57"/>
  <c r="N534" i="41"/>
  <c r="N536" i="41" s="1"/>
  <c r="N518" i="41"/>
  <c r="N503" i="41"/>
  <c r="F1537" i="57" s="1"/>
  <c r="N504" i="41"/>
  <c r="F1538" i="57" s="1"/>
  <c r="F1534" i="57" s="1"/>
  <c r="P504" i="41"/>
  <c r="G1538" i="57" s="1"/>
  <c r="P503" i="41"/>
  <c r="G1537" i="57" s="1"/>
  <c r="P534" i="41"/>
  <c r="P536" i="41" s="1"/>
  <c r="P518" i="41"/>
  <c r="G1479" i="57"/>
  <c r="B20" i="45"/>
  <c r="L536" i="41"/>
  <c r="B44" i="45"/>
  <c r="F44" i="45"/>
  <c r="E1537" i="57"/>
  <c r="E1534" i="57" s="1"/>
  <c r="X520" i="41"/>
  <c r="U93" i="45"/>
  <c r="V93" i="45" s="1"/>
  <c r="K93" i="45"/>
  <c r="L93" i="45" s="1"/>
  <c r="L521" i="41"/>
  <c r="L522" i="41"/>
  <c r="E1593" i="57" s="1"/>
  <c r="X536" i="41"/>
  <c r="V20" i="45"/>
  <c r="K211" i="49"/>
  <c r="K212" i="49" s="1"/>
  <c r="K213" i="49" s="1"/>
  <c r="K214" i="49" s="1"/>
  <c r="K215" i="49" s="1"/>
  <c r="K216" i="49" s="1"/>
  <c r="K217" i="49" s="1"/>
  <c r="K218" i="49" s="1"/>
  <c r="K219" i="49" s="1"/>
  <c r="K220" i="49" s="1"/>
  <c r="K209" i="49"/>
  <c r="K1544" i="57"/>
  <c r="E1528" i="57" s="1"/>
  <c r="N161" i="40"/>
  <c r="C511" i="41"/>
  <c r="A94" i="45" s="1"/>
  <c r="L511" i="41" l="1"/>
  <c r="Z535" i="41"/>
  <c r="Z518" i="41"/>
  <c r="O511" i="41"/>
  <c r="P511" i="41" s="1"/>
  <c r="N522" i="41"/>
  <c r="F1593" i="57" s="1"/>
  <c r="N521" i="41"/>
  <c r="F1592" i="57" s="1"/>
  <c r="N539" i="41"/>
  <c r="N540" i="41"/>
  <c r="T536" i="41"/>
  <c r="L20" i="45"/>
  <c r="P521" i="41"/>
  <c r="G1592" i="57" s="1"/>
  <c r="P522" i="41"/>
  <c r="G1593" i="57" s="1"/>
  <c r="P540" i="41"/>
  <c r="P539" i="41"/>
  <c r="G1534" i="57"/>
  <c r="E1592" i="57"/>
  <c r="E1589" i="57" s="1"/>
  <c r="X538" i="41"/>
  <c r="U94" i="45"/>
  <c r="V94" i="45" s="1"/>
  <c r="K94" i="45"/>
  <c r="L94" i="45" s="1"/>
  <c r="L539" i="41"/>
  <c r="L540" i="41"/>
  <c r="K224" i="49"/>
  <c r="K225" i="49" s="1"/>
  <c r="K226" i="49" s="1"/>
  <c r="K227" i="49" s="1"/>
  <c r="K228" i="49" s="1"/>
  <c r="K229" i="49" s="1"/>
  <c r="K230" i="49" s="1"/>
  <c r="K231" i="49" s="1"/>
  <c r="K232" i="49" s="1"/>
  <c r="K233" i="49" s="1"/>
  <c r="K222" i="49"/>
  <c r="C529" i="41"/>
  <c r="A95" i="45" s="1"/>
  <c r="K1599" i="57"/>
  <c r="V35" i="45" l="1"/>
  <c r="Z536" i="41"/>
  <c r="O529" i="41"/>
  <c r="P529" i="41" s="1"/>
  <c r="L529" i="41"/>
  <c r="G1589" i="57"/>
  <c r="F1647" i="57"/>
  <c r="G53" i="45"/>
  <c r="F53" i="45" s="1"/>
  <c r="F1646" i="57"/>
  <c r="D42" i="45"/>
  <c r="F1589" i="57"/>
  <c r="D43" i="45"/>
  <c r="G1646" i="57"/>
  <c r="G1647" i="57"/>
  <c r="G54" i="45"/>
  <c r="F54" i="45" s="1"/>
  <c r="G52" i="45"/>
  <c r="F52" i="45" s="1"/>
  <c r="E1647" i="57"/>
  <c r="O547" i="41"/>
  <c r="P547" i="41" s="1"/>
  <c r="E1646" i="57"/>
  <c r="L547" i="41"/>
  <c r="D41" i="45"/>
  <c r="X44" i="45"/>
  <c r="U95" i="45"/>
  <c r="V95" i="45" s="1"/>
  <c r="K95" i="45"/>
  <c r="L95" i="45" s="1"/>
  <c r="E244" i="49"/>
  <c r="E245" i="49" s="1"/>
  <c r="E246" i="49" s="1"/>
  <c r="E247" i="49" s="1"/>
  <c r="E248" i="49" s="1"/>
  <c r="E249" i="49" s="1"/>
  <c r="E250" i="49" s="1"/>
  <c r="E251" i="49" s="1"/>
  <c r="E252" i="49" s="1"/>
  <c r="E253" i="49" s="1"/>
  <c r="K235" i="49"/>
  <c r="E1583" i="57"/>
  <c r="E1637" i="57"/>
  <c r="F42" i="45" l="1"/>
  <c r="D53" i="45"/>
  <c r="B42" i="45"/>
  <c r="B53" i="45" s="1"/>
  <c r="F1643" i="57"/>
  <c r="G1643" i="57"/>
  <c r="F43" i="45"/>
  <c r="D54" i="45"/>
  <c r="B43" i="45"/>
  <c r="B54" i="45" s="1"/>
  <c r="F41" i="45"/>
  <c r="B41" i="45"/>
  <c r="B52" i="45" s="1"/>
  <c r="D52" i="45"/>
  <c r="Z44" i="45"/>
  <c r="V44" i="45"/>
  <c r="E1643" i="57"/>
  <c r="E255" i="49"/>
  <c r="E257" i="49"/>
  <c r="E258" i="49" s="1"/>
  <c r="E259" i="49" s="1"/>
  <c r="E260" i="49" s="1"/>
  <c r="E261" i="49" s="1"/>
  <c r="E262" i="49" s="1"/>
  <c r="E263" i="49" s="1"/>
  <c r="E264" i="49" s="1"/>
  <c r="E265" i="49" s="1"/>
  <c r="E266" i="49" s="1"/>
  <c r="E268" i="49" l="1"/>
  <c r="E270" i="49"/>
  <c r="E271" i="49" s="1"/>
  <c r="E272" i="49" s="1"/>
  <c r="E273" i="49" s="1"/>
  <c r="E274" i="49" s="1"/>
  <c r="E275" i="49" s="1"/>
  <c r="E276" i="49" s="1"/>
  <c r="E277" i="49" s="1"/>
  <c r="E278" i="49" s="1"/>
  <c r="E279" i="49" s="1"/>
  <c r="E281" i="49" l="1"/>
  <c r="E283" i="49"/>
  <c r="E284" i="49" s="1"/>
  <c r="E285" i="49" s="1"/>
  <c r="E286" i="49" s="1"/>
  <c r="E287" i="49" s="1"/>
  <c r="E288" i="49" s="1"/>
  <c r="E289" i="49" s="1"/>
  <c r="E290" i="49" s="1"/>
  <c r="E291" i="49" s="1"/>
  <c r="E292" i="49" s="1"/>
  <c r="E294" i="49" l="1"/>
  <c r="K244" i="49"/>
  <c r="K245" i="49" s="1"/>
  <c r="K246" i="49" s="1"/>
  <c r="K247" i="49" s="1"/>
  <c r="K248" i="49" s="1"/>
  <c r="K249" i="49" s="1"/>
  <c r="K250" i="49" s="1"/>
  <c r="K251" i="49" s="1"/>
  <c r="K252" i="49" s="1"/>
  <c r="K253" i="49" s="1"/>
  <c r="K255" i="49" l="1"/>
  <c r="K257" i="49"/>
  <c r="K258" i="49" s="1"/>
  <c r="K259" i="49" s="1"/>
  <c r="K260" i="49" s="1"/>
  <c r="K261" i="49" s="1"/>
  <c r="K262" i="49" s="1"/>
  <c r="K263" i="49" s="1"/>
  <c r="K264" i="49" s="1"/>
  <c r="K265" i="49" s="1"/>
  <c r="K266" i="49" s="1"/>
  <c r="K270" i="49" l="1"/>
  <c r="K271" i="49" s="1"/>
  <c r="K272" i="49" s="1"/>
  <c r="K273" i="49" s="1"/>
  <c r="K274" i="49" s="1"/>
  <c r="K275" i="49" s="1"/>
  <c r="K276" i="49" s="1"/>
  <c r="K277" i="49" s="1"/>
  <c r="K278" i="49" s="1"/>
  <c r="K279" i="49" s="1"/>
  <c r="K268" i="49"/>
  <c r="K281" i="49" l="1"/>
  <c r="K283" i="49"/>
  <c r="K284" i="49" s="1"/>
  <c r="K285" i="49" s="1"/>
  <c r="K286" i="49" s="1"/>
  <c r="K287" i="49" s="1"/>
  <c r="K288" i="49" s="1"/>
  <c r="K289" i="49" s="1"/>
  <c r="K290" i="49" s="1"/>
  <c r="K291" i="49" s="1"/>
  <c r="K292" i="49" s="1"/>
  <c r="K294"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Rick Johnson</author>
  </authors>
  <commentList>
    <comment ref="C5" authorId="0" shapeId="0" xr:uid="{7DA87EB4-FCFC-40DD-8EFE-E85E346EC488}">
      <text>
        <r>
          <rPr>
            <sz val="8"/>
            <color indexed="81"/>
            <rFont val="Tahoma"/>
            <family val="2"/>
          </rPr>
          <t xml:space="preserve">Enter the name of the oil company, and if it is in the Register, the address and phone number will populate automatically.  If not, please enter the details in the register, then it will populate automatically.
</t>
        </r>
      </text>
    </comment>
    <comment ref="F163" authorId="0" shapeId="0" xr:uid="{59245D2F-81CC-44F2-879F-66229026481D}">
      <text>
        <r>
          <rPr>
            <b/>
            <sz val="8"/>
            <color indexed="81"/>
            <rFont val="Tahoma"/>
            <family val="2"/>
          </rPr>
          <t xml:space="preserve">Enter a positive number for TENSION, a negative number for COMPRESSION
</t>
        </r>
        <r>
          <rPr>
            <sz val="8"/>
            <color indexed="81"/>
            <rFont val="Tahoma"/>
            <family val="2"/>
          </rPr>
          <t xml:space="preserve">
</t>
        </r>
      </text>
    </comment>
    <comment ref="C174" authorId="0" shapeId="0" xr:uid="{0EE1A097-F63C-49F5-8F9C-D96459CCC686}">
      <text>
        <r>
          <rPr>
            <b/>
            <sz val="8"/>
            <color indexed="81"/>
            <rFont val="Tahoma"/>
            <family val="2"/>
          </rPr>
          <t>These fields will populate automatically if the company is in the Register.</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 Johnson</author>
    <author>Rick Johnson</author>
  </authors>
  <commentList>
    <comment ref="M40" authorId="0" shapeId="0" xr:uid="{31F56DE3-E069-4619-8ACC-2BD9A25E4ADB}">
      <text>
        <r>
          <rPr>
            <b/>
            <sz val="8"/>
            <color indexed="81"/>
            <rFont val="Tahoma"/>
            <family val="2"/>
          </rPr>
          <t>Place an x in the box that best describes the pump.</t>
        </r>
        <r>
          <rPr>
            <sz val="8"/>
            <color indexed="81"/>
            <rFont val="Tahoma"/>
            <family val="2"/>
          </rPr>
          <t xml:space="preserve">
</t>
        </r>
      </text>
    </comment>
    <comment ref="H68" authorId="1" shapeId="0" xr:uid="{285776E2-6191-4B41-86DC-89821ACC8E1F}">
      <text>
        <r>
          <rPr>
            <b/>
            <sz val="8"/>
            <color indexed="81"/>
            <rFont val="Tahoma"/>
            <family val="2"/>
          </rPr>
          <t>Don't enter anything in fields of yellow.  Kay?</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Richard Johnson</author>
  </authors>
  <commentList>
    <comment ref="L17" authorId="0" shapeId="0" xr:uid="{A39B6876-8732-4867-BA0E-94566B9807EE}">
      <text>
        <r>
          <rPr>
            <b/>
            <sz val="8"/>
            <color indexed="81"/>
            <rFont val="Tahoma"/>
            <family val="2"/>
          </rPr>
          <t>Costs are entered in the Cost Control Sheet.  Once they are put there, the items will magically appear here under contractor, and will also be coded for your shopping convenience!</t>
        </r>
        <r>
          <rPr>
            <sz val="8"/>
            <color indexed="81"/>
            <rFont val="Tahoma"/>
            <family val="2"/>
          </rPr>
          <t xml:space="preserve">
</t>
        </r>
      </text>
    </comment>
    <comment ref="L72" authorId="0" shapeId="0" xr:uid="{D97E5715-A4A9-4A80-BACE-2E7B4C27E2EC}">
      <text>
        <r>
          <rPr>
            <b/>
            <sz val="8"/>
            <color indexed="81"/>
            <rFont val="Tahoma"/>
            <family val="2"/>
          </rPr>
          <t>Costs are entered in the Cost Control Sheet.  Once they are put there, the items will magically appear here under contractor, and will also be coded for your shopping convenience!</t>
        </r>
        <r>
          <rPr>
            <sz val="8"/>
            <color indexed="81"/>
            <rFont val="Tahoma"/>
            <family val="2"/>
          </rPr>
          <t xml:space="preserve">
</t>
        </r>
      </text>
    </comment>
  </commentList>
</comments>
</file>

<file path=xl/sharedStrings.xml><?xml version="1.0" encoding="utf-8"?>
<sst xmlns="http://schemas.openxmlformats.org/spreadsheetml/2006/main" count="6679" uniqueCount="1619">
  <si>
    <t>Leak off pressure Gradient</t>
  </si>
  <si>
    <t>m3/d (if flow not measured, fill in TSTM)</t>
  </si>
  <si>
    <t>Stabilized build up pressure</t>
  </si>
  <si>
    <t xml:space="preserve">KPa </t>
  </si>
  <si>
    <t>Duration</t>
  </si>
  <si>
    <t>hrs</t>
  </si>
  <si>
    <t>Source of Flow</t>
  </si>
  <si>
    <t>m(depth)</t>
  </si>
  <si>
    <t>Determined by (log type, etc.)</t>
  </si>
  <si>
    <t>Groundwater information:</t>
  </si>
  <si>
    <t>Depth of Usable Water Aquifers</t>
  </si>
  <si>
    <t>m (depth)</t>
  </si>
  <si>
    <t>Nearest Water Well</t>
  </si>
  <si>
    <t>km</t>
  </si>
  <si>
    <t>Tested by</t>
  </si>
  <si>
    <t>PLEASE PRINT NAME</t>
  </si>
  <si>
    <t>SIGNATURE</t>
  </si>
  <si>
    <t xml:space="preserve">    (Surface Casing Vent Flow/Gas Migration continued on next page)</t>
  </si>
  <si>
    <r>
      <t>7</t>
    </r>
    <r>
      <rPr>
        <sz val="6"/>
        <rFont val="Arial"/>
        <family val="2"/>
      </rPr>
      <t>. BOP'S FUNCTION TESTED DAILY?</t>
    </r>
  </si>
  <si>
    <r>
      <t>4</t>
    </r>
    <r>
      <rPr>
        <sz val="6"/>
        <rFont val="Arial"/>
        <family val="2"/>
      </rPr>
      <t>.*KILL, BLEED-OFF LINES PROPERLY SECURED?</t>
    </r>
  </si>
  <si>
    <r>
      <t>8</t>
    </r>
    <r>
      <rPr>
        <sz val="6"/>
        <rFont val="Arial"/>
        <family val="2"/>
      </rPr>
      <t>.*NITROGEN BOTTLE(S) BACK-UP PROVIDED?</t>
    </r>
  </si>
  <si>
    <r>
      <t>5</t>
    </r>
    <r>
      <rPr>
        <sz val="6"/>
        <rFont val="Arial"/>
        <family val="2"/>
      </rPr>
      <t>. BLEED-OFF LINE CONNECTED TO WELL-HEAD</t>
    </r>
  </si>
  <si>
    <r>
      <t>9</t>
    </r>
    <r>
      <rPr>
        <sz val="6"/>
        <rFont val="Arial"/>
        <family val="2"/>
      </rPr>
      <t>.*NITROGEN BOTTLE(S) PROPERLY CONNECTED TO CONTROL</t>
    </r>
  </si>
  <si>
    <r>
      <t>6</t>
    </r>
    <r>
      <rPr>
        <sz val="6"/>
        <rFont val="Arial"/>
        <family val="2"/>
      </rPr>
      <t xml:space="preserve">. KILL OR BLEED-OFF LINE CONNECTED TO TANK OR </t>
    </r>
  </si>
  <si>
    <r>
      <t>10</t>
    </r>
    <r>
      <rPr>
        <sz val="6"/>
        <rFont val="Arial"/>
        <family val="2"/>
      </rPr>
      <t>.*GAUGES AND / OR FITTINGS AVAILABLE FOR OBTAINING</t>
    </r>
  </si>
  <si>
    <r>
      <t>7</t>
    </r>
    <r>
      <rPr>
        <sz val="6"/>
        <rFont val="Arial"/>
        <family val="2"/>
      </rPr>
      <t>. MANIFOLD VALVES OPERATE PROPERLY?</t>
    </r>
  </si>
  <si>
    <r>
      <t>11</t>
    </r>
    <r>
      <rPr>
        <sz val="6"/>
        <rFont val="Arial"/>
        <family val="2"/>
      </rPr>
      <t>.*NITROGEN BOTTLE(S) GAUGE ACCURATE?</t>
    </r>
  </si>
  <si>
    <r>
      <t>8</t>
    </r>
    <r>
      <rPr>
        <sz val="6"/>
        <rFont val="Arial"/>
        <family val="2"/>
      </rPr>
      <t>. VALVE HANDLES ALL IN PLACE?</t>
    </r>
  </si>
  <si>
    <r>
      <t>12</t>
    </r>
    <r>
      <rPr>
        <sz val="6"/>
        <rFont val="Arial"/>
        <family val="2"/>
      </rPr>
      <t>.*NITROGEN BOTTLE VOLUME ADEQUATE (SEE CHARTS)?</t>
    </r>
  </si>
  <si>
    <r>
      <t>9</t>
    </r>
    <r>
      <rPr>
        <sz val="6"/>
        <rFont val="Arial"/>
        <family val="2"/>
      </rPr>
      <t>. PROPER  MANIFOLD DESIGN?</t>
    </r>
  </si>
  <si>
    <r>
      <t>13</t>
    </r>
    <r>
      <rPr>
        <sz val="6"/>
        <rFont val="Arial"/>
        <family val="2"/>
      </rPr>
      <t>.*RECHARGE PUMP CONNECTED AND OPERABLE?</t>
    </r>
  </si>
  <si>
    <r>
      <t>10</t>
    </r>
    <r>
      <rPr>
        <sz val="6"/>
        <rFont val="Arial"/>
        <family val="2"/>
      </rPr>
      <t>. KILL, BLEED-OFF LINES PROPERLY POSITIONED IN</t>
    </r>
  </si>
  <si>
    <r>
      <t>14</t>
    </r>
    <r>
      <rPr>
        <sz val="6"/>
        <rFont val="Arial"/>
        <family val="2"/>
      </rPr>
      <t>.*ANNULAR AND RAM PREVENTER SEALS FREE OF LEAKS?</t>
    </r>
  </si>
  <si>
    <t>THIS MACRO WILL TAKE YA TO A NEW NEATO KEEN SHEET!</t>
  </si>
  <si>
    <r>
      <t>11</t>
    </r>
    <r>
      <rPr>
        <sz val="6"/>
        <rFont val="Arial"/>
        <family val="2"/>
      </rPr>
      <t>. KILL, BLEED-OFF LINES, MANIFOLD PROPER SIZE?</t>
    </r>
  </si>
  <si>
    <r>
      <t>15</t>
    </r>
    <r>
      <rPr>
        <sz val="6"/>
        <rFont val="Arial"/>
        <family val="2"/>
      </rPr>
      <t>.*HYDRAULIC LINES PROPER PRESSURE RATING?</t>
    </r>
  </si>
  <si>
    <r>
      <t>12</t>
    </r>
    <r>
      <rPr>
        <sz val="6"/>
        <rFont val="Arial"/>
        <family val="2"/>
      </rPr>
      <t>. SHOCK HOSES PROTECTED FROM DAMAGE?</t>
    </r>
  </si>
  <si>
    <r>
      <t>16</t>
    </r>
    <r>
      <rPr>
        <sz val="6"/>
        <rFont val="Arial"/>
        <family val="2"/>
      </rPr>
      <t>.*BOP CONTROL FUNCTIONS CLEARLY MARKED?</t>
    </r>
  </si>
  <si>
    <r>
      <t>13</t>
    </r>
    <r>
      <rPr>
        <sz val="6"/>
        <rFont val="Arial"/>
        <family val="2"/>
      </rPr>
      <t>. BOLTS FOR KILL &amp; BLEED-OFF LINE FLANGES ALL</t>
    </r>
  </si>
  <si>
    <r>
      <t>17</t>
    </r>
    <r>
      <rPr>
        <sz val="6"/>
        <rFont val="Arial"/>
        <family val="2"/>
      </rPr>
      <t>.*HYDRAULIC SYSTEM FREE OF LEAKS(ABLE TO OPERATE BOPS)?</t>
    </r>
  </si>
  <si>
    <r>
      <t>14</t>
    </r>
    <r>
      <rPr>
        <sz val="6"/>
        <rFont val="Arial"/>
        <family val="2"/>
      </rPr>
      <t>. SHOCK HOSES SHOP SERVICED IN 3-YEAR CYCLE?</t>
    </r>
  </si>
  <si>
    <r>
      <t>18</t>
    </r>
    <r>
      <rPr>
        <sz val="6"/>
        <rFont val="Arial"/>
        <family val="2"/>
      </rPr>
      <t>.*NO FLUID BY-PASS THROUGH CONTROLS(ABLE TO OPERATE</t>
    </r>
  </si>
  <si>
    <r>
      <t>15</t>
    </r>
    <r>
      <rPr>
        <sz val="6"/>
        <rFont val="Arial"/>
        <family val="2"/>
      </rPr>
      <t>. SURFACE LINES ADEQUATELY PRESSURE TESTED?</t>
    </r>
  </si>
  <si>
    <r>
      <t>19</t>
    </r>
    <r>
      <rPr>
        <sz val="6"/>
        <rFont val="Arial"/>
        <family val="2"/>
      </rPr>
      <t>. ACCUMULATOR RETAINED MIN. 8400 kPa AFTER CLOSING ALL</t>
    </r>
  </si>
  <si>
    <r>
      <t>20</t>
    </r>
    <r>
      <rPr>
        <sz val="6"/>
        <rFont val="Arial"/>
        <family val="2"/>
      </rPr>
      <t>.*CLOSING DEVICE (CRANKS) AVAILABLE FOR ROD PREVENTERS?</t>
    </r>
  </si>
  <si>
    <r>
      <t>1</t>
    </r>
    <r>
      <rPr>
        <sz val="6"/>
        <rFont val="Arial"/>
        <family val="2"/>
      </rPr>
      <t>.HYDRAULIC LINES WITHIN 7 M. OF WELL COMPLETELY</t>
    </r>
  </si>
  <si>
    <r>
      <t>21</t>
    </r>
    <r>
      <rPr>
        <sz val="6"/>
        <rFont val="Arial"/>
        <family val="2"/>
      </rPr>
      <t xml:space="preserve">. BOP CLOSING HANDWHEELS AVAILABLE AND CORRECTLY </t>
    </r>
  </si>
  <si>
    <r>
      <t>1</t>
    </r>
    <r>
      <rPr>
        <sz val="6"/>
        <rFont val="Arial"/>
        <family val="2"/>
      </rPr>
      <t>.*STABBING VALVE READILY ACCESSIBLE AND OPERATIVE?</t>
    </r>
  </si>
  <si>
    <r>
      <t>22</t>
    </r>
    <r>
      <rPr>
        <sz val="6"/>
        <rFont val="Arial"/>
        <family val="2"/>
      </rPr>
      <t>. RECHARGE, PUMP RECHARGES ACCUMULATOR WITHIN 5 MIN?</t>
    </r>
  </si>
  <si>
    <r>
      <t>2</t>
    </r>
    <r>
      <rPr>
        <sz val="6"/>
        <rFont val="Arial"/>
        <family val="2"/>
      </rPr>
      <t>.*STABBING VALVE HANDLE READILY ACCESSIBLE?</t>
    </r>
  </si>
  <si>
    <r>
      <t>23</t>
    </r>
    <r>
      <rPr>
        <sz val="6"/>
        <rFont val="Arial"/>
        <family val="2"/>
      </rPr>
      <t xml:space="preserve">. FITTING AND GAUGE AVAILABLE TO OBTAIN ACCUMULATOR </t>
    </r>
  </si>
  <si>
    <r>
      <t>3</t>
    </r>
    <r>
      <rPr>
        <sz val="6"/>
        <rFont val="Arial"/>
        <family val="2"/>
      </rPr>
      <t>.*WORK STRING CROSS-OVER SUB READILY ACCESSIBLE?</t>
    </r>
  </si>
  <si>
    <r>
      <t>24</t>
    </r>
    <r>
      <rPr>
        <sz val="6"/>
        <rFont val="Arial"/>
        <family val="2"/>
      </rPr>
      <t>. CHECK VALVE PROPERLY INSTALLED BETWEEN ACCUMULATOR</t>
    </r>
  </si>
  <si>
    <r>
      <t>4</t>
    </r>
    <r>
      <rPr>
        <sz val="6"/>
        <rFont val="Arial"/>
        <family val="2"/>
      </rPr>
      <t>.*STABBING VALVE IN OPEN POSITION?</t>
    </r>
  </si>
  <si>
    <r>
      <t>25</t>
    </r>
    <r>
      <rPr>
        <sz val="6"/>
        <rFont val="Arial"/>
        <family val="2"/>
      </rPr>
      <t>. HYDRAULIC HOSES PROTECTED FROM DAMAGE?</t>
    </r>
  </si>
  <si>
    <r>
      <t>5</t>
    </r>
    <r>
      <rPr>
        <sz val="6"/>
        <rFont val="Arial"/>
        <family val="2"/>
      </rPr>
      <t>.*STABBING VALVE FULL OPENING?</t>
    </r>
  </si>
  <si>
    <r>
      <t>26</t>
    </r>
    <r>
      <rPr>
        <sz val="6"/>
        <rFont val="Arial"/>
        <family val="2"/>
      </rPr>
      <t xml:space="preserve">. REMOTE CONTROLS LOCATED MIN. 7 M. FROM WELL </t>
    </r>
  </si>
  <si>
    <r>
      <t>6</t>
    </r>
    <r>
      <rPr>
        <sz val="6"/>
        <rFont val="Arial"/>
        <family val="2"/>
      </rPr>
      <t>.*STABBING VALVE NOT LEAKING? (AFTER PRESSURE TEST)</t>
    </r>
  </si>
  <si>
    <r>
      <t>27</t>
    </r>
    <r>
      <rPr>
        <sz val="6"/>
        <rFont val="Arial"/>
        <family val="2"/>
      </rPr>
      <t>. PREVENTERS CLOSE WITHIN REGULATION TIMES (RAMS 30 SEC.,</t>
    </r>
  </si>
  <si>
    <r>
      <t>7</t>
    </r>
    <r>
      <rPr>
        <sz val="6"/>
        <rFont val="Arial"/>
        <family val="2"/>
      </rPr>
      <t>. STABBING VALVE AND CROSS-OVER SUB THREADS</t>
    </r>
  </si>
  <si>
    <t>COST CONTROL</t>
  </si>
  <si>
    <t>COST SUMMARY</t>
  </si>
  <si>
    <t>Code</t>
  </si>
  <si>
    <t>AFE No:</t>
  </si>
  <si>
    <r>
      <t>28</t>
    </r>
    <r>
      <rPr>
        <sz val="6"/>
        <rFont val="Arial"/>
        <family val="2"/>
      </rPr>
      <t>. BOP - FLANGE BOLTS ALL IN PLACE?</t>
    </r>
  </si>
  <si>
    <r>
      <t>8</t>
    </r>
    <r>
      <rPr>
        <sz val="6"/>
        <rFont val="Arial"/>
        <family val="2"/>
      </rPr>
      <t>. STABBING VALVE PROPER SIZE?</t>
    </r>
  </si>
  <si>
    <r>
      <t>1</t>
    </r>
    <r>
      <rPr>
        <sz val="6"/>
        <rFont val="Arial"/>
        <family val="2"/>
      </rPr>
      <t>. LINE FROM MANIFOLD TO DEGASSER PROPERLY</t>
    </r>
  </si>
  <si>
    <r>
      <t>1</t>
    </r>
    <r>
      <rPr>
        <sz val="6"/>
        <rFont val="Arial"/>
        <family val="2"/>
      </rPr>
      <t>. CRUDE OIL STORAGE 50m FROM WELLBORE?</t>
    </r>
  </si>
  <si>
    <r>
      <t>2</t>
    </r>
    <r>
      <rPr>
        <sz val="6"/>
        <rFont val="Arial"/>
        <family val="2"/>
      </rPr>
      <t>. DEGASSER OUTLET LINE MIN. 25mm LARGER THAN</t>
    </r>
  </si>
  <si>
    <r>
      <t>2</t>
    </r>
    <r>
      <rPr>
        <sz val="6"/>
        <rFont val="Arial"/>
        <family val="2"/>
      </rPr>
      <t>. WEEKLY CHECKS BY CONTRACTOR AND OPERATOR RECORDED WITH</t>
    </r>
  </si>
  <si>
    <r>
      <t>1</t>
    </r>
    <r>
      <rPr>
        <sz val="6"/>
        <rFont val="Arial"/>
        <family val="2"/>
      </rPr>
      <t>. CREW TRAINING ADEQUATE?</t>
    </r>
  </si>
  <si>
    <r>
      <t>2</t>
    </r>
    <r>
      <rPr>
        <sz val="6"/>
        <rFont val="Arial"/>
        <family val="2"/>
      </rPr>
      <t>. CREW DRILLS BEING PERFORMED AS PER COMPANY</t>
    </r>
  </si>
  <si>
    <r>
      <t>1</t>
    </r>
    <r>
      <rPr>
        <sz val="6"/>
        <rFont val="Arial"/>
        <family val="2"/>
      </rPr>
      <t xml:space="preserve">. PUMPS ARE EQUIPPED WITH PRESSURE RELIEF DEVICES? </t>
    </r>
  </si>
  <si>
    <r>
      <t>3</t>
    </r>
    <r>
      <rPr>
        <sz val="6"/>
        <rFont val="Arial"/>
        <family val="2"/>
      </rPr>
      <t>. CREW DRILLS RECORDED IN DAILY LOG?</t>
    </r>
  </si>
  <si>
    <r>
      <t>2</t>
    </r>
    <r>
      <rPr>
        <sz val="6"/>
        <rFont val="Arial"/>
        <family val="2"/>
      </rPr>
      <t>. PRESSURE RELIEF VALVES ARE PROPERLY GUARDED?</t>
    </r>
  </si>
  <si>
    <r>
      <t>1</t>
    </r>
    <r>
      <rPr>
        <sz val="6"/>
        <rFont val="Arial"/>
        <family val="2"/>
      </rPr>
      <t>. TOOLPUSH ON LOCATION WITH VALID BOP CERTIFICATE?</t>
    </r>
  </si>
  <si>
    <r>
      <t>3</t>
    </r>
    <r>
      <rPr>
        <sz val="6"/>
        <rFont val="Arial"/>
        <family val="2"/>
      </rPr>
      <t>. DISCHARGE FROM PRESSURE RELIEF DEVICES ADEQUATELY SECURED</t>
    </r>
  </si>
  <si>
    <r>
      <t>2</t>
    </r>
    <r>
      <rPr>
        <sz val="6"/>
        <rFont val="Arial"/>
        <family val="2"/>
      </rPr>
      <t>. SUPERVISOR HAS VALID BOP CERTIFICATE?</t>
    </r>
  </si>
  <si>
    <r>
      <t>4</t>
    </r>
    <r>
      <rPr>
        <sz val="6"/>
        <rFont val="Arial"/>
        <family val="2"/>
      </rPr>
      <t>. CHECK VALVE INSTALLED BETWEEN PUMP AND WELLHEAD?</t>
    </r>
  </si>
  <si>
    <r>
      <t>3</t>
    </r>
    <r>
      <rPr>
        <sz val="6"/>
        <rFont val="Arial"/>
        <family val="2"/>
      </rPr>
      <t>. DRILLER HAS VALID BOP CERTIFICATE ON LOCATION?</t>
    </r>
  </si>
  <si>
    <r>
      <t>1</t>
    </r>
    <r>
      <rPr>
        <sz val="6"/>
        <rFont val="Arial"/>
        <family val="2"/>
      </rPr>
      <t>. TRAVELLING BLOCKS EQUIPPED WITH SHEAVE GUARDS?</t>
    </r>
  </si>
  <si>
    <r>
      <t>1</t>
    </r>
    <r>
      <rPr>
        <sz val="6"/>
        <rFont val="Arial"/>
        <family val="2"/>
      </rPr>
      <t>. FLAME TYPE EQUIPMENT MIN. 25m FROM WELL BORE?</t>
    </r>
  </si>
  <si>
    <r>
      <t>2</t>
    </r>
    <r>
      <rPr>
        <sz val="6"/>
        <rFont val="Arial"/>
        <family val="2"/>
      </rPr>
      <t>. RIG IS EQUIPPED WITH WEIGHT INDICATOR SECURED BY SAFETY LINE</t>
    </r>
  </si>
  <si>
    <r>
      <t>1</t>
    </r>
    <r>
      <rPr>
        <sz val="6"/>
        <rFont val="Arial"/>
        <family val="2"/>
      </rPr>
      <t>. SMOKING IS PROHIBITED WITHIN 25m OF WELL BORE,</t>
    </r>
  </si>
  <si>
    <r>
      <t>1</t>
    </r>
    <r>
      <rPr>
        <sz val="6"/>
        <rFont val="Arial"/>
        <family val="2"/>
      </rPr>
      <t>. MATERIAL SAFETY DATA SHEETS ARE READILY ACCESSIBLE FOR ALL</t>
    </r>
  </si>
  <si>
    <r>
      <t>2</t>
    </r>
    <r>
      <rPr>
        <sz val="6"/>
        <rFont val="Arial"/>
        <family val="2"/>
      </rPr>
      <t>. WORKERS ARE PROVIDED WITH AND USE APPROPRIATE SKIN AND EYE</t>
    </r>
  </si>
  <si>
    <r>
      <t>1</t>
    </r>
    <r>
      <rPr>
        <sz val="6"/>
        <rFont val="Arial"/>
        <family val="2"/>
      </rPr>
      <t>. LEGIBLE WARNING SIGNS POSTED ON SOUR WELLS?</t>
    </r>
  </si>
  <si>
    <r>
      <t>1</t>
    </r>
    <r>
      <rPr>
        <sz val="6"/>
        <rFont val="Arial"/>
        <family val="2"/>
      </rPr>
      <t>. PRESSURE TESTS RECORDED IN DAILY LOG?</t>
    </r>
  </si>
  <si>
    <r>
      <t>1</t>
    </r>
    <r>
      <rPr>
        <sz val="6"/>
        <rFont val="Arial"/>
        <family val="2"/>
      </rPr>
      <t>. WHERE CORROSIVE OR OTHER CHEMICALS HARMFUL TO THE EYE OR</t>
    </r>
  </si>
  <si>
    <r>
      <t>2</t>
    </r>
    <r>
      <rPr>
        <sz val="6"/>
        <rFont val="Arial"/>
        <family val="2"/>
      </rPr>
      <t>. PRESSURE TEST DATA COMPLETE?</t>
    </r>
  </si>
  <si>
    <r>
      <t>2</t>
    </r>
    <r>
      <rPr>
        <sz val="6"/>
        <rFont val="Arial"/>
        <family val="2"/>
      </rPr>
      <t>. NOTICE TO WORKERS PLACARDS APPROPRIATE TO THE INDUSTRY</t>
    </r>
  </si>
  <si>
    <r>
      <t>3</t>
    </r>
    <r>
      <rPr>
        <sz val="6"/>
        <rFont val="Arial"/>
        <family val="2"/>
      </rPr>
      <t>. LOW PRESSURE TEST CONDUCTED PRIOR TO HIGH</t>
    </r>
  </si>
  <si>
    <r>
      <t>3</t>
    </r>
    <r>
      <rPr>
        <sz val="6"/>
        <rFont val="Arial"/>
        <family val="2"/>
      </rPr>
      <t>. OH&amp;S REGULATIONS ARE AVAILABLE ON LOCATION?</t>
    </r>
  </si>
  <si>
    <r>
      <t>4</t>
    </r>
    <r>
      <rPr>
        <sz val="6"/>
        <rFont val="Arial"/>
        <family val="2"/>
      </rPr>
      <t>. PROPER TEST PRESSURE USED?</t>
    </r>
  </si>
  <si>
    <r>
      <t>4</t>
    </r>
    <r>
      <rPr>
        <sz val="6"/>
        <rFont val="Arial"/>
        <family val="2"/>
      </rPr>
      <t>. WORK AREAS ARE FREE OF SLIPPING AND TRIPPING HAZARDS?</t>
    </r>
  </si>
  <si>
    <r>
      <t>5</t>
    </r>
    <r>
      <rPr>
        <sz val="6"/>
        <rFont val="Arial"/>
        <family val="2"/>
      </rPr>
      <t>. LOW VISCOSITY PRESSURE TEST FLUID USED?</t>
    </r>
  </si>
  <si>
    <r>
      <t>5</t>
    </r>
    <r>
      <rPr>
        <sz val="6"/>
        <rFont val="Arial"/>
        <family val="2"/>
      </rPr>
      <t>. FLOORS, PLATFORMS, STAIRS, AND WALKWAYS ARE KEPT IN A STATE</t>
    </r>
  </si>
  <si>
    <r>
      <t>6</t>
    </r>
    <r>
      <rPr>
        <sz val="6"/>
        <rFont val="Arial"/>
        <family val="2"/>
      </rPr>
      <t>. PRESSURE TEST MIN. 10 minute DURATION?</t>
    </r>
  </si>
  <si>
    <t>ADD PREVIOUS CUM. COSTS</t>
  </si>
  <si>
    <r>
      <t>6</t>
    </r>
    <r>
      <rPr>
        <sz val="6"/>
        <rFont val="Arial"/>
        <family val="2"/>
      </rPr>
      <t>. HARD HATS, WINTER LINERS, GOGGLES, AND SAFETY SHOES ARE</t>
    </r>
  </si>
  <si>
    <r>
      <t>1</t>
    </r>
    <r>
      <rPr>
        <sz val="6"/>
        <rFont val="Arial"/>
        <family val="2"/>
      </rPr>
      <t>. COMPLETE DESCRIPTION OF FUNCTION TESTS RECORDED</t>
    </r>
  </si>
  <si>
    <r>
      <t>7</t>
    </r>
    <r>
      <rPr>
        <sz val="6"/>
        <rFont val="Arial"/>
        <family val="2"/>
      </rPr>
      <t>. ALL MOVING PARTS ARE ADEQUATELY GUARDED?</t>
    </r>
  </si>
  <si>
    <r>
      <t>8</t>
    </r>
    <r>
      <rPr>
        <sz val="6"/>
        <rFont val="Arial"/>
        <family val="2"/>
      </rPr>
      <t>. A SAFETY BELT, COMPLETE WITH SHOULDER STRAPS IS PROVIDED</t>
    </r>
  </si>
  <si>
    <r>
      <t>1</t>
    </r>
    <r>
      <rPr>
        <sz val="6"/>
        <rFont val="Arial"/>
        <family val="2"/>
      </rPr>
      <t>. ENGINE SHUT OFF OPERATES ON FIRST ATTEMPT?</t>
    </r>
  </si>
  <si>
    <r>
      <t>9</t>
    </r>
    <r>
      <rPr>
        <sz val="6"/>
        <rFont val="Arial"/>
        <family val="2"/>
      </rPr>
      <t>. RIG IS EQUIPPED WITH MIN. OF 4 WORKABLE 30 lb DRY CHEMICAL</t>
    </r>
  </si>
  <si>
    <r>
      <t>2</t>
    </r>
    <r>
      <rPr>
        <sz val="6"/>
        <rFont val="Arial"/>
        <family val="2"/>
      </rPr>
      <t>. ALL DIESEL ENGINES WITHIN 25m OF WELL BORE EQUIPPED</t>
    </r>
  </si>
  <si>
    <r>
      <t>10</t>
    </r>
    <r>
      <rPr>
        <sz val="6"/>
        <rFont val="Arial"/>
        <family val="2"/>
      </rPr>
      <t>. ESCAPE LINE AND BUGGY INSTALLED PROPERLY?</t>
    </r>
  </si>
  <si>
    <r>
      <t>3</t>
    </r>
    <r>
      <rPr>
        <sz val="6"/>
        <rFont val="Arial"/>
        <family val="2"/>
      </rPr>
      <t>. DIESEL ENGINE SHUT-OFF TESTS DONE AND RECORDED</t>
    </r>
  </si>
  <si>
    <r>
      <t>11</t>
    </r>
    <r>
      <rPr>
        <sz val="6"/>
        <rFont val="Arial"/>
        <family val="2"/>
      </rPr>
      <t>. ANCHORS INSTALLED AND PULL TESTED WITH CHART ON LOCATION?</t>
    </r>
  </si>
  <si>
    <r>
      <t>1</t>
    </r>
    <r>
      <rPr>
        <sz val="6"/>
        <rFont val="Arial"/>
        <family val="2"/>
      </rPr>
      <t>. TOOLPUSH HAS FIRST AID AND H2S ALERT CERTIFICATION?</t>
    </r>
  </si>
  <si>
    <r>
      <t>1</t>
    </r>
    <r>
      <rPr>
        <sz val="6"/>
        <rFont val="Arial"/>
        <family val="2"/>
      </rPr>
      <t>. ENGINE EXHAUSTS IN GOOD REPAIR?</t>
    </r>
  </si>
  <si>
    <r>
      <t>2</t>
    </r>
    <r>
      <rPr>
        <sz val="6"/>
        <rFont val="Arial"/>
        <family val="2"/>
      </rPr>
      <t>. DRILLER HAS FIRST AID AND H2S ALERT CERTIFICATION?</t>
    </r>
  </si>
  <si>
    <r>
      <t>2</t>
    </r>
    <r>
      <rPr>
        <sz val="6"/>
        <rFont val="Arial"/>
        <family val="2"/>
      </rPr>
      <t>. ENGINE EXHAUSTS DIRECTED AWAY FROM WELL BORE?</t>
    </r>
  </si>
  <si>
    <r>
      <t>3</t>
    </r>
    <r>
      <rPr>
        <sz val="6"/>
        <rFont val="Arial"/>
        <family val="2"/>
      </rPr>
      <t xml:space="preserve">. SUPERVISOR HAS FIRST AID, H2S ALERT, TRANSPORTATION OF </t>
    </r>
  </si>
  <si>
    <r>
      <t>3</t>
    </r>
    <r>
      <rPr>
        <sz val="6"/>
        <rFont val="Arial"/>
        <family val="2"/>
      </rPr>
      <t>. ENGINE EXHAUSTS EQUIPPED WITH SPARK ARRESTORS?</t>
    </r>
  </si>
  <si>
    <t xml:space="preserve"> </t>
  </si>
  <si>
    <t>AVERAGE COEFFICIENTS FOR METER RUNS</t>
  </si>
  <si>
    <t>Oriface</t>
  </si>
  <si>
    <t>mm</t>
  </si>
  <si>
    <t>2"</t>
  </si>
  <si>
    <t>3"</t>
  </si>
  <si>
    <t>4"</t>
  </si>
  <si>
    <t>Notes</t>
  </si>
  <si>
    <t>AVERAGE COEFFICIENTS FOR CHOKES AND FLOW PROVERS</t>
  </si>
  <si>
    <t>2"Prover</t>
  </si>
  <si>
    <t>Choke</t>
  </si>
  <si>
    <t>&lt;------------For flowing thru 2" line pipe</t>
  </si>
  <si>
    <t>Slickline</t>
  </si>
  <si>
    <t>Fracturing</t>
  </si>
  <si>
    <t>Acidizing</t>
  </si>
  <si>
    <t>AFE #</t>
  </si>
  <si>
    <t>WELL OPERATOR:</t>
  </si>
  <si>
    <t>WELL NAME AND LOCATION:</t>
  </si>
  <si>
    <t>OPERATION OBJECTIVE:</t>
  </si>
  <si>
    <t>KB:</t>
  </si>
  <si>
    <t>GL:</t>
  </si>
  <si>
    <t>KBGL:</t>
  </si>
  <si>
    <t>SURFACE CASING:</t>
  </si>
  <si>
    <t>TD (mKB):</t>
  </si>
  <si>
    <t>Address</t>
  </si>
  <si>
    <t>Operator Number</t>
  </si>
  <si>
    <t>Telephone</t>
  </si>
  <si>
    <t xml:space="preserve">Fax </t>
  </si>
  <si>
    <t>Email</t>
  </si>
  <si>
    <t>PBTD (mKB):</t>
  </si>
  <si>
    <t>Reference:</t>
  </si>
  <si>
    <t>FORMATION:</t>
  </si>
  <si>
    <t>Shots Per Meter:</t>
  </si>
  <si>
    <t>Charge Size:</t>
  </si>
  <si>
    <t>Phasing:</t>
  </si>
  <si>
    <t>SUMMARY OF STIMULATION:</t>
  </si>
  <si>
    <t>Prepared By:</t>
  </si>
  <si>
    <t>SUMMARY OF TUBING AND</t>
  </si>
  <si>
    <t>PAGE 2</t>
  </si>
  <si>
    <t>DOWNHOLE EQUIPMENT</t>
  </si>
  <si>
    <t>DESCRIPTION:</t>
  </si>
  <si>
    <t>LENGTH</t>
  </si>
  <si>
    <t>SET AT TOP</t>
  </si>
  <si>
    <t>STRING LENGTH:</t>
  </si>
  <si>
    <t>ADD KBTH:</t>
  </si>
  <si>
    <t>WELL STATUS:</t>
  </si>
  <si>
    <t>DIRECTIONS TO LOCATION:</t>
  </si>
  <si>
    <t>Wellhead Summary</t>
  </si>
  <si>
    <t xml:space="preserve">60.3mm EUE: </t>
  </si>
  <si>
    <t>73mm EUE:</t>
  </si>
  <si>
    <t xml:space="preserve">88.9mm EUE:  </t>
  </si>
  <si>
    <t>60.3mm SLH Drill Pipe:</t>
  </si>
  <si>
    <t>60.3mm SLH Drill Pipe</t>
  </si>
  <si>
    <t>Well Name:</t>
  </si>
  <si>
    <t>PBTD:</t>
  </si>
  <si>
    <t>Casing Bowl:</t>
  </si>
  <si>
    <t>Serial #:</t>
  </si>
  <si>
    <t>Bottom:</t>
  </si>
  <si>
    <t>Top:</t>
  </si>
  <si>
    <t>Outlet:</t>
  </si>
  <si>
    <t>Tubing Spool:</t>
  </si>
  <si>
    <t>Outlets:</t>
  </si>
  <si>
    <t>Tubing Bonnet:</t>
  </si>
  <si>
    <t>WELLHEAD SCHEMATIC</t>
  </si>
  <si>
    <t>PRODUCTION CASING:</t>
  </si>
  <si>
    <t>TUBING:</t>
  </si>
  <si>
    <t>INTERVAL:</t>
  </si>
  <si>
    <t>SERIAL NUMBERS</t>
  </si>
  <si>
    <t>CASING VALVES:</t>
  </si>
  <si>
    <t>TUBING SPOOL:</t>
  </si>
  <si>
    <t>DESCRIPTION OF TUBING STRING (BOTTOM UPWARDS)</t>
  </si>
  <si>
    <t>REF #</t>
  </si>
  <si>
    <t>DESCRIPTION</t>
  </si>
  <si>
    <t>TOP @</t>
  </si>
  <si>
    <t>STRING LENGTH</t>
  </si>
  <si>
    <t xml:space="preserve">                FLUID</t>
  </si>
  <si>
    <t xml:space="preserve">     Past 24 Hrs</t>
  </si>
  <si>
    <t xml:space="preserve">            SUMMARY</t>
  </si>
  <si>
    <t>Water</t>
  </si>
  <si>
    <t>Oil</t>
  </si>
  <si>
    <t xml:space="preserve"> Water</t>
  </si>
  <si>
    <t xml:space="preserve">    Oil</t>
  </si>
  <si>
    <t>Initial Load Fluid  (m3)</t>
  </si>
  <si>
    <t>Fluid Hauled In  +</t>
  </si>
  <si>
    <t>Fluid Hauled Out -</t>
  </si>
  <si>
    <t>Total Load Fluid  =</t>
  </si>
  <si>
    <t>Non-Rec. Annular fluid -</t>
  </si>
  <si>
    <t>Fluid in Tanks  24:00 Hrs     -</t>
  </si>
  <si>
    <t>Load Fluid to Recover =</t>
  </si>
  <si>
    <t>Tubing</t>
  </si>
  <si>
    <t>Tubing (mm)</t>
  </si>
  <si>
    <t>Service Rig</t>
  </si>
  <si>
    <t>Swab</t>
  </si>
  <si>
    <t>Time</t>
  </si>
  <si>
    <t>Fluid</t>
  </si>
  <si>
    <t>Tank</t>
  </si>
  <si>
    <t>Gauge</t>
  </si>
  <si>
    <t>Remarks</t>
  </si>
  <si>
    <t>No.</t>
  </si>
  <si>
    <t>Level</t>
  </si>
  <si>
    <t>Depth</t>
  </si>
  <si>
    <t>Cum</t>
  </si>
  <si>
    <t>Pressure</t>
  </si>
  <si>
    <t>m³</t>
  </si>
  <si>
    <t>ACID STIMULATION REPORT</t>
  </si>
  <si>
    <t>WELL NAME &amp; LOC:</t>
  </si>
  <si>
    <t>DATE:</t>
  </si>
  <si>
    <t>Formation:</t>
  </si>
  <si>
    <t>Interval:</t>
  </si>
  <si>
    <t>Stimulation Company Used:</t>
  </si>
  <si>
    <t>ADDITIVE PACKAGE USED:</t>
  </si>
  <si>
    <t>Additive</t>
  </si>
  <si>
    <t>Concentration</t>
  </si>
  <si>
    <t>Quantity</t>
  </si>
  <si>
    <t>Iron Sequesterant</t>
  </si>
  <si>
    <t>Inhibitor</t>
  </si>
  <si>
    <t>Demulsifier</t>
  </si>
  <si>
    <t>Anti-Sludge</t>
  </si>
  <si>
    <t>Surfactant</t>
  </si>
  <si>
    <t>Penetrating Agent</t>
  </si>
  <si>
    <t>Suspension Agent</t>
  </si>
  <si>
    <t>Fracture Treatment Summary</t>
  </si>
  <si>
    <t>Date:</t>
  </si>
  <si>
    <t>TIME</t>
  </si>
  <si>
    <t>Combined Rate m3/min</t>
  </si>
  <si>
    <t>Sand Mesh</t>
  </si>
  <si>
    <t>Sand Conc.</t>
  </si>
  <si>
    <t>Sand Stage</t>
  </si>
  <si>
    <t>Cum. Sand</t>
  </si>
  <si>
    <t>Breaker Conc. Used:</t>
  </si>
  <si>
    <t>Comments:</t>
  </si>
  <si>
    <t>Annulus</t>
  </si>
  <si>
    <t>FLOW RATES</t>
  </si>
  <si>
    <t>Page #  :</t>
  </si>
  <si>
    <t>WELL NAME</t>
  </si>
  <si>
    <t>FORMATION</t>
  </si>
  <si>
    <t>DAY  #</t>
  </si>
  <si>
    <t>CURRENT OPERATION</t>
  </si>
  <si>
    <t>Opening SICP:</t>
  </si>
  <si>
    <t>TOTAL GAS</t>
  </si>
  <si>
    <t>FLARED</t>
  </si>
  <si>
    <t>m3</t>
  </si>
  <si>
    <t>mcf</t>
  </si>
  <si>
    <t>Oriface Size:</t>
  </si>
  <si>
    <t>Choke Size</t>
  </si>
  <si>
    <t>Casing</t>
  </si>
  <si>
    <t>Separator (English)</t>
  </si>
  <si>
    <t>Fluids Produced (m3)</t>
  </si>
  <si>
    <t>Flow Rate</t>
  </si>
  <si>
    <t>Percent</t>
  </si>
  <si>
    <t>Comments</t>
  </si>
  <si>
    <t>Coefficient</t>
  </si>
  <si>
    <t>(mm)</t>
  </si>
  <si>
    <t>Static</t>
  </si>
  <si>
    <t>Diff</t>
  </si>
  <si>
    <t>Gas</t>
  </si>
  <si>
    <t>10³m³/day</t>
  </si>
  <si>
    <t>mcfd</t>
  </si>
  <si>
    <t>Draw Down</t>
  </si>
  <si>
    <t>REMARKS:</t>
  </si>
  <si>
    <t>FILE =  FLOW.XLS</t>
  </si>
  <si>
    <t>Total Water:</t>
  </si>
  <si>
    <t>Total Oil:</t>
  </si>
  <si>
    <t>Total Fluid:</t>
  </si>
  <si>
    <t>Opening SICP</t>
  </si>
  <si>
    <t>TOTAL</t>
  </si>
  <si>
    <t>WELL NAME:</t>
  </si>
  <si>
    <t>AFE #:</t>
  </si>
  <si>
    <t>TO:</t>
  </si>
  <si>
    <t>TICKET NO:</t>
  </si>
  <si>
    <t>CODE</t>
  </si>
  <si>
    <t>ESTIMATED COST</t>
  </si>
  <si>
    <t>REASON FOR VOUCHER</t>
  </si>
  <si>
    <t>PAGE NO:</t>
  </si>
  <si>
    <t>WELL NAME AND LOCATION</t>
  </si>
  <si>
    <t>DATE d/m/y:</t>
  </si>
  <si>
    <t>SUPPLIER NAME</t>
  </si>
  <si>
    <t>TICKET NUMBERS</t>
  </si>
  <si>
    <t>SERVICE DESCRIPTION</t>
  </si>
  <si>
    <t>EST. COST</t>
  </si>
  <si>
    <t>ACTUAL COST</t>
  </si>
  <si>
    <t>SUB-TOTAL</t>
  </si>
  <si>
    <t>ADD PREVIOUS PAGE</t>
  </si>
  <si>
    <t>AFE NUMBER:</t>
  </si>
  <si>
    <t>COST DIFF:</t>
  </si>
  <si>
    <t>PHONE #:</t>
  </si>
  <si>
    <t>AFE AMOUNT:</t>
  </si>
  <si>
    <t>UNDER (OVER) AFE:</t>
  </si>
  <si>
    <t>Costs Per Daily Rig Reports:</t>
  </si>
  <si>
    <t>PREPARED BY:</t>
  </si>
  <si>
    <t xml:space="preserve">PAGE NO: </t>
  </si>
  <si>
    <t>Description</t>
  </si>
  <si>
    <t>RIG RENTALS RECORD</t>
  </si>
  <si>
    <t>Well Name &amp; Location</t>
  </si>
  <si>
    <t>Rig #:</t>
  </si>
  <si>
    <t>Frac Oil Gradient:</t>
  </si>
  <si>
    <t>7.94 kPa/m</t>
  </si>
  <si>
    <t>Methanol Gradient:</t>
  </si>
  <si>
    <t>7.7 kPa/m</t>
  </si>
  <si>
    <t>Gas Gradient:</t>
  </si>
  <si>
    <t>0.6787 kPa/m</t>
  </si>
  <si>
    <t>Know what?  It's written MPa, not mPa</t>
  </si>
  <si>
    <t>Email Address:</t>
  </si>
  <si>
    <t>Year/Month:</t>
  </si>
  <si>
    <t>ITEM</t>
  </si>
  <si>
    <t>Dly</t>
  </si>
  <si>
    <t>Sent Back Via</t>
  </si>
  <si>
    <t>Day</t>
  </si>
  <si>
    <t>$</t>
  </si>
  <si>
    <t>Rental Co:</t>
  </si>
  <si>
    <t>Item:</t>
  </si>
  <si>
    <t>Serial #</t>
  </si>
  <si>
    <t>Prepared BY:</t>
  </si>
  <si>
    <t>Casing Capacities</t>
  </si>
  <si>
    <t>Size</t>
  </si>
  <si>
    <t>Weight</t>
  </si>
  <si>
    <t>m3/m</t>
  </si>
  <si>
    <t>Separator</t>
  </si>
  <si>
    <t>Length</t>
  </si>
  <si>
    <t>FROM:</t>
  </si>
  <si>
    <t>Perforations:</t>
  </si>
  <si>
    <t>include in load calc?</t>
  </si>
  <si>
    <t>no</t>
  </si>
  <si>
    <t>Page 3</t>
  </si>
  <si>
    <t>Reports Taken By:</t>
  </si>
  <si>
    <t xml:space="preserve">    Cum. to Date </t>
  </si>
  <si>
    <t>VOUCHER #2</t>
  </si>
  <si>
    <t>VOUCHER #1</t>
  </si>
  <si>
    <t>VOUCHER #3</t>
  </si>
  <si>
    <t>VOUCHER #4</t>
  </si>
  <si>
    <t>FileName:</t>
  </si>
  <si>
    <t>Vent Blow Check:</t>
  </si>
  <si>
    <t>Vent Blow y/n:</t>
  </si>
  <si>
    <t>SUMMARY OF ZONES TESTED</t>
  </si>
  <si>
    <t>Page 5</t>
  </si>
  <si>
    <t>Page 4</t>
  </si>
  <si>
    <t>Metal Displacements for Tubing</t>
  </si>
  <si>
    <t xml:space="preserve">DATE: </t>
  </si>
  <si>
    <t>S/N:</t>
  </si>
  <si>
    <t xml:space="preserve">Waste Manifest Information </t>
  </si>
  <si>
    <t>Operator Code:</t>
  </si>
  <si>
    <t>Mailing Address:</t>
  </si>
  <si>
    <t>24 hr Emergency Number:</t>
  </si>
  <si>
    <t>TUBING CONVEYED DOWNHOLE CONFIGURATION SHEET</t>
  </si>
  <si>
    <t>Landed at</t>
  </si>
  <si>
    <t>mKB</t>
  </si>
  <si>
    <t>CALCULATIONS</t>
  </si>
  <si>
    <t>Top of Marker:</t>
  </si>
  <si>
    <t>Run #1</t>
  </si>
  <si>
    <t>Add TM-TS</t>
  </si>
  <si>
    <t>Should Be</t>
  </si>
  <si>
    <t>Logged At</t>
  </si>
  <si>
    <t>Rig Tally</t>
  </si>
  <si>
    <t>Top Shot</t>
  </si>
  <si>
    <t>Add Interval Length</t>
  </si>
  <si>
    <t>Bottom Shot</t>
  </si>
  <si>
    <t>Run #2</t>
  </si>
  <si>
    <t>KBTH:</t>
  </si>
  <si>
    <t>SET AT TOP (Rig Tally)</t>
  </si>
  <si>
    <t>Code Description</t>
  </si>
  <si>
    <t>Well Name &amp; Location Number:</t>
  </si>
  <si>
    <t>AFE Number:</t>
  </si>
  <si>
    <t>AFE Cost Overrun:</t>
  </si>
  <si>
    <t>AFE Costs Under:</t>
  </si>
  <si>
    <t>AFE Amt</t>
  </si>
  <si>
    <t>Toolpush:</t>
  </si>
  <si>
    <t>Product Objective:</t>
  </si>
  <si>
    <t>Cumulative AFE Summary of Costs</t>
  </si>
  <si>
    <t>Operator:</t>
  </si>
  <si>
    <t>114mm, 14.1kg Csg/60.3mm Tbg:</t>
  </si>
  <si>
    <t>Open Perfs</t>
  </si>
  <si>
    <t>Tubing/Pups</t>
  </si>
  <si>
    <t>TCP Assembly</t>
  </si>
  <si>
    <t>Cement Squeezed Perfs</t>
  </si>
  <si>
    <t>Nipple w/ Profile</t>
  </si>
  <si>
    <t>Packer</t>
  </si>
  <si>
    <t>Flow Sub</t>
  </si>
  <si>
    <t>On/Off Tool c/w Profile</t>
  </si>
  <si>
    <t>Blast Joint</t>
  </si>
  <si>
    <t>Sliding Sleeve</t>
  </si>
  <si>
    <t>Sand Fill</t>
  </si>
  <si>
    <t>Cement</t>
  </si>
  <si>
    <t>TREADED</t>
  </si>
  <si>
    <t>PUMPING</t>
  </si>
  <si>
    <t>FONTAS</t>
  </si>
  <si>
    <t xml:space="preserve">FLANGED </t>
  </si>
  <si>
    <t>FLANGED - dula master valves</t>
  </si>
  <si>
    <t>139mm, 20.8 kg Csg, 60.3mm Tbg:</t>
  </si>
  <si>
    <t>139mm, 23.1kg Csg, 73mm Tbg:</t>
  </si>
  <si>
    <t>139mm, 25.3kg Csg, 73mm Tbg:</t>
  </si>
  <si>
    <t>Correction Required</t>
  </si>
  <si>
    <t>Hole Capacity with Tubing in Well</t>
  </si>
  <si>
    <t>Well License/Authorization #:</t>
  </si>
  <si>
    <t>Nominal Rig Rate:</t>
  </si>
  <si>
    <t>Permanent Anchors?</t>
  </si>
  <si>
    <t>Yes</t>
  </si>
  <si>
    <t>177.8mm, 29.8kg Csg, 60.3mm Tbg:</t>
  </si>
  <si>
    <t xml:space="preserve">Cum. to Date </t>
  </si>
  <si>
    <t>DATE: day/month/year</t>
  </si>
  <si>
    <t>Note:  Gas rates based upon field readings and no allowances made for temperature.  Constant used was 0.031, atmosphere value used was 14 psi.</t>
  </si>
  <si>
    <t>Diff (inch)</t>
  </si>
  <si>
    <t>Wellsite Supervision</t>
  </si>
  <si>
    <t>Fluid used in THIS ZONE?</t>
  </si>
  <si>
    <t>No</t>
  </si>
  <si>
    <t>Fluid Transferred to 2nd Zone of Interest?</t>
  </si>
  <si>
    <t>Volume:</t>
  </si>
  <si>
    <t xml:space="preserve">Fluid Type Transferred  </t>
  </si>
  <si>
    <t>Pumped in Well</t>
  </si>
  <si>
    <t>STANDARD GRADIENT PROGRAM</t>
  </si>
  <si>
    <t>Elevations</t>
  </si>
  <si>
    <t>Interval</t>
  </si>
  <si>
    <t>Start Date:</t>
  </si>
  <si>
    <t>End Date:</t>
  </si>
  <si>
    <t>Well Name and Location:</t>
  </si>
  <si>
    <t>Operation Objective:</t>
  </si>
  <si>
    <t>Product Objective (Oil, Gas, Water):</t>
  </si>
  <si>
    <t>Flowing Well (Yes, No):</t>
  </si>
  <si>
    <t>Artificial Lift System (Pump/Rods, Screw, ESP):</t>
  </si>
  <si>
    <t>KB Elevation:</t>
  </si>
  <si>
    <t>GL Elevation:</t>
  </si>
  <si>
    <t>TH Constant:</t>
  </si>
  <si>
    <t>Contractor :</t>
  </si>
  <si>
    <t>Rig Number:</t>
  </si>
  <si>
    <t>Toolpush Phone Number:</t>
  </si>
  <si>
    <t>TVD:</t>
  </si>
  <si>
    <t>FORMATIONS</t>
  </si>
  <si>
    <t>Zone #1</t>
  </si>
  <si>
    <t>Zone #2</t>
  </si>
  <si>
    <t>Open Hole (Yes, No)</t>
  </si>
  <si>
    <t>Zone #3</t>
  </si>
  <si>
    <t>Plant Information</t>
  </si>
  <si>
    <t>Field Foreman:</t>
  </si>
  <si>
    <t>Cell Number:</t>
  </si>
  <si>
    <t>Office Number:</t>
  </si>
  <si>
    <t>Operator Number:</t>
  </si>
  <si>
    <t>Telephone Number:</t>
  </si>
  <si>
    <t>Field Operator:</t>
  </si>
  <si>
    <t>Well Status:</t>
  </si>
  <si>
    <t>Job Type (Completion, Workover, Abandonment):</t>
  </si>
  <si>
    <t>STOPS</t>
  </si>
  <si>
    <t>Stop #</t>
  </si>
  <si>
    <t>Date of Gradient</t>
  </si>
  <si>
    <t>Duration of Stops (minutes)</t>
  </si>
  <si>
    <t>Generic Program?</t>
  </si>
  <si>
    <t>Pulling Out?</t>
  </si>
  <si>
    <t>Running In?</t>
  </si>
  <si>
    <t>x</t>
  </si>
  <si>
    <t>PRODUCTION TUBING:</t>
  </si>
  <si>
    <t>INTERMEDIATE CASING:</t>
  </si>
  <si>
    <t>OF</t>
  </si>
  <si>
    <t>DEPTH CALCULATION SHEET</t>
  </si>
  <si>
    <t>Rig KB:</t>
  </si>
  <si>
    <t>KB Difference:</t>
  </si>
  <si>
    <t>Summary of Downhole Equipment Run</t>
  </si>
  <si>
    <t>Description of Tools/Materials Run In Well</t>
  </si>
  <si>
    <t>SUB-TOTAL:</t>
  </si>
  <si>
    <t>Less:  Stickup</t>
  </si>
  <si>
    <t>CEMENTING PROCEDURE WORK SHEET</t>
  </si>
  <si>
    <t>Type of Cement Job:</t>
  </si>
  <si>
    <t>Retainer Used?</t>
  </si>
  <si>
    <t>Calculations:</t>
  </si>
  <si>
    <t>Tubing:</t>
  </si>
  <si>
    <t>Casing:</t>
  </si>
  <si>
    <t>Open Hole:</t>
  </si>
  <si>
    <t>PROCEDURE</t>
  </si>
  <si>
    <t>Volume</t>
  </si>
  <si>
    <t>Rate</t>
  </si>
  <si>
    <t>Tbg Pres</t>
  </si>
  <si>
    <t>Csg Pres</t>
  </si>
  <si>
    <t>Cement Used:</t>
  </si>
  <si>
    <t>Additives:</t>
  </si>
  <si>
    <t>CORRELATION LOGS:</t>
  </si>
  <si>
    <t>Zero</t>
  </si>
  <si>
    <t>Cum Values</t>
  </si>
  <si>
    <t>Casing Valves:</t>
  </si>
  <si>
    <t>Make:</t>
  </si>
  <si>
    <t>Pressure:</t>
  </si>
  <si>
    <t>Ball/Gate</t>
  </si>
  <si>
    <t>Flange/Thread:</t>
  </si>
  <si>
    <t>Flow Tee/Wing:</t>
  </si>
  <si>
    <t>Tee Make:</t>
  </si>
  <si>
    <t>Wing Make:</t>
  </si>
  <si>
    <t>Ball/Gate:</t>
  </si>
  <si>
    <t>Bottom Set @:</t>
  </si>
  <si>
    <t>ANNULAR VOLUMES</t>
  </si>
  <si>
    <t>60.3mm EUE Tubing</t>
  </si>
  <si>
    <t>114.3mm 14.1 kg/m Casing:</t>
  </si>
  <si>
    <t>139.7mm 25.3 kg/m Casing:</t>
  </si>
  <si>
    <t>139.7mm 23.1 kg/m Casing:</t>
  </si>
  <si>
    <t>139.7mm 20.8 kg/m Casing:</t>
  </si>
  <si>
    <t>73mm EUE Tubing</t>
  </si>
  <si>
    <t>Quick Calculations</t>
  </si>
  <si>
    <t>Hole Cap</t>
  </si>
  <si>
    <t>BHP:</t>
  </si>
  <si>
    <t>kPa</t>
  </si>
  <si>
    <t>degrees</t>
  </si>
  <si>
    <t>Fluid Level:</t>
  </si>
  <si>
    <t>m</t>
  </si>
  <si>
    <t>PROFILE NIPPLES</t>
  </si>
  <si>
    <t>BAKER</t>
  </si>
  <si>
    <t>F</t>
  </si>
  <si>
    <t>73mm</t>
  </si>
  <si>
    <t>60.3mm</t>
  </si>
  <si>
    <t>july 23, 2005</t>
  </si>
  <si>
    <t>oct 06, 2006</t>
  </si>
  <si>
    <t>R</t>
  </si>
  <si>
    <t>R NOGO</t>
  </si>
  <si>
    <t>OTIS</t>
  </si>
  <si>
    <t>X</t>
  </si>
  <si>
    <t>XN</t>
  </si>
  <si>
    <t>XN NOGO</t>
  </si>
  <si>
    <t>Other (1)</t>
  </si>
  <si>
    <t>Fluid Displacement Chart</t>
  </si>
  <si>
    <t>Casing (mm)</t>
  </si>
  <si>
    <t>Fluid Level</t>
  </si>
  <si>
    <t>Tubing Open</t>
  </si>
  <si>
    <t>y</t>
  </si>
  <si>
    <t>Displacement</t>
  </si>
  <si>
    <t>Total Displacement Volume (m3)</t>
  </si>
  <si>
    <t>Constant</t>
  </si>
  <si>
    <t>Surf</t>
  </si>
  <si>
    <t>Dognut:</t>
  </si>
  <si>
    <t>Results to:</t>
  </si>
  <si>
    <t>Anchors</t>
  </si>
  <si>
    <t>Perforating with Multiple Run Record</t>
  </si>
  <si>
    <t>Running In</t>
  </si>
  <si>
    <t>Pulling Out</t>
  </si>
  <si>
    <t>CCL</t>
  </si>
  <si>
    <t>Position</t>
  </si>
  <si>
    <t>CCL-TS</t>
  </si>
  <si>
    <t>CCL-BS</t>
  </si>
  <si>
    <t>Shots</t>
  </si>
  <si>
    <t>Fired</t>
  </si>
  <si>
    <t>Reaction</t>
  </si>
  <si>
    <t>TANKS</t>
  </si>
  <si>
    <t>400 Skidded</t>
  </si>
  <si>
    <t>210 Skidded</t>
  </si>
  <si>
    <t>500 Bolted</t>
  </si>
  <si>
    <t>1000 Bolted</t>
  </si>
  <si>
    <t>.34 m3/cm</t>
  </si>
  <si>
    <t>Service Company:</t>
  </si>
  <si>
    <t>Gun Size:</t>
  </si>
  <si>
    <t>gram</t>
  </si>
  <si>
    <t>Enter Diameter of Tank (m):</t>
  </si>
  <si>
    <t>Page 6</t>
  </si>
  <si>
    <t>Page 8</t>
  </si>
  <si>
    <t>Gradient &amp; Test Program</t>
  </si>
  <si>
    <t>177.8mm 35.7 kg/m Casing:</t>
  </si>
  <si>
    <t>177.8mm 38.7 kg/m Casing:</t>
  </si>
  <si>
    <t>Cell:</t>
  </si>
  <si>
    <t>Office:</t>
  </si>
  <si>
    <t>Company:</t>
  </si>
  <si>
    <t>TIME:</t>
  </si>
  <si>
    <t>WA#:</t>
  </si>
  <si>
    <t>RIG:</t>
  </si>
  <si>
    <t>APPLICATION TO ALTER?</t>
  </si>
  <si>
    <t>APPLICATION TO ABANDON?</t>
  </si>
  <si>
    <t>FLARE PERMIT?</t>
  </si>
  <si>
    <t>COMPLETION/WORKOVER TYPE:</t>
  </si>
  <si>
    <t>TIME (START AND DURATION):</t>
  </si>
  <si>
    <t>EXPECTED H2S PERCENTAGE:</t>
  </si>
  <si>
    <t>%</t>
  </si>
  <si>
    <t>DETAILS:</t>
  </si>
  <si>
    <t>(initial completion or workover, complicating factors, etc., if present or expected)</t>
  </si>
  <si>
    <t>Difference</t>
  </si>
  <si>
    <t>SERVICE RIG CONTRACT SUMMARY &amp; WORKSHEET</t>
  </si>
  <si>
    <t>BASIC RIG CHARGES</t>
  </si>
  <si>
    <t>Per Hour</t>
  </si>
  <si>
    <t>Per Day</t>
  </si>
  <si>
    <t>No. Men</t>
  </si>
  <si>
    <t>Hours</t>
  </si>
  <si>
    <t>Per Unit</t>
  </si>
  <si>
    <t>Units</t>
  </si>
  <si>
    <t>Rig Base Rate</t>
  </si>
  <si>
    <t>Crew O/T</t>
  </si>
  <si>
    <t>Crew TT</t>
  </si>
  <si>
    <t>Extra Labor RT</t>
  </si>
  <si>
    <t>Extra Labor OT</t>
  </si>
  <si>
    <t>Subsistence</t>
  </si>
  <si>
    <t>Clothing/Coveralls</t>
  </si>
  <si>
    <t>Environment Charges</t>
  </si>
  <si>
    <t>88.9mm</t>
  </si>
  <si>
    <t>Management</t>
  </si>
  <si>
    <t>Fuel Surcharge</t>
  </si>
  <si>
    <t>Stand-by w/crew, vehicles</t>
  </si>
  <si>
    <t>Stand-by no crew</t>
  </si>
  <si>
    <t>Statutory Holidays</t>
  </si>
  <si>
    <t>Vehicle-Crew</t>
  </si>
  <si>
    <t>Vehicle-Rig Mgr</t>
  </si>
  <si>
    <t>CONSUMABLES</t>
  </si>
  <si>
    <t>Diesel Fuel</t>
  </si>
  <si>
    <t>Swab cups</t>
  </si>
  <si>
    <t>JU Rubbers</t>
  </si>
  <si>
    <t>Saver Rubbers</t>
  </si>
  <si>
    <t>Pipe Dope</t>
  </si>
  <si>
    <t>Varsol</t>
  </si>
  <si>
    <t>Additional Daily Charges:</t>
  </si>
  <si>
    <t>Alternate Summary Sheet</t>
  </si>
  <si>
    <t>Billing Address:</t>
  </si>
  <si>
    <t>Conversions</t>
  </si>
  <si>
    <t>English</t>
  </si>
  <si>
    <t>Factor</t>
  </si>
  <si>
    <t>Communist</t>
  </si>
  <si>
    <t>MCFD</t>
  </si>
  <si>
    <t>10m³/m³</t>
  </si>
  <si>
    <t>Note for each day put in either 1 (Used) or S (Standby)</t>
  </si>
  <si>
    <t>Page 1</t>
  </si>
  <si>
    <t>Page 2</t>
  </si>
  <si>
    <t>No field invoice available.</t>
  </si>
  <si>
    <t>WELL LICENSE NUMBER:</t>
  </si>
  <si>
    <t>Contact Name:</t>
  </si>
  <si>
    <t>Fax Number:</t>
  </si>
  <si>
    <t>PSN</t>
  </si>
  <si>
    <t>73mm EUE: 57.9mm</t>
  </si>
  <si>
    <t>60.3mm EUE: 45.2mm</t>
  </si>
  <si>
    <t>88.9mm EUE: 70.6mm</t>
  </si>
  <si>
    <t>Testers Used?:</t>
  </si>
  <si>
    <t>JUST HIT THE RIGHT BUTTON ON THE RIGHT, AND YOU'LL BE RIGHT!</t>
  </si>
  <si>
    <t>PERFORATING RECORD (multiple runs)</t>
  </si>
  <si>
    <t>WELL:</t>
  </si>
  <si>
    <t>OBJECTIVE:</t>
  </si>
  <si>
    <t>DATE OF OPERATIONS:</t>
  </si>
  <si>
    <t>DAY NO:</t>
  </si>
  <si>
    <t>DESCRIPTION OF OPERATIONS CONDUCTED</t>
  </si>
  <si>
    <t>TOTAL NEW FLUID:</t>
  </si>
  <si>
    <t>LOAD FLUID TO RECOVER:</t>
  </si>
  <si>
    <t>FLUID RECOVERED (m3):</t>
  </si>
  <si>
    <t>NON REC. ANNULAR FLUID (m3):</t>
  </si>
  <si>
    <t>TOTAL LOAD FLUID (m3):</t>
  </si>
  <si>
    <t>LOAD FLUID DATA:</t>
  </si>
  <si>
    <t>CONTRACTOR:</t>
  </si>
  <si>
    <t>RIG NUMBER:</t>
  </si>
  <si>
    <t>RIG NO:</t>
  </si>
  <si>
    <t>WEATHER:</t>
  </si>
  <si>
    <t>15% HCL</t>
  </si>
  <si>
    <t>TEMP:(Hi/Lo)</t>
  </si>
  <si>
    <t>DAILY COST:</t>
  </si>
  <si>
    <t>PREVIOUS TOTAL COST:</t>
  </si>
  <si>
    <t>TOTAL COST TO DATE:</t>
  </si>
  <si>
    <t>AFE COST:</t>
  </si>
  <si>
    <t>( Cumulative to Date )</t>
  </si>
  <si>
    <t>TOTAL ESTIMATED COMPLETION COSTS</t>
  </si>
  <si>
    <t>Costs Per Reports</t>
  </si>
  <si>
    <t>A.  WELLHEAD, TUBULARS</t>
  </si>
  <si>
    <t xml:space="preserve"> &amp; DOWNHOLE EQUIPMENT</t>
  </si>
  <si>
    <t>SUPERVISOR:</t>
  </si>
  <si>
    <t>B.  SERVICES</t>
  </si>
  <si>
    <t>C.  RENTAL EQUIPMENT</t>
  </si>
  <si>
    <t>Wellhead Equipment</t>
  </si>
  <si>
    <t>Packer(s)</t>
  </si>
  <si>
    <t>Nipple(s)</t>
  </si>
  <si>
    <t>Electric Wireline</t>
  </si>
  <si>
    <t>Cementing</t>
  </si>
  <si>
    <t>Coiled Tubing</t>
  </si>
  <si>
    <t>Testing</t>
  </si>
  <si>
    <t>Cat Work</t>
  </si>
  <si>
    <t>Safety Equipment</t>
  </si>
  <si>
    <t>Tank Truck</t>
  </si>
  <si>
    <t>Vacuum Truck</t>
  </si>
  <si>
    <t>Disposal</t>
  </si>
  <si>
    <t>Stuck &amp; Tow</t>
  </si>
  <si>
    <t>D. MATERIALS</t>
  </si>
  <si>
    <t>Wellsite Supervisor</t>
  </si>
  <si>
    <t>Wellsite Unit</t>
  </si>
  <si>
    <t>Vehicle</t>
  </si>
  <si>
    <t>F. MISCELLANEOUS</t>
  </si>
  <si>
    <t>E. SUPERVISION</t>
  </si>
  <si>
    <t>Tank(s)</t>
  </si>
  <si>
    <t>Power Swivel</t>
  </si>
  <si>
    <t>Handling Equipment</t>
  </si>
  <si>
    <t>Drill Pipe/Collars</t>
  </si>
  <si>
    <t>Casing Scraper</t>
  </si>
  <si>
    <t>Tree Saver</t>
  </si>
  <si>
    <t>Rod String</t>
  </si>
  <si>
    <t>Insert Pump</t>
  </si>
  <si>
    <t>Recycle Bin</t>
  </si>
  <si>
    <t>CUM.</t>
  </si>
  <si>
    <t>PAGE</t>
  </si>
  <si>
    <t>Previous Cost</t>
  </si>
  <si>
    <t>Daily Load Summary</t>
  </si>
  <si>
    <t>OPERATION PLANNED FOR</t>
  </si>
  <si>
    <t>Contractor:</t>
  </si>
  <si>
    <t>Measured By:</t>
  </si>
  <si>
    <t>String Type:</t>
  </si>
  <si>
    <t>Size:</t>
  </si>
  <si>
    <t>Weight:</t>
  </si>
  <si>
    <t>Grade:</t>
  </si>
  <si>
    <t>Coupling:</t>
  </si>
  <si>
    <t>Range:</t>
  </si>
  <si>
    <t>Seamless or ERW:</t>
  </si>
  <si>
    <t>Wellsite Supervisor:</t>
  </si>
  <si>
    <t>Manufacturer:</t>
  </si>
  <si>
    <t>NO.</t>
  </si>
  <si>
    <t>Thrd:</t>
  </si>
  <si>
    <t>11-20</t>
  </si>
  <si>
    <t>21-30</t>
  </si>
  <si>
    <t>31-40</t>
  </si>
  <si>
    <t>51-60</t>
  </si>
  <si>
    <t>41-50</t>
  </si>
  <si>
    <t>61-70</t>
  </si>
  <si>
    <t>71-80</t>
  </si>
  <si>
    <t>91-100</t>
  </si>
  <si>
    <t>81-90</t>
  </si>
  <si>
    <t>21-40</t>
  </si>
  <si>
    <t>41-60</t>
  </si>
  <si>
    <t>61-80</t>
  </si>
  <si>
    <t>81-100</t>
  </si>
  <si>
    <t>1-20</t>
  </si>
  <si>
    <t>1-100</t>
  </si>
  <si>
    <t>GRAND TOTALS</t>
  </si>
  <si>
    <t>101-200</t>
  </si>
  <si>
    <t>201-300</t>
  </si>
  <si>
    <t>301-400</t>
  </si>
  <si>
    <t>OTHER EQUIPMENT:</t>
  </si>
  <si>
    <t>Page</t>
  </si>
  <si>
    <t>of</t>
  </si>
  <si>
    <t>1-400</t>
  </si>
  <si>
    <t>Hot Oil or Pump Unit</t>
  </si>
  <si>
    <t>TOTAL DAILY COST</t>
  </si>
  <si>
    <t>E-mail Address:</t>
  </si>
  <si>
    <t>TOTAL CUMULATIVE COST</t>
  </si>
  <si>
    <t>TANK FACTOR:</t>
  </si>
  <si>
    <t>TUBING SIZE:</t>
  </si>
  <si>
    <t>Swab no.</t>
  </si>
  <si>
    <t>Gain</t>
  </si>
  <si>
    <t>Material &amp; Equipment Transfer</t>
  </si>
  <si>
    <t>MT #:</t>
  </si>
  <si>
    <t>Transfer Date:</t>
  </si>
  <si>
    <t>Voucher #:</t>
  </si>
  <si>
    <t>Notes:</t>
  </si>
  <si>
    <t>Transferred From:</t>
  </si>
  <si>
    <t>Transferred To:</t>
  </si>
  <si>
    <t>(If coming from inventory - please indicate Kereco yard or Sturgeon yard)</t>
  </si>
  <si>
    <t>Was Used For:</t>
  </si>
  <si>
    <t>To Be Used For:</t>
  </si>
  <si>
    <t>Credit AFE #:</t>
  </si>
  <si>
    <t>Item #</t>
  </si>
  <si>
    <t>Quantity                            m</t>
  </si>
  <si>
    <t>Units                 (# rods, m, etc)</t>
  </si>
  <si>
    <t>Description                                                                                                     (includes all lengths, sizes, specs, manufacturer and serial number data)</t>
  </si>
  <si>
    <t>Sub Feature Code</t>
  </si>
  <si>
    <t>Original/New Unit Value ($)</t>
  </si>
  <si>
    <t>Condition</t>
  </si>
  <si>
    <t>Transfer        Unit Value ($)</t>
  </si>
  <si>
    <t>Transfer Amount ($)</t>
  </si>
  <si>
    <t>SUBTOTAL</t>
  </si>
  <si>
    <t>Price</t>
  </si>
  <si>
    <t>Condition A</t>
  </si>
  <si>
    <t>New</t>
  </si>
  <si>
    <t>Condition B</t>
  </si>
  <si>
    <t>Used but is sound and suitable for its original function without reconditioning</t>
  </si>
  <si>
    <t>Condition C</t>
  </si>
  <si>
    <t>INCIDENT/ACCIDENT INVESTIGATION REPORT</t>
  </si>
  <si>
    <t>COMPANY:</t>
  </si>
  <si>
    <t>EXACT LOCATION:</t>
  </si>
  <si>
    <t>DATE OF OCCURRENCE:</t>
  </si>
  <si>
    <t>DATE REPORTED:</t>
  </si>
  <si>
    <t>LOST TIME:</t>
  </si>
  <si>
    <t>MEDICAL AID:</t>
  </si>
  <si>
    <t>AM</t>
  </si>
  <si>
    <t>PM</t>
  </si>
  <si>
    <t>INJURY OR ILLNESS:</t>
  </si>
  <si>
    <t>NAME:</t>
  </si>
  <si>
    <t>OCCUPATION:</t>
  </si>
  <si>
    <t>PART OF BODY AFFECTED:</t>
  </si>
  <si>
    <t>NATURE OF INJURY/ILLNESS:</t>
  </si>
  <si>
    <t>OBJECT/EQUIPMENT/SUBSTANCE INFLICTING DAMAGE:</t>
  </si>
  <si>
    <t>PROPERTY DAMAGE:</t>
  </si>
  <si>
    <t>ESTIMATED LOSS:</t>
  </si>
  <si>
    <t>NATURE OF DAMAGE:</t>
  </si>
  <si>
    <t>DESCRIBE CLEARLY HOW INCIDENT/ACCIDENT OCCURRED:</t>
  </si>
  <si>
    <t>WHAT ACTS, FAILURES TO ACT OR CONDITIONS CONTRIBUTED MOST DIRECTLY TO THIS INCIDENT/ACCIDENT?</t>
  </si>
  <si>
    <t>WHAT ACTION WILL BE TAKEN TO PREVENT RECURRENCE?</t>
  </si>
  <si>
    <t>INVESTIGATED BY:</t>
  </si>
  <si>
    <t>REVIEWED BY MANAGEMENT:</t>
  </si>
  <si>
    <t>PHONE:</t>
  </si>
  <si>
    <t>Used and suitable for its original function after reconditioning or which cannot be reconditioned for, but has a limited service in its original function</t>
  </si>
  <si>
    <t>Condition D</t>
  </si>
  <si>
    <t>Not suitable for its original function, but is usable for another function</t>
  </si>
  <si>
    <t>Condition E</t>
  </si>
  <si>
    <t>Junk</t>
  </si>
  <si>
    <t>Transferred By:</t>
  </si>
  <si>
    <t xml:space="preserve">Approval: </t>
  </si>
  <si>
    <t>Entry Number:</t>
  </si>
  <si>
    <t>Distribution (1 - Wellfile, 1 - Field Office, 1 - Accounting)</t>
  </si>
  <si>
    <t>Other Spools/Equipment Description:</t>
  </si>
  <si>
    <t xml:space="preserve">Cum. </t>
  </si>
  <si>
    <t>Fluid Cuts</t>
  </si>
  <si>
    <t>Oil %</t>
  </si>
  <si>
    <t>Water %</t>
  </si>
  <si>
    <t>OPENING TANK GAUGE:</t>
  </si>
  <si>
    <t>Ttl Wtr:</t>
  </si>
  <si>
    <t>Ttl Oil:</t>
  </si>
  <si>
    <t>FLUID HAULED INTO LOCATION</t>
  </si>
  <si>
    <t>DATE</t>
  </si>
  <si>
    <t>TYPE</t>
  </si>
  <si>
    <t>HAULED BY</t>
  </si>
  <si>
    <t>HAULED FROM</t>
  </si>
  <si>
    <t>TICKET #</t>
  </si>
  <si>
    <t>FLUID HAULED FROM LOCATION</t>
  </si>
  <si>
    <t>HAULED TO</t>
  </si>
  <si>
    <t>FLUID LEFT ON LOCATION/IN WELL</t>
  </si>
  <si>
    <t>ON LOCATION OR IN WELL (specify)</t>
  </si>
  <si>
    <t>LOAD FLUID LEFT TO RECOVER</t>
  </si>
  <si>
    <t>NEW FLUID RECOVERED</t>
  </si>
  <si>
    <t>COMPOSITION (cut)</t>
  </si>
  <si>
    <t>WELLSITE SUPERVISOR:</t>
  </si>
  <si>
    <t>kg/m</t>
  </si>
  <si>
    <t>ENTER THE RIG HOURS HERE</t>
  </si>
  <si>
    <t>NET RIG COST</t>
  </si>
  <si>
    <t>OTHER SURCHARGES</t>
  </si>
  <si>
    <t>Report Taken By</t>
  </si>
  <si>
    <t>LINER:</t>
  </si>
  <si>
    <t>FORMATIONS:</t>
  </si>
  <si>
    <t>KB EL:</t>
  </si>
  <si>
    <t>GRND EL:</t>
  </si>
  <si>
    <t>KB-TBG TOP:</t>
  </si>
  <si>
    <t>INTERVALS:</t>
  </si>
  <si>
    <t>PAGE:</t>
  </si>
  <si>
    <t>WELL NAME &amp; LOCATION:</t>
  </si>
  <si>
    <t xml:space="preserve"> TALLY DONE BY:</t>
  </si>
  <si>
    <t xml:space="preserve">FILE=  </t>
  </si>
  <si>
    <t>PSN or Landing Nipple Depth:</t>
  </si>
  <si>
    <t>SIZE</t>
  </si>
  <si>
    <t>WT</t>
  </si>
  <si>
    <t>THREAD</t>
  </si>
  <si>
    <t>NEW OR</t>
  </si>
  <si>
    <t xml:space="preserve">  GRADE</t>
  </si>
  <si>
    <t>(ie ST&amp;C)</t>
  </si>
  <si>
    <t>USED</t>
  </si>
  <si>
    <t>MAKE (ie Ipsco)</t>
  </si>
  <si>
    <t xml:space="preserve">   JOINTS #'s Below</t>
  </si>
  <si>
    <t>NUMBER OF JOINTS IN WELL</t>
  </si>
  <si>
    <t>AVERAGE LENGTH PER JOINT</t>
  </si>
  <si>
    <t>NOTE: Blank Space=NOT RUN, 1=RUN ( IN HOLE )</t>
  </si>
  <si>
    <t>#Joints on Location:</t>
  </si>
  <si>
    <t>Total Out:</t>
  </si>
  <si>
    <t>JOINT</t>
  </si>
  <si>
    <t>BOTTOM</t>
  </si>
  <si>
    <t>JT</t>
  </si>
  <si>
    <t xml:space="preserve"> IN/</t>
  </si>
  <si>
    <t>LGTH</t>
  </si>
  <si>
    <t>RUN</t>
  </si>
  <si>
    <t>SET AT</t>
  </si>
  <si>
    <t>#</t>
  </si>
  <si>
    <t xml:space="preserve"> OUT</t>
  </si>
  <si>
    <t xml:space="preserve"> REMARKS</t>
  </si>
  <si>
    <t>SUB</t>
  </si>
  <si>
    <t>IN/</t>
  </si>
  <si>
    <t>OUT</t>
  </si>
  <si>
    <t>TANK BALANCE</t>
  </si>
  <si>
    <t>RIG TANK</t>
  </si>
  <si>
    <t>MESSAGE</t>
  </si>
  <si>
    <t>TOTAL VOLUME</t>
  </si>
  <si>
    <t>REMARKS</t>
  </si>
  <si>
    <t>THIS AREA IS PAGE 3 AND WE CANNOT SEEM TO GET RID OF THE PAGE BREAK!!!!!!!!!!!!!!!!!!STUPID NIT!</t>
  </si>
  <si>
    <t>Worksheet</t>
  </si>
  <si>
    <t>Graphics</t>
  </si>
  <si>
    <t>Rig Inspection</t>
  </si>
  <si>
    <t>OG&amp;C Notification</t>
  </si>
  <si>
    <t>ERP (Sweet)</t>
  </si>
  <si>
    <t>ERP (Sour)</t>
  </si>
  <si>
    <t>OH&amp;S Reg's</t>
  </si>
  <si>
    <t>Program</t>
  </si>
  <si>
    <t>SCVF</t>
  </si>
  <si>
    <t>LOGS</t>
  </si>
  <si>
    <t>Disclaimers</t>
  </si>
  <si>
    <t>Coefficients</t>
  </si>
  <si>
    <t>CBL Evaluation</t>
  </si>
  <si>
    <t>Summary</t>
  </si>
  <si>
    <t>COVER AND INDEX</t>
  </si>
  <si>
    <t>Well Equipment</t>
  </si>
  <si>
    <t>Gaswell Schematic</t>
  </si>
  <si>
    <t>Oilwell Schematic</t>
  </si>
  <si>
    <t>Battery</t>
  </si>
  <si>
    <t>AFE Summary</t>
  </si>
  <si>
    <t>Completion Cost</t>
  </si>
  <si>
    <t>Rig Hour Calc</t>
  </si>
  <si>
    <t>Daily Load</t>
  </si>
  <si>
    <t>Workover</t>
  </si>
  <si>
    <t xml:space="preserve">Completion  </t>
  </si>
  <si>
    <t>Barry Report</t>
  </si>
  <si>
    <t>Depth Calculator</t>
  </si>
  <si>
    <t>Load</t>
  </si>
  <si>
    <t>purchord</t>
  </si>
  <si>
    <t>VOUCHER</t>
  </si>
  <si>
    <t>My Tally</t>
  </si>
  <si>
    <t>Barlon Tally</t>
  </si>
  <si>
    <t>Rentals</t>
  </si>
  <si>
    <t>Alternate Summary</t>
  </si>
  <si>
    <t>Perforating</t>
  </si>
  <si>
    <t>TCP Config</t>
  </si>
  <si>
    <t>Gradient</t>
  </si>
  <si>
    <t>acid</t>
  </si>
  <si>
    <t>Frac</t>
  </si>
  <si>
    <t>Sep_Flow</t>
  </si>
  <si>
    <t>Gas Rate Calc</t>
  </si>
  <si>
    <t>Choke_Flow</t>
  </si>
  <si>
    <t>Transfer</t>
  </si>
  <si>
    <t>Printed</t>
  </si>
  <si>
    <t>Not Printed</t>
  </si>
  <si>
    <t>Not Required to Print</t>
  </si>
  <si>
    <t>Trucking/Delivery</t>
  </si>
  <si>
    <t>Bottom Hole Pump/ESP</t>
  </si>
  <si>
    <t>Tubing &amp; Rod Report</t>
  </si>
  <si>
    <t>Phone Number</t>
  </si>
  <si>
    <t>Fluid Transferred to 3rd Zone of Interest?</t>
  </si>
  <si>
    <t>38.1mm Coil Tubing Specs:</t>
  </si>
  <si>
    <t xml:space="preserve">Volume:  </t>
  </si>
  <si>
    <t>Annular Volume (60.3mm):</t>
  </si>
  <si>
    <t>0.00876 m³/m</t>
  </si>
  <si>
    <t>Annular Volume (139.7mm):</t>
  </si>
  <si>
    <t>0.010987 m³/m</t>
  </si>
  <si>
    <t>0.00083  m³/m</t>
  </si>
  <si>
    <t>Total New Fluid</t>
  </si>
  <si>
    <t>Other</t>
  </si>
  <si>
    <t>m³/m</t>
  </si>
  <si>
    <t>60 m³ Tank: 0.1051 m3/cm</t>
  </si>
  <si>
    <t>Volume m³/m</t>
  </si>
  <si>
    <t>TO GET M³/CM:</t>
  </si>
  <si>
    <t>m³ per cm of depth:</t>
  </si>
  <si>
    <t>.1051 m³/cm</t>
  </si>
  <si>
    <t>HERE'S ANOTHER STINKING PAGE BREAK WHICH WILL NOT GO AWAY!!!!!!!!!!!!!!!!!!!!!!!!!!!!!!!!!!!!!!</t>
  </si>
  <si>
    <t>HERE AGAIN IS THE LAST STINKING PAGE BREAK.  STUPID DOGGY POOP!</t>
  </si>
  <si>
    <t>DESCRIPTION (FULL DETAILS)</t>
  </si>
  <si>
    <t>DOWNHOLE EQUIPMENT (bottom to top)</t>
  </si>
  <si>
    <t>FLOW TEE:</t>
  </si>
  <si>
    <t>MASTER VALVE(S):</t>
  </si>
  <si>
    <t>ROD BOP &amp; STUFFING BOX:</t>
  </si>
  <si>
    <t>WING VALVE:</t>
  </si>
  <si>
    <t>CHOKE:</t>
  </si>
  <si>
    <t>TUBING HEAD AND VALVE(S):</t>
  </si>
  <si>
    <t>TUBING HANGER:</t>
  </si>
  <si>
    <t>CASING HEAD:</t>
  </si>
  <si>
    <t>INTER. SPOOL:</t>
  </si>
  <si>
    <t>WELLHEAD DESCRIPTION</t>
  </si>
  <si>
    <t>TUBING LANDED IN</t>
  </si>
  <si>
    <t>daN</t>
  </si>
  <si>
    <t>TUBING STRING LENGTH:</t>
  </si>
  <si>
    <t>KB TO TUBING TOP</t>
  </si>
  <si>
    <t>TOOLS AND SHIT</t>
  </si>
  <si>
    <t>WELLHEADS</t>
  </si>
  <si>
    <t>SPECIALTY TOOLS</t>
  </si>
  <si>
    <t>INCLUDED IN THIS SHEET ARE THE FOLLOWING:</t>
  </si>
  <si>
    <t>1)  PACKERS AND PLUGS</t>
  </si>
  <si>
    <t>2)  HORIZONTAL SHIT</t>
  </si>
  <si>
    <t>3)  TOOLS AND SHIT</t>
  </si>
  <si>
    <t>4)  WELLHEADS</t>
  </si>
  <si>
    <t>5)  SPECIALTY TOOLS</t>
  </si>
  <si>
    <t>USE THIS CHART TO CALCULATE GAS RATES USING A CHOKE</t>
  </si>
  <si>
    <t>USE THIS CHART TO CALCULATE GAS RATES USING A SEPARATOR</t>
  </si>
  <si>
    <t>10³m³</t>
  </si>
  <si>
    <t>Separator (Metric)</t>
  </si>
  <si>
    <t>cubic values</t>
  </si>
  <si>
    <t>10m³/day</t>
  </si>
  <si>
    <t>°</t>
  </si>
  <si>
    <t>PSN/Profile</t>
  </si>
  <si>
    <t>Bridge Plug</t>
  </si>
  <si>
    <t>56° 32.755 N</t>
  </si>
  <si>
    <t>This one might cause the whole cell to be formatted as SYMBOL, if so, use the upper one, kay?</t>
  </si>
  <si>
    <t>° C</t>
  </si>
  <si>
    <t>Tubing Depth (mKB:)</t>
  </si>
  <si>
    <t>Temperature:</t>
  </si>
  <si>
    <t>______</t>
  </si>
  <si>
    <t>GROUND ELEVATION:</t>
  </si>
  <si>
    <t>KB ELEVATION:</t>
  </si>
  <si>
    <t>KB TO TUBING TOP:</t>
  </si>
  <si>
    <t>TUBING STRING PULLED</t>
  </si>
  <si>
    <t>TUBING STRING RUN</t>
  </si>
  <si>
    <t>(bottom to top)</t>
  </si>
  <si>
    <t>NO</t>
  </si>
  <si>
    <t>TUBING STRING LENGTH</t>
  </si>
  <si>
    <t>RODS AND PUMP PULLED</t>
  </si>
  <si>
    <t>RODS AND PUMP RUN</t>
  </si>
  <si>
    <t>PUMP LANDED AT</t>
  </si>
  <si>
    <t>PUMP DESCRIPTION:</t>
  </si>
  <si>
    <t>Recovered Last 24 Hrs</t>
  </si>
  <si>
    <t>Lost in Well Last 24 Hrs</t>
  </si>
  <si>
    <t>139mm, 20.8 kg Csg, 73mm Tbg:</t>
  </si>
  <si>
    <t>Fresh water from well:  FILTRATES</t>
  </si>
  <si>
    <t>Metric</t>
  </si>
  <si>
    <t>127mm 26.79 kg/m Casing:</t>
  </si>
  <si>
    <t>177.8mm 38.69 kg/m Casing:</t>
  </si>
  <si>
    <t>177.8mm 43.16 kg/m Casing:</t>
  </si>
  <si>
    <t>88.9mm EUE Tubing</t>
  </si>
  <si>
    <t>Blank Casing</t>
  </si>
  <si>
    <t>N/A</t>
  </si>
  <si>
    <t>TOTAL APPLICABLE VALUES:</t>
  </si>
  <si>
    <t>Zone Tested:</t>
  </si>
  <si>
    <t>HORIZONTAL SHIT</t>
  </si>
  <si>
    <t>TABLE OF CONTENTS</t>
  </si>
  <si>
    <t>Telephone Directory</t>
  </si>
  <si>
    <t>Wellsite</t>
  </si>
  <si>
    <t>Government Agencies</t>
  </si>
  <si>
    <t>Contractors</t>
  </si>
  <si>
    <t>Emergency Medical Services</t>
  </si>
  <si>
    <t>Number of Master Valves:</t>
  </si>
  <si>
    <t>Torque:  88.9mm EUE J55:  1500 ft/lbs</t>
  </si>
  <si>
    <t>Industry Support Services</t>
  </si>
  <si>
    <t>Evacuation Contacts</t>
  </si>
  <si>
    <t>Personnel Responsibilities</t>
  </si>
  <si>
    <t>General</t>
  </si>
  <si>
    <t>Available Personnel</t>
  </si>
  <si>
    <t>Responsibilities</t>
  </si>
  <si>
    <t>Overview of Emergency Response Plan</t>
  </si>
  <si>
    <t>Scope</t>
  </si>
  <si>
    <t xml:space="preserve">AEUB Report Done </t>
  </si>
  <si>
    <t>Yes    No</t>
  </si>
  <si>
    <t>Purpose</t>
  </si>
  <si>
    <t>Well Information</t>
  </si>
  <si>
    <t>Area Land Use</t>
  </si>
  <si>
    <t>Proximity to Urban Centres and Public Facilities</t>
  </si>
  <si>
    <t>Emergency Planning Zone (EPZ)</t>
  </si>
  <si>
    <t>Safety Precautions</t>
  </si>
  <si>
    <t>Summary of ERP Implementation</t>
  </si>
  <si>
    <t>Special Considerations</t>
  </si>
  <si>
    <t>Emergency Levels</t>
  </si>
  <si>
    <t>Emergency Criteria and Responses</t>
  </si>
  <si>
    <t>Post Emergency Procedures</t>
  </si>
  <si>
    <t>Completion of Operations Notifications</t>
  </si>
  <si>
    <t>Communications</t>
  </si>
  <si>
    <t>Emergency Communications</t>
  </si>
  <si>
    <t>Communications Equipment</t>
  </si>
  <si>
    <t>5.3.1</t>
  </si>
  <si>
    <t>Mobile Telephones</t>
  </si>
  <si>
    <t>5.3.2</t>
  </si>
  <si>
    <t>Base Radio Stations and Portable Radios</t>
  </si>
  <si>
    <t>Public and Media Communications</t>
  </si>
  <si>
    <t>Air Monitoring</t>
  </si>
  <si>
    <t>Emergency Planning Zone  (EPZ)</t>
  </si>
  <si>
    <t>Evacuation</t>
  </si>
  <si>
    <t>Evacuation Criteria</t>
  </si>
  <si>
    <t>Evacuation Procedures</t>
  </si>
  <si>
    <t>7.3.1</t>
  </si>
  <si>
    <t>Emergency Planning Zone</t>
  </si>
  <si>
    <t>7.3.2</t>
  </si>
  <si>
    <t>Evacuation Outside the EPZ</t>
  </si>
  <si>
    <t>Evacuation Statements</t>
  </si>
  <si>
    <t>7.4.1</t>
  </si>
  <si>
    <t>Level 1 Emergency</t>
  </si>
  <si>
    <t>7.4.2</t>
  </si>
  <si>
    <t>Level 2 and 3 Emergencies</t>
  </si>
  <si>
    <t>Prolonged Evacuation</t>
  </si>
  <si>
    <t>Return of Evacuees</t>
  </si>
  <si>
    <t>Isolation (Roadblocks)</t>
  </si>
  <si>
    <t>Ignition</t>
  </si>
  <si>
    <t>Ignition Criteria</t>
  </si>
  <si>
    <t>Ignition Procedures</t>
  </si>
  <si>
    <t>9.3.1</t>
  </si>
  <si>
    <t>Remote Ignition</t>
  </si>
  <si>
    <t>9.3.2</t>
  </si>
  <si>
    <t>Manual Ignition</t>
  </si>
  <si>
    <t>Government Involvement</t>
  </si>
  <si>
    <t>Government Agencies: Roles &amp; Responsibilities</t>
  </si>
  <si>
    <t>TELEPHONE DIRECTORY</t>
  </si>
  <si>
    <t>(1)  WELLSITE</t>
  </si>
  <si>
    <t>(2)  CORPORATE NUMBERS</t>
  </si>
  <si>
    <t>(3)  GOVERNMENT AGENCIES</t>
  </si>
  <si>
    <t>(4)  CONTRACTORS</t>
  </si>
  <si>
    <t>(5)  EMERGENCY MEDICAL SERVICES</t>
  </si>
  <si>
    <t>(6)  INDUSTRY SUPPORT SERVICES</t>
  </si>
  <si>
    <t>(7)  EVACUATION CONTACTS</t>
  </si>
  <si>
    <t>Drilling/Completions Supervisor</t>
  </si>
  <si>
    <t>Telephone Number</t>
  </si>
  <si>
    <t>Wellsite Office:</t>
  </si>
  <si>
    <t>Mobile:</t>
  </si>
  <si>
    <t>10³m³/d</t>
  </si>
  <si>
    <t>GAS FLARED THIS PAGE</t>
  </si>
  <si>
    <t>Wtr this pge:</t>
  </si>
  <si>
    <t>Oil this pge:</t>
  </si>
  <si>
    <t>Cum Water:</t>
  </si>
  <si>
    <t>Cum Oil:</t>
  </si>
  <si>
    <t>Cum Gas:</t>
  </si>
  <si>
    <t>Email:</t>
  </si>
  <si>
    <t>780-914-7521</t>
  </si>
  <si>
    <t>SAME</t>
  </si>
  <si>
    <t>skiman8639@aol.com</t>
  </si>
  <si>
    <t>Rig Manager/Testing Supervisors</t>
  </si>
  <si>
    <t>Safety Supervisors</t>
  </si>
  <si>
    <t>(2)</t>
  </si>
  <si>
    <t>Calgary Office</t>
  </si>
  <si>
    <t>Field Office</t>
  </si>
  <si>
    <t>Fax:</t>
  </si>
  <si>
    <t>Officers or Representatives</t>
  </si>
  <si>
    <t>(3)  Government Agencies</t>
  </si>
  <si>
    <t>(1)  AEUB</t>
  </si>
  <si>
    <t>Area Office</t>
  </si>
  <si>
    <t>24 Hr:</t>
  </si>
  <si>
    <t>Team Leader:</t>
  </si>
  <si>
    <t>(2)  RCMP</t>
  </si>
  <si>
    <t>Nearest Detachment</t>
  </si>
  <si>
    <t>NCO in Charge:</t>
  </si>
  <si>
    <t>(3)  Nearest Urban Centre</t>
  </si>
  <si>
    <t>Disaster Services Director:</t>
  </si>
  <si>
    <t>(4)  Municipal District of:</t>
  </si>
  <si>
    <t>Residence:</t>
  </si>
  <si>
    <t>(5)  County of:</t>
  </si>
  <si>
    <t>Unique Well Identifier:</t>
  </si>
  <si>
    <t>(6)  Alberta Human Resources &amp; Employment (OH&amp;S)</t>
  </si>
  <si>
    <t>Edmonton District Office</t>
  </si>
  <si>
    <t>Manager Northern Region</t>
  </si>
  <si>
    <t>Eric Reitsma</t>
  </si>
  <si>
    <t>780-427-8848</t>
  </si>
  <si>
    <t>(B)  Contacted by EUB</t>
  </si>
  <si>
    <t>(1)  Alberta Municipal Affairs</t>
  </si>
  <si>
    <t>St. Albert Disaster Services District Office</t>
  </si>
  <si>
    <t>Bob VanGoethem, Disaster Services Officer</t>
  </si>
  <si>
    <t>780-418-4666</t>
  </si>
  <si>
    <t>1-800-272-9600</t>
  </si>
  <si>
    <t>Exectutive Director</t>
  </si>
  <si>
    <t>Ron Wolsey</t>
  </si>
  <si>
    <t xml:space="preserve">     </t>
  </si>
  <si>
    <t>780-427-8711</t>
  </si>
  <si>
    <t>(2)  Alberta Environment</t>
  </si>
  <si>
    <t>Land and Forest Services</t>
  </si>
  <si>
    <t>Fish and Wildlife</t>
  </si>
  <si>
    <t>Direct:</t>
  </si>
  <si>
    <t>Enforcement and Monitoring</t>
  </si>
  <si>
    <t>(3)  Associate Ministry of Forests</t>
  </si>
  <si>
    <t>Forests, Woodlands District</t>
  </si>
  <si>
    <t>Forest Fire</t>
  </si>
  <si>
    <t>780-427-3473</t>
  </si>
  <si>
    <t>(4)  Regional Health Authority</t>
  </si>
  <si>
    <t>Contact</t>
  </si>
  <si>
    <t>Welding</t>
  </si>
  <si>
    <t>Applicable H.A.</t>
  </si>
  <si>
    <t>(4)  Contractors</t>
  </si>
  <si>
    <t>Home:</t>
  </si>
  <si>
    <t>(5)  Emergency Medical Services</t>
  </si>
  <si>
    <t>(A)  Ambulance</t>
  </si>
  <si>
    <t>Emergency:</t>
  </si>
  <si>
    <t>*4567</t>
  </si>
  <si>
    <t>Nearest:</t>
  </si>
  <si>
    <t>(B)  Hospitals</t>
  </si>
  <si>
    <t>( C )  Local Fire Departments</t>
  </si>
  <si>
    <t>Alarm:</t>
  </si>
  <si>
    <t>(6)  Industry Support Services</t>
  </si>
  <si>
    <t>(A)  Air Monitoring</t>
  </si>
  <si>
    <t>Monitrex Engineering (Calgary)</t>
  </si>
  <si>
    <t>403-291-3590</t>
  </si>
  <si>
    <t>1-800-264-5691</t>
  </si>
  <si>
    <t>Splash and Dore Safety</t>
  </si>
  <si>
    <t>(B)  Fire Fighting Services</t>
  </si>
  <si>
    <t>Safety Boss (Red Deer)</t>
  </si>
  <si>
    <t>Firemaster (Red Deer)</t>
  </si>
  <si>
    <t>403-342-1310</t>
  </si>
  <si>
    <t>403-342-7500</t>
  </si>
  <si>
    <t>( C )  Helicopter Services</t>
  </si>
  <si>
    <t>(D)  Safety Services</t>
  </si>
  <si>
    <t>United Resource Safety Ltd. (Calgary)</t>
  </si>
  <si>
    <t>Standard Safety (Red Deer)</t>
  </si>
  <si>
    <t>1-800-432-1809</t>
  </si>
  <si>
    <t>403-347-2722</t>
  </si>
  <si>
    <t>(E)  Oil Spill Co-op Area "_____"</t>
  </si>
  <si>
    <t>Contact:</t>
  </si>
  <si>
    <t>(7)  Evacuation Contacts</t>
  </si>
  <si>
    <t>Trappers, Forestry Companies, Industry Operators</t>
  </si>
  <si>
    <t>Outline of responsibilities during an emergency situation</t>
  </si>
  <si>
    <t>Supports flow chart and call down structure</t>
  </si>
  <si>
    <t>Company personnel have total responsibility to implement the ERP.  If an incident</t>
  </si>
  <si>
    <t>occurs during drilling or completion operations, when the H2S formation is open to the</t>
  </si>
  <si>
    <t>wellbore, the Senior On-Site Drilling/Completions Supervisor (On-Scene Commander)</t>
  </si>
  <si>
    <t>shall assess the situation, consult with the Drilling/Completions Superintendent, and</t>
  </si>
  <si>
    <t>activate the ERP if the situation warrants.  Additional contacts are then made to fully</t>
  </si>
  <si>
    <t>implement the ERP.</t>
  </si>
  <si>
    <t>The following Company and contract personnel are available to implement the ERP:</t>
  </si>
  <si>
    <t>(1)  Drilling/Completions Supervisor or Alternate</t>
  </si>
  <si>
    <t>Bottom H.D.:</t>
  </si>
  <si>
    <t>Top H.D.:</t>
  </si>
  <si>
    <t>(2)  Rig Manager/Testing Supervisor or Alternate</t>
  </si>
  <si>
    <t>(3)  On-Duty Safety Supervisor</t>
  </si>
  <si>
    <t>(4)  Off-Duty Safety Supervisor</t>
  </si>
  <si>
    <t>Phone #:</t>
  </si>
  <si>
    <t>MENU</t>
  </si>
  <si>
    <t>OPERATION SUMMARY</t>
  </si>
  <si>
    <t>Rick Johnson</t>
  </si>
  <si>
    <t>(5)  EPZ Rover(s) if applicable</t>
  </si>
  <si>
    <t>(6)  Evacuation/Roadblock Personnel</t>
  </si>
  <si>
    <t>(7)  Mobile Air Monitoring Technician</t>
  </si>
  <si>
    <t>(8)  Drilling/Completions Superintendent</t>
  </si>
  <si>
    <t>(9)  V.P. Production</t>
  </si>
  <si>
    <t>(10)  Emergency Operations Centre Representative</t>
  </si>
  <si>
    <t>NOTE:  All Company and contract personnel involved with the implementation of the</t>
  </si>
  <si>
    <r>
      <t xml:space="preserve">ERP must maintain an accurate </t>
    </r>
    <r>
      <rPr>
        <u/>
        <sz val="10"/>
        <rFont val="Arial"/>
        <family val="2"/>
      </rPr>
      <t>Incident/Event Log</t>
    </r>
    <r>
      <rPr>
        <sz val="10"/>
        <rFont val="Arial"/>
        <family val="2"/>
      </rPr>
      <t>.  (Forms are contained in Appendix</t>
    </r>
  </si>
  <si>
    <t>2.)</t>
  </si>
  <si>
    <t>The responsibilities and duties of Company and contract personnel are as follows:</t>
  </si>
  <si>
    <t>Accommodation</t>
  </si>
  <si>
    <t>(1)  Drilling/Completions Supervisor</t>
  </si>
  <si>
    <t>ON-SCENE COMMANDER</t>
  </si>
  <si>
    <t>Load Oil</t>
  </si>
  <si>
    <t>Chemical</t>
  </si>
  <si>
    <t>NOTE:  Prior to Critical Operations, the Drilling/Completions Supervisor will notify a</t>
  </si>
  <si>
    <t>Field Contact Name:</t>
  </si>
  <si>
    <t>As per AEUB "Guide 60" guideline, all residents within a 3 km radius must be informed of the well</t>
  </si>
  <si>
    <t>operator's intent to flare a limited amount of gas near the conclusion of the completions operation, to clean</t>
  </si>
  <si>
    <t xml:space="preserve">up and test the well.  </t>
  </si>
  <si>
    <t>Residents Notified:</t>
  </si>
  <si>
    <t xml:space="preserve">Phone Number: </t>
  </si>
  <si>
    <t>Expected Hydrogen Sulphide Content:</t>
  </si>
  <si>
    <t>Projected commencement of Flare Operation:</t>
  </si>
  <si>
    <t>Estimated length of time flaring:</t>
  </si>
  <si>
    <t>Received Notification Signatures</t>
  </si>
  <si>
    <t>mobile air monitoring unit and place unit on standby.</t>
  </si>
  <si>
    <t>Declare a Level 1, 2 or 3 Emergency and establish the On-Site Command Post.</t>
  </si>
  <si>
    <t>(a)  Level 1 Emergency</t>
  </si>
  <si>
    <t>Notify the Drilling Superintendent or VP Production as to the current situation</t>
  </si>
  <si>
    <t>at the wellsite, potential hazards, weather conditions and external support</t>
  </si>
  <si>
    <t xml:space="preserve">services that may be required (EUB, RCMP, additional personnel and </t>
  </si>
  <si>
    <t>equipment)</t>
  </si>
  <si>
    <t>Notify the Alternate Drilling/Completions Supervisor and request assistance</t>
  </si>
  <si>
    <t>as required.</t>
  </si>
  <si>
    <t>Notify a mobile air monitoring unit and place on standby.</t>
  </si>
  <si>
    <t>Notify the On-Duty Safety Supervisor to:</t>
  </si>
  <si>
    <t>Supervisor, Off-Duty Safety Supervisor, Wellsite Geologist, and other</t>
  </si>
  <si>
    <t>wellsite Personnel.</t>
  </si>
  <si>
    <t>**Alert the Rig Manager/Testing Supervisor/Alternate Rig Manager/Testing</t>
  </si>
  <si>
    <t>**Dispatch non-essential personnel from the wellsite.</t>
  </si>
  <si>
    <t>**Notify local emergency services (ambulance, fire department, hospital) as</t>
  </si>
  <si>
    <t>required.</t>
  </si>
  <si>
    <t>**Direct well control procedures.</t>
  </si>
  <si>
    <t>(b)  Level 2 Emergency</t>
  </si>
  <si>
    <t>Notify personnel previously contacted of the change to a Level 2 Emergency</t>
  </si>
  <si>
    <t>condition.</t>
  </si>
  <si>
    <t>Dispatch a mobile air monitoring unit to the wellsite to commence air</t>
  </si>
  <si>
    <t>monitoring downwind of the wellsite.</t>
  </si>
  <si>
    <t>Continue to implement well control procedures.</t>
  </si>
  <si>
    <t>Ensure Firefly Blowout Ignition System is in a state of Readiness.</t>
  </si>
  <si>
    <t>Place Ignition Teams on standby.</t>
  </si>
  <si>
    <t>BHA ASSEMBLY</t>
  </si>
  <si>
    <t>STRING SECTION</t>
  </si>
  <si>
    <t>BHA:</t>
  </si>
  <si>
    <t>STRING:</t>
  </si>
  <si>
    <t>( c )  Level 3 Emergency</t>
  </si>
  <si>
    <t>Notify personnel previously contacted of the change to a Level 3 Emergency</t>
  </si>
  <si>
    <t>LTR Start:</t>
  </si>
  <si>
    <t>LTR End:</t>
  </si>
  <si>
    <r>
      <t>m</t>
    </r>
    <r>
      <rPr>
        <b/>
        <sz val="12"/>
        <rFont val="Arial"/>
        <family val="2"/>
      </rPr>
      <t>³</t>
    </r>
  </si>
  <si>
    <t>Consult with Drilling Superintendent or VP Production, EUB representative,</t>
  </si>
  <si>
    <t>Rig Manager/Testing Supervisor and On-Duty Safety Supervisor. (The</t>
  </si>
  <si>
    <t xml:space="preserve">Drilling Superintendent or VP Production and an EUB Representative </t>
  </si>
  <si>
    <t>should be at the OSCP).</t>
  </si>
  <si>
    <t>To back up costs as shown on the Cost Control Report</t>
  </si>
  <si>
    <t>SITE SPECIFIC EMERGENCY RESPONSE PLAN</t>
  </si>
  <si>
    <t>LOCATION</t>
  </si>
  <si>
    <t>EFFECTIVE DATE</t>
  </si>
  <si>
    <t>Communication</t>
  </si>
  <si>
    <t>Total Shots Fired</t>
  </si>
  <si>
    <t xml:space="preserve">° </t>
  </si>
  <si>
    <t>CEMENT BOND LOG EVALUATION</t>
  </si>
  <si>
    <t>UWI:</t>
  </si>
  <si>
    <t>DATE OF BOND LOG:</t>
  </si>
  <si>
    <t>INTERVALS OF INTEREST</t>
  </si>
  <si>
    <t>BOND LOG INTERVAL:</t>
  </si>
  <si>
    <t>TO</t>
  </si>
  <si>
    <t>LOGGING COMPANY:</t>
  </si>
  <si>
    <t>yes</t>
  </si>
  <si>
    <t xml:space="preserve"> 114 - Minor Stimulations &amp; Workovers</t>
  </si>
  <si>
    <t xml:space="preserve"> 162 - Downhole Rod Pump Repair/Workover</t>
  </si>
  <si>
    <t xml:space="preserve"> 163 - Jetpump Work Downhole</t>
  </si>
  <si>
    <t xml:space="preserve"> 164 - ESP Change/Workover</t>
  </si>
  <si>
    <t xml:space="preserve"> 165 - Disposal Well Stimulation &amp; Minor Workover</t>
  </si>
  <si>
    <t>Codes</t>
  </si>
  <si>
    <t>LOCATION:</t>
  </si>
  <si>
    <t>WI %</t>
  </si>
  <si>
    <t>FIELD:</t>
  </si>
  <si>
    <t>ESTIMATED DAYS:</t>
  </si>
  <si>
    <t>PROJECT:</t>
  </si>
  <si>
    <t>Gross</t>
  </si>
  <si>
    <t>Net</t>
  </si>
  <si>
    <t>Costs</t>
  </si>
  <si>
    <t>Cement top:</t>
  </si>
  <si>
    <t xml:space="preserve">Correlated to: </t>
  </si>
  <si>
    <t>Light Towers</t>
  </si>
  <si>
    <t>TOTAL COSTS</t>
  </si>
  <si>
    <t>COMPLETION / WORKOVER COST ESTIMATE</t>
  </si>
  <si>
    <t>COMPLETION / WORKOVER INTANGIBLE COSTS</t>
  </si>
  <si>
    <t>Cost/Day:</t>
  </si>
  <si>
    <t>Water Cut</t>
  </si>
  <si>
    <t>GOR</t>
  </si>
  <si>
    <t>PAGE 3</t>
  </si>
  <si>
    <t>PAGE 4</t>
  </si>
  <si>
    <t>PAGE 5</t>
  </si>
  <si>
    <t>Average GOR:</t>
  </si>
  <si>
    <t>COMPLETION / WORKOVER TANGIBLE COSTS</t>
  </si>
  <si>
    <t>m             Cost/m:</t>
  </si>
  <si>
    <t>SUBTOTAL COMPLETION / WORKOVER INTANGIBLE AND TANGIBLE COSTS</t>
  </si>
  <si>
    <t>BOND LOG EVALUATION BY INTERVAL (poor, fair, good, very good):</t>
  </si>
  <si>
    <t>EVALUATED BY:</t>
  </si>
  <si>
    <t>ERROR CHECKER</t>
  </si>
  <si>
    <t>1 to 10</t>
  </si>
  <si>
    <t>11 to 20</t>
  </si>
  <si>
    <t>21 to 30</t>
  </si>
  <si>
    <t>31 to 40</t>
  </si>
  <si>
    <t>41 to 50</t>
  </si>
  <si>
    <t>51 to 60</t>
  </si>
  <si>
    <t>61 to 70</t>
  </si>
  <si>
    <t>71 to 80</t>
  </si>
  <si>
    <t>Tubing Depth:</t>
  </si>
  <si>
    <t>Tubing Coefficient:</t>
  </si>
  <si>
    <t>Casing Annular Coefficient:</t>
  </si>
  <si>
    <t>Top of Perfs:</t>
  </si>
  <si>
    <t>Displacement to Perf Top:</t>
  </si>
  <si>
    <t>101 to 110</t>
  </si>
  <si>
    <t>81 to 90</t>
  </si>
  <si>
    <t>111 to 120</t>
  </si>
  <si>
    <t>91 to 100</t>
  </si>
  <si>
    <t>121 to 130</t>
  </si>
  <si>
    <t>131 to 140</t>
  </si>
  <si>
    <t>141 to 150</t>
  </si>
  <si>
    <t>181 to 190</t>
  </si>
  <si>
    <t>151 to 160</t>
  </si>
  <si>
    <t>191 to 200</t>
  </si>
  <si>
    <t>161 to 170</t>
  </si>
  <si>
    <t>201 to 210</t>
  </si>
  <si>
    <t>171 to 180</t>
  </si>
  <si>
    <t>211 to 220</t>
  </si>
  <si>
    <t>Flowing Well:</t>
  </si>
  <si>
    <t>Open Hole?</t>
  </si>
  <si>
    <t>221 to 230</t>
  </si>
  <si>
    <t>261 to 270</t>
  </si>
  <si>
    <t>231 to 240</t>
  </si>
  <si>
    <t>271 to 280</t>
  </si>
  <si>
    <t>241 to 250</t>
  </si>
  <si>
    <t>281 to 290</t>
  </si>
  <si>
    <t>251 to 260</t>
  </si>
  <si>
    <t>291 to 300</t>
  </si>
  <si>
    <t>301 to 310</t>
  </si>
  <si>
    <t>341 to 350</t>
  </si>
  <si>
    <t>311 to 320</t>
  </si>
  <si>
    <t>351 to 360</t>
  </si>
  <si>
    <t>321 to 330</t>
  </si>
  <si>
    <t>361 to 370</t>
  </si>
  <si>
    <t>331 to 340</t>
  </si>
  <si>
    <t>371 to 380</t>
  </si>
  <si>
    <t xml:space="preserve">  S/N:</t>
  </si>
  <si>
    <t>PRESSURE PASS:</t>
  </si>
  <si>
    <t>DETAILED RIG INSPECTION REPORT</t>
  </si>
  <si>
    <t>CONTRACTOR</t>
  </si>
  <si>
    <t>RIG No.</t>
  </si>
  <si>
    <t>SUPERVISOR</t>
  </si>
  <si>
    <t>SATISFACTORY</t>
  </si>
  <si>
    <t>YES</t>
  </si>
  <si>
    <t xml:space="preserve">     ICE-FREE LOCATION?</t>
  </si>
  <si>
    <t xml:space="preserve">      PROPERLY?</t>
  </si>
  <si>
    <t xml:space="preserve">     TO OPERATE ALL PREVENTERS?</t>
  </si>
  <si>
    <t xml:space="preserve">    SATISFACTORY?</t>
  </si>
  <si>
    <t xml:space="preserve">    (EG. NOT OUT OF CALIBRATION OR RANGE TOO LARGE)?</t>
  </si>
  <si>
    <t>Fluid Rate (m³/d):</t>
  </si>
  <si>
    <t>Average Wtr Cut:</t>
  </si>
  <si>
    <t>Hours Flowing:</t>
  </si>
  <si>
    <t>Hrs Flowing:</t>
  </si>
  <si>
    <t>Avge Wtr Cut:</t>
  </si>
  <si>
    <t xml:space="preserve">     DRILLERS LOCATION?</t>
  </si>
  <si>
    <t xml:space="preserve">     RATING?</t>
  </si>
  <si>
    <t xml:space="preserve">     PRESSURE RATING?</t>
  </si>
  <si>
    <t xml:space="preserve">    (BOP STACK)?</t>
  </si>
  <si>
    <t xml:space="preserve">     UNIT?</t>
  </si>
  <si>
    <t xml:space="preserve">   MANIFOLD?</t>
  </si>
  <si>
    <t xml:space="preserve">        PRESSURE OF NITROGEN BOTTLE(S)?</t>
  </si>
  <si>
    <t xml:space="preserve">      BOP STACK?</t>
  </si>
  <si>
    <t xml:space="preserve">       INSTALLED?</t>
  </si>
  <si>
    <t xml:space="preserve">       BOPS)?</t>
  </si>
  <si>
    <t xml:space="preserve">      PREVENTERS?</t>
  </si>
  <si>
    <t xml:space="preserve">    FIRE SHEATHED WITH NO SHEATHING DAMAGE?</t>
  </si>
  <si>
    <t>Methanol</t>
  </si>
  <si>
    <t xml:space="preserve">       SIZED?</t>
  </si>
  <si>
    <t>Tubing String Weight (daN)</t>
  </si>
  <si>
    <t>Landed String Weight (daN)</t>
  </si>
  <si>
    <t xml:space="preserve">      AND RECHARGE PRESSURE?</t>
  </si>
  <si>
    <t xml:space="preserve">       AND RECHARGE PUMP?</t>
  </si>
  <si>
    <t>Service</t>
  </si>
  <si>
    <t xml:space="preserve">      CLASS 1 AND 2, 25 M. CLASS 3?</t>
  </si>
  <si>
    <t xml:space="preserve">      ANNULAR 60 SEC.)(BELOW 350 mm)</t>
  </si>
  <si>
    <t xml:space="preserve">    PROPERLY MAINTAINED?</t>
  </si>
  <si>
    <t xml:space="preserve">    CONNECTED?</t>
  </si>
  <si>
    <t xml:space="preserve">     INLET LINE?</t>
  </si>
  <si>
    <t>1. DAILY WALKAROUNDS RECORDED IN LOG</t>
  </si>
  <si>
    <t xml:space="preserve">        DEFICIENCIES NOTED?</t>
  </si>
  <si>
    <t xml:space="preserve">    AND GOVERNMENT POLICIES? MIN. ONCE PER WEEK.</t>
  </si>
  <si>
    <t xml:space="preserve">         AND CONTAIN NO VALVES?</t>
  </si>
  <si>
    <t xml:space="preserve">        WHEN HUNG ABOVE FLOOR?</t>
  </si>
  <si>
    <t xml:space="preserve">     RIG TANKS, STORAGE TANKS OR PUMPING EQUIPMENT?</t>
  </si>
  <si>
    <t xml:space="preserve">    (ALLOWED IN DESIGNATED AREAS ONLY)</t>
  </si>
  <si>
    <t xml:space="preserve">        CHEMICALS ON LOCATION?</t>
  </si>
  <si>
    <t xml:space="preserve">        PROTECTION WHEN WORKING WITH SUBSTANCES WHICH MAY </t>
  </si>
  <si>
    <t xml:space="preserve">        DAMAGE THE  SKIN OR EYE ON CONTACT?</t>
  </si>
  <si>
    <t>Sucker Rod Calculation</t>
  </si>
  <si>
    <t>Depth of PSN:</t>
  </si>
  <si>
    <t># Rods</t>
  </si>
  <si>
    <t>Total Number of Rods</t>
  </si>
  <si>
    <t>% of scrapered:</t>
  </si>
  <si>
    <t>% of plain:</t>
  </si>
  <si>
    <t>Polish Rod Length:</t>
  </si>
  <si>
    <t>Total</t>
  </si>
  <si>
    <t xml:space="preserve">        SKIN ARE USED, FACILITIES ARE IMMEDIATELY AVAILABLE TO CLEANSE</t>
  </si>
  <si>
    <t xml:space="preserve">        CONTAMINATED BODY AREAS, INCLUDING EYEWASH FACILITIES?</t>
  </si>
  <si>
    <t xml:space="preserve">          ARE POSTED?</t>
  </si>
  <si>
    <t xml:space="preserve">     PRESSURE TEST?</t>
  </si>
  <si>
    <t xml:space="preserve">         OF GOOD REPAIR?</t>
  </si>
  <si>
    <t xml:space="preserve">          PROVIDED AND WORN?</t>
  </si>
  <si>
    <t xml:space="preserve">     DAILY?</t>
  </si>
  <si>
    <t xml:space="preserve">       AND WORN?</t>
  </si>
  <si>
    <t xml:space="preserve">          FIRE EXTINGUISHERS RATED AT NOT LESS THAN 40 BC CAPACITY?</t>
  </si>
  <si>
    <t xml:space="preserve">     WITH SHUT-OFFS?</t>
  </si>
  <si>
    <t xml:space="preserve">      PRIOR TO COMMENCING OPERATIONS?</t>
  </si>
  <si>
    <t xml:space="preserve">          DANGEROUS GOODS CERTIFICATES?</t>
  </si>
  <si>
    <t>CERTIFICATES</t>
  </si>
  <si>
    <t>NAME</t>
  </si>
  <si>
    <t>WELL SERVICE BOP EXPIRY</t>
  </si>
  <si>
    <t>FIRST AID EXPIRY</t>
  </si>
  <si>
    <t>H2S ALERT EXPIRY</t>
  </si>
  <si>
    <t>TDG      EXPIRY</t>
  </si>
  <si>
    <t>WHIMIS EXPIRY</t>
  </si>
  <si>
    <t>OTHERS</t>
  </si>
  <si>
    <t>RIG MANAGER</t>
  </si>
  <si>
    <t>DRILLER</t>
  </si>
  <si>
    <t>DERRICK HAND</t>
  </si>
  <si>
    <t>FLOORHAND</t>
  </si>
  <si>
    <r>
      <t>1</t>
    </r>
    <r>
      <rPr>
        <sz val="6"/>
        <rFont val="Arial"/>
        <family val="2"/>
      </rPr>
      <t>.*USING APPROVED PREVENTER?</t>
    </r>
  </si>
  <si>
    <r>
      <t>1</t>
    </r>
    <r>
      <rPr>
        <sz val="6"/>
        <rFont val="Arial"/>
        <family val="2"/>
      </rPr>
      <t>.*BLOWOUT PREVENTERS NOT ICED UP?</t>
    </r>
  </si>
  <si>
    <r>
      <t>2</t>
    </r>
    <r>
      <rPr>
        <sz val="6"/>
        <rFont val="Arial"/>
        <family val="2"/>
      </rPr>
      <t>.*PROPER PIPE RAM SIZING?</t>
    </r>
  </si>
  <si>
    <r>
      <t>2</t>
    </r>
    <r>
      <rPr>
        <sz val="6"/>
        <rFont val="Arial"/>
        <family val="2"/>
      </rPr>
      <t>.*BLEED-OFF AND/OR KILL LINES NOT ICED UP?</t>
    </r>
  </si>
  <si>
    <r>
      <t>3</t>
    </r>
    <r>
      <rPr>
        <sz val="6"/>
        <rFont val="Arial"/>
        <family val="2"/>
      </rPr>
      <t>.*BOP PRESSURE RATING SATISFACTORY?</t>
    </r>
  </si>
  <si>
    <r>
      <t>3</t>
    </r>
    <r>
      <rPr>
        <sz val="6"/>
        <rFont val="Arial"/>
        <family val="2"/>
      </rPr>
      <t>.*BLOWOUT PREVENTERS ADEQUATELY HEATED?</t>
    </r>
  </si>
  <si>
    <r>
      <t>4</t>
    </r>
    <r>
      <rPr>
        <sz val="6"/>
        <rFont val="Arial"/>
        <family val="2"/>
      </rPr>
      <t>.*ALL REQUIRED STACK COMPONENTS INSTALLED?</t>
    </r>
  </si>
  <si>
    <t>BUTTONS</t>
  </si>
  <si>
    <r>
      <t>4</t>
    </r>
    <r>
      <rPr>
        <sz val="6"/>
        <rFont val="Arial"/>
        <family val="2"/>
      </rPr>
      <t>. STABBING VALVE AND CROSS-OVER SUB KEPT IN</t>
    </r>
  </si>
  <si>
    <r>
      <t>5</t>
    </r>
    <r>
      <rPr>
        <sz val="6"/>
        <rFont val="Arial"/>
        <family val="2"/>
      </rPr>
      <t>.*SPOOLS PROPER PRESSURE RATING?</t>
    </r>
  </si>
  <si>
    <r>
      <t>5</t>
    </r>
    <r>
      <rPr>
        <sz val="6"/>
        <rFont val="Arial"/>
        <family val="2"/>
      </rPr>
      <t>. ACCUMULATOR ADEQUATELY HEATED?</t>
    </r>
  </si>
  <si>
    <r>
      <t>6</t>
    </r>
    <r>
      <rPr>
        <sz val="6"/>
        <rFont val="Arial"/>
        <family val="2"/>
      </rPr>
      <t>.*TUBING STRIPPER INSTALLED AND OPERATING</t>
    </r>
  </si>
  <si>
    <r>
      <t>1</t>
    </r>
    <r>
      <rPr>
        <sz val="6"/>
        <rFont val="Arial"/>
        <family val="2"/>
      </rPr>
      <t>.*ACCUMULATOR AND PRECHARGE PRESSURE ADEQUATE</t>
    </r>
  </si>
  <si>
    <r>
      <t>7</t>
    </r>
    <r>
      <rPr>
        <sz val="6"/>
        <rFont val="Arial"/>
        <family val="2"/>
      </rPr>
      <t>.*ALL PREVENTERS PRESSURE TESTED?</t>
    </r>
  </si>
  <si>
    <r>
      <t>2</t>
    </r>
    <r>
      <rPr>
        <sz val="6"/>
        <rFont val="Arial"/>
        <family val="2"/>
      </rPr>
      <t>.*ACCUMULATOR CONNECTED TO HYDRAULIC SYSTEM?</t>
    </r>
  </si>
  <si>
    <t>Waste Manifest Information:</t>
  </si>
  <si>
    <t>DAILY RECORD</t>
  </si>
  <si>
    <t>RECORD OF</t>
  </si>
  <si>
    <t>Misc.</t>
  </si>
  <si>
    <t>LOAD FLUID SUMMARY</t>
  </si>
  <si>
    <t>SWAB/FLOW REPORT</t>
  </si>
  <si>
    <t>AMOUNT</t>
  </si>
  <si>
    <r>
      <t>8</t>
    </r>
    <r>
      <rPr>
        <sz val="6"/>
        <rFont val="Arial"/>
        <family val="2"/>
      </rPr>
      <t>. THREE YEAR SHOP SERVICING CONDUCTED?</t>
    </r>
  </si>
  <si>
    <r>
      <t>3</t>
    </r>
    <r>
      <rPr>
        <sz val="6"/>
        <rFont val="Arial"/>
        <family val="2"/>
      </rPr>
      <t>.*ACCUMULATOR VOLUME ADEQUATE?(SEE CHARTS)</t>
    </r>
  </si>
  <si>
    <r>
      <t>9</t>
    </r>
    <r>
      <rPr>
        <sz val="6"/>
        <rFont val="Arial"/>
        <family val="2"/>
      </rPr>
      <t>.ARRANGEMENT OF PREVENTER COMPONENTS</t>
    </r>
  </si>
  <si>
    <r>
      <t>4</t>
    </r>
    <r>
      <rPr>
        <sz val="6"/>
        <rFont val="Arial"/>
        <family val="2"/>
      </rPr>
      <t>.*ACCUMULATOR GAUGE ACCURATE?</t>
    </r>
  </si>
  <si>
    <r>
      <t>1</t>
    </r>
    <r>
      <rPr>
        <sz val="6"/>
        <rFont val="Arial"/>
        <family val="2"/>
      </rPr>
      <t>.*PRESSURE GAUGE AT MANIFOLD ACCURATE</t>
    </r>
  </si>
  <si>
    <r>
      <t>5</t>
    </r>
    <r>
      <rPr>
        <sz val="6"/>
        <rFont val="Arial"/>
        <family val="2"/>
      </rPr>
      <t>.*FULL BOP CONTROLS PROVIDED AND WORKABLE AT OR NEAR</t>
    </r>
  </si>
  <si>
    <r>
      <t>2</t>
    </r>
    <r>
      <rPr>
        <sz val="6"/>
        <rFont val="Arial"/>
        <family val="2"/>
      </rPr>
      <t>.*KILL LINE, BLEED OFF LINE PROPER PRESSURE</t>
    </r>
  </si>
  <si>
    <r>
      <t>6</t>
    </r>
    <r>
      <rPr>
        <sz val="6"/>
        <rFont val="Arial"/>
        <family val="2"/>
      </rPr>
      <t>.*REMOTE BOP CONTROLS PROVIDED AND WORKABLE?</t>
    </r>
  </si>
  <si>
    <t>PACKERS/PLUGS</t>
  </si>
  <si>
    <r>
      <t>3</t>
    </r>
    <r>
      <rPr>
        <sz val="6"/>
        <rFont val="Arial"/>
        <family val="2"/>
      </rPr>
      <t>.*SHOCK HOSE IN KILL, BLEED-OFF LINE PROPER</t>
    </r>
  </si>
  <si>
    <t>Surface Casing Vent Flow/</t>
  </si>
  <si>
    <t>Gas Migration Data Sheet</t>
  </si>
  <si>
    <t>expired</t>
  </si>
  <si>
    <t>Reg Aware 2005</t>
  </si>
  <si>
    <t>You must complete a separate form for each well and submit the form to the appropriate EUB Area Office. The Well Abandonment Guide comes with a pad of additional</t>
  </si>
  <si>
    <t>data sheets; more copies are available from EUB Information Services. 403-297-8190, fax 403-297-7040.</t>
  </si>
  <si>
    <t>The licensee certifies that the information on this sheet is correct and that the vent flow or gas</t>
  </si>
  <si>
    <t>Date</t>
  </si>
  <si>
    <t>Your file Number</t>
  </si>
  <si>
    <t>Time (minutes)</t>
  </si>
  <si>
    <t>TIME &amp; Date Shut in:</t>
  </si>
  <si>
    <t>migration repair will be done according to regulatory requirements of as directed by the EUB.</t>
  </si>
  <si>
    <t>1: GENERAL INFORMATION AND CERTIFICATION</t>
  </si>
  <si>
    <t>Company Name</t>
  </si>
  <si>
    <t>Licensee Code</t>
  </si>
  <si>
    <t>LICENSEE</t>
  </si>
  <si>
    <t>Agent Code</t>
  </si>
  <si>
    <t>AGENT</t>
  </si>
  <si>
    <t>Consultant Code</t>
  </si>
  <si>
    <t>CONSULTANT        N/A</t>
  </si>
  <si>
    <t>Last Name</t>
  </si>
  <si>
    <t>First Name</t>
  </si>
  <si>
    <t>CONTACT PERSON</t>
  </si>
  <si>
    <t>Business</t>
  </si>
  <si>
    <t>Fax</t>
  </si>
  <si>
    <t>TELEPHONE</t>
  </si>
  <si>
    <t>2: WELL TEST INFORMATION</t>
  </si>
  <si>
    <t>LICENSE</t>
  </si>
  <si>
    <t>UNIQUE</t>
  </si>
  <si>
    <t xml:space="preserve">DATE </t>
  </si>
  <si>
    <t>NO.:</t>
  </si>
  <si>
    <t>IDENTIFIER:</t>
  </si>
  <si>
    <t>TESTED:</t>
  </si>
  <si>
    <t>3: SURFACE CASING VENT FLOW TEST DATA</t>
  </si>
  <si>
    <t>Vent Flow Exists</t>
  </si>
  <si>
    <t>Test Type (e.g., bubble test, other):</t>
  </si>
  <si>
    <t>If YES, complete the rest of this section.</t>
  </si>
  <si>
    <t>Type of Flow.</t>
  </si>
  <si>
    <t>Salt Water</t>
  </si>
  <si>
    <t>Other (specify)</t>
  </si>
  <si>
    <t xml:space="preserve">The flow is </t>
  </si>
  <si>
    <t>Sweet</t>
  </si>
  <si>
    <t>Sour</t>
  </si>
  <si>
    <t>Casing Information</t>
  </si>
  <si>
    <t>Surface Casing</t>
  </si>
  <si>
    <t>Grade</t>
  </si>
  <si>
    <t>Production Casing</t>
  </si>
  <si>
    <t>Cementing Details</t>
  </si>
  <si>
    <t>Cement Top</t>
  </si>
  <si>
    <t>m      Logged</t>
  </si>
  <si>
    <t>Yes         No</t>
  </si>
  <si>
    <t>Estimated (from log, tour reports)</t>
  </si>
  <si>
    <t>Describe cementing detail (e.g., type, blend, specifications):</t>
  </si>
  <si>
    <t>Vent Flow Data:</t>
  </si>
  <si>
    <t>TUBULARS/CASING</t>
  </si>
  <si>
    <t>Cost Codes</t>
  </si>
  <si>
    <t>Metric Values</t>
  </si>
  <si>
    <t>English Values</t>
  </si>
  <si>
    <r>
      <t>m</t>
    </r>
    <r>
      <rPr>
        <sz val="10"/>
        <rFont val="Aptos Narrow"/>
        <family val="2"/>
      </rPr>
      <t>³</t>
    </r>
  </si>
  <si>
    <t>bbl</t>
  </si>
  <si>
    <t>psi</t>
  </si>
  <si>
    <t xml:space="preserve">m </t>
  </si>
  <si>
    <t>ft</t>
  </si>
  <si>
    <t>lbs</t>
  </si>
  <si>
    <t>Cost Name</t>
  </si>
  <si>
    <t>Sub-Code</t>
  </si>
  <si>
    <t>DEPTH</t>
  </si>
  <si>
    <t>Contingency</t>
  </si>
  <si>
    <t>Packers/Nipples/Fittings</t>
  </si>
  <si>
    <t>BHP/ESP</t>
  </si>
  <si>
    <t>Sucker Rods/Equip</t>
  </si>
  <si>
    <t>Bridge Plugs</t>
  </si>
  <si>
    <t>Activity Code</t>
  </si>
  <si>
    <t>Tangibles</t>
  </si>
  <si>
    <t>Materials</t>
  </si>
  <si>
    <t>Supervision</t>
  </si>
  <si>
    <t>MPa</t>
  </si>
  <si>
    <t>ELEVATIONS :</t>
  </si>
  <si>
    <t>TVD :</t>
  </si>
  <si>
    <t>ftKB</t>
  </si>
  <si>
    <t>INTERVALS :</t>
  </si>
  <si>
    <t>Pictoral Summary (Insert pictures here)</t>
  </si>
  <si>
    <t>Units used:</t>
  </si>
  <si>
    <t>KB DEPTH</t>
  </si>
  <si>
    <t>SETTING DEPTH</t>
  </si>
  <si>
    <t>Tubing String Weight</t>
  </si>
  <si>
    <t>Total Depth:</t>
  </si>
  <si>
    <t>Sucker Rods Metric/English</t>
  </si>
  <si>
    <t>¾</t>
  </si>
  <si>
    <t>⅞</t>
  </si>
  <si>
    <t>⅝</t>
  </si>
  <si>
    <r>
      <t>1</t>
    </r>
    <r>
      <rPr>
        <sz val="10"/>
        <rFont val="Aptos Narrow"/>
        <family val="2"/>
      </rPr>
      <t>¼</t>
    </r>
  </si>
  <si>
    <t>Plain</t>
  </si>
  <si>
    <t>Scrapered</t>
  </si>
  <si>
    <t>Guided</t>
  </si>
  <si>
    <t>Units Used on this form:</t>
  </si>
  <si>
    <t>Units Used on this Report:</t>
  </si>
  <si>
    <t>Permanent Datum:</t>
  </si>
  <si>
    <t>Bottom KB</t>
  </si>
  <si>
    <t>Top KB</t>
  </si>
  <si>
    <t>Bottom @ KB:</t>
  </si>
  <si>
    <r>
      <t>Vol m</t>
    </r>
    <r>
      <rPr>
        <sz val="10"/>
        <rFont val="Aptos Narrow"/>
        <family val="2"/>
      </rPr>
      <t>³</t>
    </r>
  </si>
  <si>
    <t>Vol BBLS</t>
  </si>
  <si>
    <r>
      <t>60 m</t>
    </r>
    <r>
      <rPr>
        <sz val="10"/>
        <rFont val="Aptos Narrow"/>
        <family val="2"/>
      </rPr>
      <t>³</t>
    </r>
  </si>
  <si>
    <t>100 BBL</t>
  </si>
  <si>
    <t>400 BBL</t>
  </si>
  <si>
    <t>210 BBL</t>
  </si>
  <si>
    <r>
      <t>30 m</t>
    </r>
    <r>
      <rPr>
        <sz val="10"/>
        <rFont val="Aptos Narrow"/>
        <family val="2"/>
      </rPr>
      <t>³</t>
    </r>
  </si>
  <si>
    <r>
      <t>16 m</t>
    </r>
    <r>
      <rPr>
        <sz val="10"/>
        <rFont val="Aptos Narrow"/>
        <family val="2"/>
      </rPr>
      <t>³</t>
    </r>
  </si>
  <si>
    <t>Tank 1</t>
  </si>
  <si>
    <t>Tank 2</t>
  </si>
  <si>
    <t>Tank 3</t>
  </si>
  <si>
    <t>Tank 4</t>
  </si>
  <si>
    <t>Tank 5</t>
  </si>
  <si>
    <t>Tank 6</t>
  </si>
  <si>
    <t>30 m³</t>
  </si>
  <si>
    <t>Your Favourite Consulting Company</t>
  </si>
  <si>
    <t>Inches</t>
  </si>
  <si>
    <t>#/ft</t>
  </si>
  <si>
    <t>This tally sheet is</t>
  </si>
  <si>
    <t>where the tally is entered.</t>
  </si>
  <si>
    <t>Numbers will be transferred</t>
  </si>
  <si>
    <t>to the MASTER</t>
  </si>
  <si>
    <t>TALLY from here</t>
  </si>
  <si>
    <t>Pipe Sizes</t>
  </si>
  <si>
    <r>
      <t>2</t>
    </r>
    <r>
      <rPr>
        <sz val="10"/>
        <rFont val="Aptos Narrow"/>
        <family val="2"/>
      </rPr>
      <t>⅜</t>
    </r>
  </si>
  <si>
    <r>
      <t>2</t>
    </r>
    <r>
      <rPr>
        <sz val="10"/>
        <rFont val="Aptos Narrow"/>
        <family val="2"/>
      </rPr>
      <t>⅞</t>
    </r>
  </si>
  <si>
    <r>
      <t>3</t>
    </r>
    <r>
      <rPr>
        <sz val="10"/>
        <rFont val="Aptos Narrow"/>
        <family val="2"/>
      </rPr>
      <t>½</t>
    </r>
  </si>
  <si>
    <t>Units Used:</t>
  </si>
  <si>
    <r>
      <t>m</t>
    </r>
    <r>
      <rPr>
        <sz val="10"/>
        <rFont val="Aptos Narrow"/>
        <family val="2"/>
      </rPr>
      <t>³</t>
    </r>
    <r>
      <rPr>
        <sz val="10"/>
        <rFont val="Arial"/>
        <family val="2"/>
      </rPr>
      <t>/m</t>
    </r>
  </si>
  <si>
    <t>bbl/ft</t>
  </si>
  <si>
    <t>Water Vol.:</t>
  </si>
  <si>
    <t>Slurry Yield:</t>
  </si>
  <si>
    <t>SETTING DEPTH:</t>
  </si>
  <si>
    <t>FLARE NOTIFICATION TO RESIDENTS (Alberta)</t>
  </si>
  <si>
    <t>Stop Depth CF</t>
  </si>
  <si>
    <t>° F</t>
  </si>
  <si>
    <t>Cumulative</t>
  </si>
  <si>
    <t>Csg Press</t>
  </si>
  <si>
    <t>Tbg Press</t>
  </si>
  <si>
    <t>Units:</t>
  </si>
  <si>
    <t>UNITS USED:</t>
  </si>
  <si>
    <t>CO2/N2 Vol/Stage</t>
  </si>
  <si>
    <t>Cum.</t>
  </si>
  <si>
    <t>Tbg Pressure</t>
  </si>
  <si>
    <t>Csg Pressure</t>
  </si>
  <si>
    <t xml:space="preserve">mcf </t>
  </si>
  <si>
    <t>Fluids Produced</t>
  </si>
  <si>
    <t>This sheet will calculate gas rate in mcfd so keep the metric values in place.</t>
  </si>
  <si>
    <t xml:space="preserve">TOTAL LOAD FLUID </t>
  </si>
  <si>
    <t>NON REC. ANNULAR FLUID :</t>
  </si>
  <si>
    <t>FLUID RECOVERED:</t>
  </si>
  <si>
    <t>TD:</t>
  </si>
  <si>
    <t>Shot density, charge size, phasing, total shots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</si>
</sst>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6" formatCode="&quot;$&quot;#,##0_);[Red]\(&quot;$&quot;#,##0\)"/>
    <numFmt numFmtId="42" formatCode="_(&quot;$&quot;* #,##0_);_(&quot;$&quot;* \(#,##0\);_(&quot;$&quot;* &quot;-&quot;_);_(@_)"/>
    <numFmt numFmtId="44" formatCode="_(&quot;$&quot;* #,##0.00_);_(&quot;$&quot;* \(#,##0.00\);_(&quot;$&quot;* &quot;-&quot;??_);_(@_)"/>
    <numFmt numFmtId="164" formatCode="&quot;$&quot;#,##0.00"/>
    <numFmt numFmtId="165" formatCode="mm/dd/yy_)"/>
    <numFmt numFmtId="166" formatCode="0.00_)"/>
    <numFmt numFmtId="167" formatCode="0.0"/>
    <numFmt numFmtId="168" formatCode="0.000_)"/>
    <numFmt numFmtId="169" formatCode="0.0000_)"/>
    <numFmt numFmtId="170" formatCode="hh:mm\ AM/PM_)"/>
    <numFmt numFmtId="171" formatCode="0_)"/>
    <numFmt numFmtId="172" formatCode="0.0_)"/>
    <numFmt numFmtId="173" formatCode="&quot;$&quot;#,##0;[Red]&quot;$&quot;#,##0"/>
    <numFmt numFmtId="174" formatCode="mm/dd/yy"/>
    <numFmt numFmtId="175" formatCode="0.0_ ;\-0.0\ "/>
    <numFmt numFmtId="176" formatCode="&quot;$&quot;#,##0"/>
    <numFmt numFmtId="177" formatCode="0.000"/>
    <numFmt numFmtId="178" formatCode="mmmm\ d\,\ yyyy"/>
    <numFmt numFmtId="179" formatCode="0.00000"/>
    <numFmt numFmtId="180" formatCode="0.00_ ;\-0.00\ "/>
    <numFmt numFmtId="181" formatCode="0.0000"/>
    <numFmt numFmtId="182" formatCode="0.000000"/>
    <numFmt numFmtId="183" formatCode="#,##0.0"/>
    <numFmt numFmtId="184" formatCode="&quot;$&quot;#,##0.000000000000000"/>
    <numFmt numFmtId="185" formatCode="d\-mmm\-yyyy"/>
    <numFmt numFmtId="186" formatCode="_(&quot;$&quot;* #,##0_);_(&quot;$&quot;* \(#,##0\);_(&quot;$&quot;* &quot;-&quot;??_);_(@_)"/>
    <numFmt numFmtId="187" formatCode="[$-409]mmmm\ d\,\ yyyy;@"/>
    <numFmt numFmtId="188" formatCode="0.0000000"/>
    <numFmt numFmtId="189" formatCode="h:mm;@"/>
    <numFmt numFmtId="190" formatCode="[$-409]dd\-mmm\-yy;@"/>
    <numFmt numFmtId="191" formatCode="General_)"/>
    <numFmt numFmtId="192" formatCode="[$-409]d\-mmm\-yy;@"/>
    <numFmt numFmtId="193" formatCode="[$-F800]dddd\,\ mmmm\ dd\,\ yyyy"/>
    <numFmt numFmtId="194" formatCode="[$-409]h:mm\ AM/PM;@"/>
    <numFmt numFmtId="195" formatCode="0.00000%"/>
  </numFmts>
  <fonts count="184">
    <font>
      <sz val="10"/>
      <name val="Arial"/>
    </font>
    <font>
      <b/>
      <sz val="10"/>
      <name val="Arial"/>
      <family val="2"/>
    </font>
    <font>
      <i/>
      <sz val="10"/>
      <name val="Arial"/>
      <family val="2"/>
    </font>
    <font>
      <b/>
      <i/>
      <sz val="10"/>
      <name val="Arial"/>
      <family val="2"/>
    </font>
    <font>
      <sz val="10"/>
      <name val="Arial"/>
      <family val="2"/>
    </font>
    <font>
      <b/>
      <sz val="10"/>
      <name val="Arial Black"/>
      <family val="2"/>
    </font>
    <font>
      <b/>
      <i/>
      <sz val="10"/>
      <name val="Arial"/>
      <family val="2"/>
    </font>
    <font>
      <i/>
      <sz val="10"/>
      <name val="Arial"/>
      <family val="2"/>
    </font>
    <font>
      <b/>
      <sz val="10"/>
      <name val="Arial"/>
      <family val="2"/>
    </font>
    <font>
      <sz val="14"/>
      <name val="CG Times"/>
    </font>
    <font>
      <b/>
      <sz val="14"/>
      <name val="CG Times"/>
    </font>
    <font>
      <sz val="12"/>
      <name val="Tms Rmn"/>
    </font>
    <font>
      <b/>
      <sz val="18"/>
      <name val="penyae"/>
    </font>
    <font>
      <sz val="18"/>
      <name val="CG Times"/>
    </font>
    <font>
      <b/>
      <u val="double"/>
      <sz val="14"/>
      <name val="CG Times"/>
    </font>
    <font>
      <b/>
      <sz val="14"/>
      <color indexed="39"/>
      <name val="CG Times"/>
      <family val="1"/>
    </font>
    <font>
      <b/>
      <sz val="12"/>
      <name val="Tms Rmn"/>
    </font>
    <font>
      <b/>
      <sz val="12"/>
      <name val="CG Times"/>
    </font>
    <font>
      <sz val="12"/>
      <name val="CG Times"/>
    </font>
    <font>
      <b/>
      <sz val="12"/>
      <color indexed="39"/>
      <name val="CG Times"/>
    </font>
    <font>
      <b/>
      <sz val="12"/>
      <color indexed="8"/>
      <name val="CG Times"/>
    </font>
    <font>
      <sz val="8"/>
      <name val="Tms Rmn"/>
    </font>
    <font>
      <sz val="10"/>
      <name val="Arial"/>
      <family val="2"/>
    </font>
    <font>
      <b/>
      <sz val="8"/>
      <name val="Book Antiqua"/>
      <family val="1"/>
    </font>
    <font>
      <sz val="10"/>
      <color indexed="10"/>
      <name val="Arial"/>
      <family val="2"/>
    </font>
    <font>
      <b/>
      <u/>
      <sz val="10"/>
      <name val="Arial"/>
      <family val="2"/>
    </font>
    <font>
      <b/>
      <sz val="8"/>
      <color indexed="39"/>
      <name val="Arial Black"/>
      <family val="2"/>
    </font>
    <font>
      <b/>
      <sz val="8"/>
      <name val="Arial Black"/>
      <family val="2"/>
    </font>
    <font>
      <b/>
      <sz val="10"/>
      <color indexed="10"/>
      <name val="Arial"/>
      <family val="2"/>
    </font>
    <font>
      <b/>
      <sz val="10"/>
      <name val="Arial Narrow"/>
      <family val="2"/>
    </font>
    <font>
      <b/>
      <u/>
      <sz val="10"/>
      <name val="Arial Narrow"/>
      <family val="2"/>
    </font>
    <font>
      <u/>
      <sz val="10"/>
      <name val="Arial"/>
      <family val="2"/>
    </font>
    <font>
      <sz val="10"/>
      <name val="Arial Narrow"/>
      <family val="2"/>
    </font>
    <font>
      <b/>
      <u/>
      <sz val="10"/>
      <color indexed="10"/>
      <name val="Arial"/>
      <family val="2"/>
    </font>
    <font>
      <u/>
      <sz val="10"/>
      <color indexed="12"/>
      <name val="Arial"/>
      <family val="2"/>
    </font>
    <font>
      <b/>
      <sz val="10"/>
      <color indexed="10"/>
      <name val="Arial"/>
      <family val="2"/>
    </font>
    <font>
      <b/>
      <sz val="10"/>
      <color indexed="10"/>
      <name val="Arial Narrow"/>
      <family val="2"/>
    </font>
    <font>
      <sz val="12"/>
      <color indexed="10"/>
      <name val="Tms Rmn"/>
    </font>
    <font>
      <b/>
      <sz val="11"/>
      <color indexed="10"/>
      <name val="CG Times"/>
    </font>
    <font>
      <b/>
      <sz val="10"/>
      <color indexed="12"/>
      <name val="Arial"/>
      <family val="2"/>
    </font>
    <font>
      <sz val="8"/>
      <name val="Arial"/>
      <family val="2"/>
    </font>
    <font>
      <b/>
      <sz val="8"/>
      <name val="Arial"/>
      <family val="2"/>
    </font>
    <font>
      <b/>
      <u/>
      <sz val="8"/>
      <name val="Arial Narrow"/>
      <family val="2"/>
    </font>
    <font>
      <b/>
      <sz val="8"/>
      <name val="Arial Narrow"/>
      <family val="2"/>
    </font>
    <font>
      <b/>
      <sz val="8"/>
      <color indexed="10"/>
      <name val="Arial"/>
      <family val="2"/>
    </font>
    <font>
      <b/>
      <u/>
      <sz val="8"/>
      <name val="Arial"/>
      <family val="2"/>
    </font>
    <font>
      <b/>
      <sz val="10"/>
      <color indexed="48"/>
      <name val="Arial"/>
      <family val="2"/>
    </font>
    <font>
      <b/>
      <u/>
      <sz val="8"/>
      <color indexed="10"/>
      <name val="Arial"/>
      <family val="2"/>
    </font>
    <font>
      <b/>
      <sz val="9"/>
      <color indexed="39"/>
      <name val="Arial Black"/>
      <family val="2"/>
    </font>
    <font>
      <b/>
      <i/>
      <u/>
      <sz val="10"/>
      <name val="Arial"/>
      <family val="2"/>
    </font>
    <font>
      <b/>
      <sz val="8"/>
      <color indexed="56"/>
      <name val="Arial"/>
      <family val="2"/>
    </font>
    <font>
      <b/>
      <sz val="7"/>
      <color indexed="56"/>
      <name val="Arial"/>
      <family val="2"/>
    </font>
    <font>
      <u/>
      <sz val="10"/>
      <name val="Arial"/>
      <family val="2"/>
    </font>
    <font>
      <b/>
      <u/>
      <sz val="9"/>
      <name val="Barbedor T Heavy"/>
      <family val="2"/>
    </font>
    <font>
      <b/>
      <u/>
      <sz val="10"/>
      <name val="Barbedor T Heavy"/>
      <family val="2"/>
    </font>
    <font>
      <b/>
      <sz val="10"/>
      <name val="BodoniAntTCon"/>
      <family val="2"/>
    </font>
    <font>
      <b/>
      <sz val="10"/>
      <name val="Bookman Old Style"/>
      <family val="1"/>
    </font>
    <font>
      <b/>
      <sz val="10"/>
      <name val="Book Antiqua"/>
      <family val="1"/>
    </font>
    <font>
      <b/>
      <sz val="10"/>
      <name val="CAC Pinafore"/>
    </font>
    <font>
      <b/>
      <u/>
      <sz val="10"/>
      <color indexed="48"/>
      <name val="Amaze"/>
      <family val="2"/>
    </font>
    <font>
      <b/>
      <sz val="6"/>
      <name val="Arial"/>
      <family val="2"/>
    </font>
    <font>
      <sz val="6"/>
      <name val="Arial"/>
      <family val="2"/>
    </font>
    <font>
      <b/>
      <sz val="11"/>
      <name val="Bangle"/>
    </font>
    <font>
      <sz val="11"/>
      <name val="Bangle"/>
    </font>
    <font>
      <b/>
      <sz val="12"/>
      <name val="Bangle"/>
    </font>
    <font>
      <sz val="12"/>
      <name val="Bangle"/>
    </font>
    <font>
      <sz val="10"/>
      <name val="Bangle"/>
    </font>
    <font>
      <b/>
      <sz val="10"/>
      <name val="Bangle"/>
    </font>
    <font>
      <sz val="9"/>
      <name val="Bangle"/>
    </font>
    <font>
      <b/>
      <i/>
      <sz val="11"/>
      <name val="Bangle"/>
    </font>
    <font>
      <sz val="8"/>
      <name val="Bangle"/>
    </font>
    <font>
      <b/>
      <sz val="11"/>
      <name val="Arial"/>
      <family val="2"/>
    </font>
    <font>
      <b/>
      <u/>
      <sz val="9"/>
      <name val="Arial"/>
      <family val="2"/>
    </font>
    <font>
      <sz val="9"/>
      <name val="Arial"/>
      <family val="2"/>
    </font>
    <font>
      <u/>
      <sz val="8"/>
      <name val="Arial"/>
      <family val="2"/>
    </font>
    <font>
      <b/>
      <sz val="14"/>
      <name val="Arial"/>
      <family val="2"/>
    </font>
    <font>
      <b/>
      <sz val="12"/>
      <name val="Arial"/>
      <family val="2"/>
    </font>
    <font>
      <sz val="10"/>
      <name val="Americana"/>
      <family val="1"/>
    </font>
    <font>
      <sz val="12"/>
      <name val="Helv"/>
    </font>
    <font>
      <b/>
      <sz val="14"/>
      <color indexed="10"/>
      <name val="BrodyD"/>
      <family val="5"/>
    </font>
    <font>
      <sz val="12"/>
      <color indexed="10"/>
      <name val="Helv"/>
    </font>
    <font>
      <u val="double"/>
      <sz val="12"/>
      <name val="Helv"/>
    </font>
    <font>
      <b/>
      <sz val="12"/>
      <color indexed="10"/>
      <name val="Helv"/>
    </font>
    <font>
      <sz val="12"/>
      <color indexed="8"/>
      <name val="Helv"/>
    </font>
    <font>
      <sz val="10"/>
      <color indexed="10"/>
      <name val="Helv"/>
    </font>
    <font>
      <sz val="12"/>
      <color indexed="12"/>
      <name val="Helv"/>
    </font>
    <font>
      <sz val="8"/>
      <color indexed="12"/>
      <name val="Helv"/>
    </font>
    <font>
      <u/>
      <sz val="12"/>
      <color indexed="12"/>
      <name val="Helv"/>
    </font>
    <font>
      <sz val="8"/>
      <name val="Helv"/>
    </font>
    <font>
      <u/>
      <sz val="12"/>
      <name val="Helv"/>
    </font>
    <font>
      <b/>
      <sz val="10"/>
      <name val="Helv"/>
    </font>
    <font>
      <u/>
      <sz val="8"/>
      <color indexed="12"/>
      <name val="Helv"/>
    </font>
    <font>
      <sz val="10"/>
      <name val="Tms Rmn"/>
    </font>
    <font>
      <b/>
      <sz val="12"/>
      <name val="Helv"/>
    </font>
    <font>
      <b/>
      <u/>
      <sz val="14"/>
      <name val="Helv"/>
    </font>
    <font>
      <sz val="7"/>
      <name val="Arial"/>
      <family val="2"/>
    </font>
    <font>
      <b/>
      <sz val="10"/>
      <color indexed="10"/>
      <name val="CG Times"/>
    </font>
    <font>
      <b/>
      <sz val="10"/>
      <color indexed="10"/>
      <name val="Tms Rmn"/>
    </font>
    <font>
      <sz val="10"/>
      <color indexed="10"/>
      <name val="Tms Rmn"/>
    </font>
    <font>
      <b/>
      <sz val="10"/>
      <color indexed="39"/>
      <name val="CG Times"/>
    </font>
    <font>
      <b/>
      <sz val="10"/>
      <color indexed="8"/>
      <name val="CG Times"/>
    </font>
    <font>
      <b/>
      <sz val="10"/>
      <name val="CG Times"/>
    </font>
    <font>
      <b/>
      <sz val="9"/>
      <name val="Arial Black"/>
      <family val="2"/>
    </font>
    <font>
      <sz val="12"/>
      <name val="CG Times"/>
      <family val="1"/>
      <charset val="238"/>
    </font>
    <font>
      <sz val="12"/>
      <name val="Arial"/>
      <family val="2"/>
    </font>
    <font>
      <sz val="11"/>
      <name val="Arial"/>
      <family val="2"/>
    </font>
    <font>
      <b/>
      <sz val="11"/>
      <name val="Arial"/>
      <family val="2"/>
    </font>
    <font>
      <b/>
      <sz val="11"/>
      <color indexed="10"/>
      <name val="Arial Black"/>
      <family val="2"/>
    </font>
    <font>
      <sz val="11"/>
      <name val="Arial"/>
      <family val="2"/>
    </font>
    <font>
      <vertAlign val="subscript"/>
      <sz val="11"/>
      <name val="Arial"/>
      <family val="2"/>
    </font>
    <font>
      <b/>
      <sz val="9"/>
      <name val="Arial"/>
      <family val="2"/>
    </font>
    <font>
      <b/>
      <sz val="7"/>
      <name val="Arial"/>
      <family val="2"/>
    </font>
    <font>
      <b/>
      <sz val="12"/>
      <name val="CG Times"/>
      <family val="1"/>
      <charset val="238"/>
    </font>
    <font>
      <b/>
      <sz val="14"/>
      <name val="CG Times"/>
      <family val="1"/>
      <charset val="238"/>
    </font>
    <font>
      <b/>
      <sz val="11"/>
      <name val="CG Times"/>
      <family val="1"/>
      <charset val="238"/>
    </font>
    <font>
      <b/>
      <sz val="11"/>
      <name val="CG Times"/>
    </font>
    <font>
      <b/>
      <sz val="8"/>
      <name val="CG Times"/>
    </font>
    <font>
      <u/>
      <sz val="9"/>
      <color indexed="12"/>
      <name val="Arial"/>
      <family val="2"/>
    </font>
    <font>
      <sz val="8"/>
      <name val="Arial"/>
      <family val="2"/>
    </font>
    <font>
      <sz val="8"/>
      <name val="Small Fonts"/>
      <family val="2"/>
    </font>
    <font>
      <b/>
      <sz val="8"/>
      <name val="Times New Roman"/>
      <family val="1"/>
    </font>
    <font>
      <sz val="8"/>
      <name val="Times New Roman"/>
      <family val="1"/>
    </font>
    <font>
      <b/>
      <sz val="6"/>
      <name val="Arial"/>
      <family val="2"/>
    </font>
    <font>
      <b/>
      <sz val="18"/>
      <color indexed="23"/>
      <name val="Arial"/>
      <family val="2"/>
    </font>
    <font>
      <sz val="8"/>
      <color indexed="9"/>
      <name val="Arial"/>
      <family val="2"/>
    </font>
    <font>
      <b/>
      <sz val="12"/>
      <color indexed="9"/>
      <name val="Arial"/>
      <family val="2"/>
    </font>
    <font>
      <sz val="12"/>
      <color indexed="8"/>
      <name val="Arial"/>
      <family val="2"/>
    </font>
    <font>
      <b/>
      <u/>
      <sz val="11"/>
      <name val="Arial"/>
      <family val="2"/>
    </font>
    <font>
      <b/>
      <sz val="8"/>
      <name val="Helv"/>
    </font>
    <font>
      <sz val="10"/>
      <name val="Arial"/>
      <family val="2"/>
    </font>
    <font>
      <b/>
      <sz val="8"/>
      <name val="Arial"/>
      <family val="2"/>
    </font>
    <font>
      <b/>
      <sz val="9"/>
      <name val="Arial"/>
      <family val="2"/>
    </font>
    <font>
      <sz val="11"/>
      <name val="Amaze"/>
      <family val="2"/>
    </font>
    <font>
      <sz val="10"/>
      <name val="Arial"/>
      <family val="2"/>
    </font>
    <font>
      <b/>
      <sz val="9"/>
      <name val="Arial Narrow"/>
      <family val="2"/>
    </font>
    <font>
      <sz val="10"/>
      <name val="Arial"/>
      <family val="2"/>
    </font>
    <font>
      <b/>
      <sz val="10"/>
      <color indexed="9"/>
      <name val="Arial"/>
      <family val="2"/>
    </font>
    <font>
      <i/>
      <sz val="8"/>
      <name val="Arial"/>
      <family val="2"/>
    </font>
    <font>
      <sz val="9"/>
      <name val="Arial"/>
      <family val="2"/>
    </font>
    <font>
      <b/>
      <sz val="12"/>
      <color indexed="10"/>
      <name val="CG Times"/>
    </font>
    <font>
      <sz val="8"/>
      <color indexed="81"/>
      <name val="Tahoma"/>
      <family val="2"/>
    </font>
    <font>
      <b/>
      <sz val="8"/>
      <color indexed="81"/>
      <name val="Tahoma"/>
      <family val="2"/>
    </font>
    <font>
      <b/>
      <u/>
      <sz val="10"/>
      <color indexed="12"/>
      <name val="Arial"/>
      <family val="2"/>
    </font>
    <font>
      <b/>
      <sz val="22"/>
      <name val="Arial"/>
      <family val="2"/>
    </font>
    <font>
      <sz val="10"/>
      <name val="MS Sans Serif"/>
    </font>
    <font>
      <sz val="10"/>
      <name val="Helv"/>
    </font>
    <font>
      <sz val="10"/>
      <name val="Arial MT"/>
    </font>
    <font>
      <sz val="12"/>
      <name val="Arial MT"/>
    </font>
    <font>
      <sz val="8"/>
      <name val="Arial MT"/>
    </font>
    <font>
      <b/>
      <sz val="18"/>
      <name val="Arial MT"/>
    </font>
    <font>
      <b/>
      <sz val="14"/>
      <name val="Arial MT"/>
    </font>
    <font>
      <b/>
      <sz val="12"/>
      <name val="Arial MT"/>
    </font>
    <font>
      <sz val="16"/>
      <name val="Arial MT"/>
    </font>
    <font>
      <b/>
      <sz val="11"/>
      <name val="Arial MT"/>
    </font>
    <font>
      <sz val="11"/>
      <name val="Arial MT"/>
    </font>
    <font>
      <sz val="10.5"/>
      <name val="Arial MT"/>
    </font>
    <font>
      <sz val="10.5"/>
      <color indexed="23"/>
      <name val="Arial MT"/>
    </font>
    <font>
      <sz val="10.5"/>
      <color indexed="12"/>
      <name val="Arial MT"/>
    </font>
    <font>
      <b/>
      <sz val="10.5"/>
      <name val="Arial MT"/>
    </font>
    <font>
      <b/>
      <sz val="10.5"/>
      <color indexed="23"/>
      <name val="Arial MT"/>
    </font>
    <font>
      <b/>
      <sz val="8"/>
      <name val="Arial MT"/>
    </font>
    <font>
      <b/>
      <sz val="12"/>
      <color indexed="23"/>
      <name val="Arial MT"/>
    </font>
    <font>
      <sz val="10.5"/>
      <color indexed="8"/>
      <name val="Arial MT"/>
    </font>
    <font>
      <b/>
      <sz val="5"/>
      <name val="Arial"/>
      <family val="2"/>
    </font>
    <font>
      <b/>
      <sz val="9"/>
      <name val="CG Times"/>
      <family val="1"/>
      <charset val="238"/>
    </font>
    <font>
      <b/>
      <sz val="14"/>
      <name val="Arial"/>
      <family val="2"/>
    </font>
    <font>
      <b/>
      <sz val="14"/>
      <name val="Helv"/>
    </font>
    <font>
      <sz val="14"/>
      <name val="Helv"/>
    </font>
    <font>
      <sz val="10"/>
      <color indexed="9"/>
      <name val="Arial"/>
      <family val="2"/>
    </font>
    <font>
      <b/>
      <sz val="10"/>
      <color indexed="9"/>
      <name val="Arial"/>
      <family val="2"/>
    </font>
    <font>
      <b/>
      <sz val="8"/>
      <color indexed="9"/>
      <name val="Arial"/>
      <family val="2"/>
    </font>
    <font>
      <b/>
      <sz val="12"/>
      <color indexed="10"/>
      <name val="Arial"/>
      <family val="2"/>
    </font>
    <font>
      <sz val="12"/>
      <color indexed="10"/>
      <name val="Arial"/>
      <family val="2"/>
    </font>
    <font>
      <b/>
      <u/>
      <sz val="10"/>
      <name val="Arial"/>
      <family val="2"/>
    </font>
    <font>
      <sz val="10"/>
      <name val="Aptos Narrow"/>
      <family val="2"/>
    </font>
    <font>
      <b/>
      <sz val="9"/>
      <name val="Arial MT"/>
    </font>
    <font>
      <b/>
      <sz val="10"/>
      <color rgb="FFFF0000"/>
      <name val="Arial Narrow"/>
      <family val="2"/>
    </font>
    <font>
      <b/>
      <sz val="8"/>
      <color rgb="FFFF0000"/>
      <name val="Arial Narrow"/>
      <family val="2"/>
    </font>
    <font>
      <b/>
      <u/>
      <sz val="12"/>
      <color rgb="FFFF0000"/>
      <name val="Helv"/>
    </font>
    <font>
      <b/>
      <sz val="10"/>
      <color rgb="FFFF0000"/>
      <name val="Arial"/>
      <family val="2"/>
    </font>
    <font>
      <sz val="10"/>
      <color rgb="FF000000"/>
      <name val="Arial"/>
      <family val="2"/>
    </font>
    <font>
      <sz val="9"/>
      <color rgb="FF000000"/>
      <name val="Arial"/>
      <family val="2"/>
    </font>
    <font>
      <sz val="8"/>
      <color rgb="FF000000"/>
      <name val="Arial"/>
      <family val="2"/>
    </font>
    <font>
      <b/>
      <sz val="10"/>
      <color rgb="FFFFFF99"/>
      <name val="Arial"/>
      <family val="2"/>
    </font>
  </fonts>
  <fills count="16">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8"/>
        <bgColor indexed="64"/>
      </patternFill>
    </fill>
    <fill>
      <patternFill patternType="solid">
        <fgColor indexed="57"/>
        <bgColor indexed="64"/>
      </patternFill>
    </fill>
    <fill>
      <patternFill patternType="solid">
        <fgColor indexed="9"/>
        <bgColor indexed="8"/>
      </patternFill>
    </fill>
    <fill>
      <patternFill patternType="solid">
        <fgColor indexed="55"/>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s>
  <borders count="19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ck">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style="double">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8"/>
      </right>
      <top/>
      <bottom style="medium">
        <color indexed="8"/>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ck">
        <color indexed="64"/>
      </left>
      <right/>
      <top/>
      <bottom/>
      <diagonal/>
    </border>
    <border>
      <left/>
      <right style="thick">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top style="thin">
        <color indexed="8"/>
      </top>
      <bottom/>
      <diagonal/>
    </border>
    <border>
      <left/>
      <right style="thin">
        <color indexed="64"/>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medium">
        <color indexed="8"/>
      </top>
      <bottom/>
      <diagonal/>
    </border>
    <border>
      <left/>
      <right style="thin">
        <color indexed="8"/>
      </right>
      <top style="medium">
        <color indexed="8"/>
      </top>
      <bottom/>
      <diagonal/>
    </border>
    <border>
      <left/>
      <right style="double">
        <color indexed="8"/>
      </right>
      <top style="thin">
        <color indexed="8"/>
      </top>
      <bottom/>
      <diagonal/>
    </border>
    <border>
      <left style="thin">
        <color indexed="8"/>
      </left>
      <right style="thin">
        <color indexed="8"/>
      </right>
      <top/>
      <bottom/>
      <diagonal/>
    </border>
    <border>
      <left/>
      <right style="double">
        <color indexed="8"/>
      </right>
      <top/>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right style="double">
        <color indexed="8"/>
      </right>
      <top/>
      <bottom style="double">
        <color indexed="8"/>
      </bottom>
      <diagonal/>
    </border>
    <border>
      <left/>
      <right style="thin">
        <color indexed="8"/>
      </right>
      <top/>
      <bottom style="thin">
        <color indexed="8"/>
      </bottom>
      <diagonal/>
    </border>
    <border>
      <left style="thin">
        <color indexed="8"/>
      </left>
      <right/>
      <top/>
      <bottom style="double">
        <color indexed="8"/>
      </bottom>
      <diagonal/>
    </border>
    <border>
      <left/>
      <right/>
      <top/>
      <bottom style="double">
        <color indexed="8"/>
      </bottom>
      <diagonal/>
    </border>
    <border>
      <left/>
      <right style="double">
        <color indexed="8"/>
      </right>
      <top style="thin">
        <color indexed="8"/>
      </top>
      <bottom style="thin">
        <color indexed="8"/>
      </bottom>
      <diagonal/>
    </border>
    <border>
      <left/>
      <right style="thin">
        <color indexed="8"/>
      </right>
      <top/>
      <bottom style="thin">
        <color indexed="64"/>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double">
        <color indexed="8"/>
      </right>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ck">
        <color indexed="64"/>
      </left>
      <right/>
      <top style="medium">
        <color indexed="64"/>
      </top>
      <bottom/>
      <diagonal/>
    </border>
    <border>
      <left/>
      <right style="medium">
        <color indexed="64"/>
      </right>
      <top/>
      <bottom style="thick">
        <color indexed="64"/>
      </bottom>
      <diagonal/>
    </border>
    <border>
      <left style="thick">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style="medium">
        <color indexed="8"/>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64"/>
      </left>
      <right style="medium">
        <color indexed="8"/>
      </right>
      <top style="medium">
        <color indexed="8"/>
      </top>
      <bottom/>
      <diagonal/>
    </border>
    <border>
      <left/>
      <right/>
      <top style="medium">
        <color indexed="8"/>
      </top>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64"/>
      </right>
      <top style="medium">
        <color indexed="8"/>
      </top>
      <bottom/>
      <diagonal/>
    </border>
    <border>
      <left style="medium">
        <color indexed="64"/>
      </left>
      <right style="medium">
        <color indexed="8"/>
      </right>
      <top/>
      <bottom style="medium">
        <color indexed="8"/>
      </bottom>
      <diagonal/>
    </border>
    <border>
      <left/>
      <right style="medium">
        <color indexed="64"/>
      </right>
      <top/>
      <bottom style="medium">
        <color indexed="8"/>
      </bottom>
      <diagonal/>
    </border>
    <border>
      <left/>
      <right style="medium">
        <color indexed="8"/>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hair">
        <color indexed="64"/>
      </bottom>
      <diagonal/>
    </border>
    <border>
      <left/>
      <right/>
      <top style="hair">
        <color indexed="64"/>
      </top>
      <bottom style="hair">
        <color indexed="64"/>
      </bottom>
      <diagonal/>
    </border>
    <border>
      <left/>
      <right style="thin">
        <color indexed="8"/>
      </right>
      <top style="thin">
        <color indexed="8"/>
      </top>
      <bottom style="thin">
        <color indexed="64"/>
      </bottom>
      <diagonal/>
    </border>
    <border>
      <left/>
      <right style="thin">
        <color indexed="8"/>
      </right>
      <top style="double">
        <color indexed="8"/>
      </top>
      <bottom style="thin">
        <color indexed="8"/>
      </bottom>
      <diagonal/>
    </border>
    <border>
      <left style="thin">
        <color indexed="8"/>
      </left>
      <right style="thin">
        <color indexed="8"/>
      </right>
      <top/>
      <bottom style="thin">
        <color indexed="8"/>
      </bottom>
      <diagonal/>
    </border>
    <border>
      <left/>
      <right/>
      <top style="medium">
        <color indexed="8"/>
      </top>
      <bottom style="medium">
        <color indexed="8"/>
      </bottom>
      <diagonal/>
    </border>
    <border>
      <left/>
      <right/>
      <top/>
      <bottom style="medium">
        <color indexed="8"/>
      </bottom>
      <diagonal/>
    </border>
    <border>
      <left style="medium">
        <color indexed="8"/>
      </left>
      <right/>
      <top style="medium">
        <color indexed="8"/>
      </top>
      <bottom style="thin">
        <color indexed="8"/>
      </bottom>
      <diagonal/>
    </border>
    <border>
      <left style="medium">
        <color indexed="64"/>
      </left>
      <right style="medium">
        <color indexed="8"/>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double">
        <color indexed="64"/>
      </bottom>
      <diagonal/>
    </border>
    <border>
      <left style="medium">
        <color indexed="8"/>
      </left>
      <right style="medium">
        <color indexed="64"/>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hair">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diagonal/>
    </border>
    <border>
      <left style="thick">
        <color indexed="64"/>
      </left>
      <right style="thin">
        <color indexed="64"/>
      </right>
      <top style="thin">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thick">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ck">
        <color indexed="64"/>
      </left>
      <right/>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8"/>
      </left>
      <right/>
      <top style="double">
        <color indexed="8"/>
      </top>
      <bottom style="thin">
        <color indexed="8"/>
      </bottom>
      <diagonal/>
    </border>
    <border>
      <left/>
      <right style="medium">
        <color indexed="8"/>
      </right>
      <top style="double">
        <color indexed="8"/>
      </top>
      <bottom style="thin">
        <color indexed="8"/>
      </bottom>
      <diagonal/>
    </border>
    <border>
      <left/>
      <right style="medium">
        <color indexed="8"/>
      </right>
      <top style="thin">
        <color indexed="8"/>
      </top>
      <bottom style="thin">
        <color indexed="8"/>
      </bottom>
      <diagonal/>
    </border>
    <border>
      <left/>
      <right/>
      <top style="double">
        <color indexed="8"/>
      </top>
      <bottom style="thin">
        <color indexed="8"/>
      </bottom>
      <diagonal/>
    </border>
    <border>
      <left style="medium">
        <color indexed="64"/>
      </left>
      <right/>
      <top/>
      <bottom style="thin">
        <color indexed="8"/>
      </bottom>
      <diagonal/>
    </border>
    <border>
      <left/>
      <right/>
      <top style="double">
        <color indexed="8"/>
      </top>
      <bottom/>
      <diagonal/>
    </border>
    <border>
      <left style="thin">
        <color indexed="8"/>
      </left>
      <right/>
      <top style="thin">
        <color indexed="8"/>
      </top>
      <bottom style="double">
        <color indexed="8"/>
      </bottom>
      <diagonal/>
    </border>
    <border>
      <left/>
      <right style="medium">
        <color indexed="8"/>
      </right>
      <top style="thin">
        <color indexed="8"/>
      </top>
      <bottom style="double">
        <color indexed="8"/>
      </bottom>
      <diagonal/>
    </border>
    <border>
      <left/>
      <right/>
      <top style="thin">
        <color indexed="8"/>
      </top>
      <bottom style="double">
        <color indexed="8"/>
      </bottom>
      <diagonal/>
    </border>
    <border>
      <left/>
      <right style="thin">
        <color indexed="8"/>
      </right>
      <top style="thin">
        <color indexed="8"/>
      </top>
      <bottom style="double">
        <color indexed="8"/>
      </bottom>
      <diagonal/>
    </border>
    <border>
      <left/>
      <right/>
      <top style="double">
        <color indexed="8"/>
      </top>
      <bottom style="medium">
        <color indexed="64"/>
      </bottom>
      <diagonal/>
    </border>
    <border>
      <left style="medium">
        <color indexed="64"/>
      </left>
      <right style="thin">
        <color indexed="64"/>
      </right>
      <top/>
      <bottom/>
      <diagonal/>
    </border>
    <border>
      <left style="medium">
        <color indexed="8"/>
      </left>
      <right style="medium">
        <color indexed="64"/>
      </right>
      <top style="medium">
        <color indexed="8"/>
      </top>
      <bottom/>
      <diagonal/>
    </border>
    <border>
      <left style="medium">
        <color indexed="8"/>
      </left>
      <right style="medium">
        <color indexed="64"/>
      </right>
      <top/>
      <bottom style="medium">
        <color indexed="8"/>
      </bottom>
      <diagonal/>
    </border>
    <border>
      <left style="medium">
        <color indexed="8"/>
      </left>
      <right/>
      <top style="medium">
        <color indexed="8"/>
      </top>
      <bottom style="thick">
        <color indexed="8"/>
      </bottom>
      <diagonal/>
    </border>
    <border>
      <left/>
      <right/>
      <top style="medium">
        <color indexed="8"/>
      </top>
      <bottom style="thick">
        <color indexed="8"/>
      </bottom>
      <diagonal/>
    </border>
    <border>
      <left/>
      <right style="medium">
        <color indexed="8"/>
      </right>
      <top style="medium">
        <color indexed="8"/>
      </top>
      <bottom style="thick">
        <color indexed="8"/>
      </bottom>
      <diagonal/>
    </border>
    <border>
      <left/>
      <right style="thin">
        <color indexed="64"/>
      </right>
      <top/>
      <bottom style="double">
        <color indexed="8"/>
      </bottom>
      <diagonal/>
    </border>
  </borders>
  <cellStyleXfs count="11">
    <xf numFmtId="0" fontId="0" fillId="0" borderId="0"/>
    <xf numFmtId="38" fontId="145" fillId="0" borderId="0" applyFont="0" applyFill="0" applyBorder="0" applyAlignment="0" applyProtection="0"/>
    <xf numFmtId="40" fontId="144" fillId="0" borderId="0" applyFont="0" applyFill="0" applyBorder="0" applyAlignment="0" applyProtection="0"/>
    <xf numFmtId="44" fontId="4" fillId="0" borderId="0" applyFont="0" applyFill="0" applyBorder="0" applyAlignment="0" applyProtection="0"/>
    <xf numFmtId="0" fontId="34" fillId="0" borderId="0" applyNumberFormat="0" applyFill="0" applyBorder="0" applyAlignment="0" applyProtection="0">
      <alignment vertical="top"/>
      <protection locked="0"/>
    </xf>
    <xf numFmtId="0" fontId="145" fillId="0" borderId="0"/>
    <xf numFmtId="0" fontId="78" fillId="0" borderId="0"/>
    <xf numFmtId="0" fontId="11" fillId="0" borderId="0"/>
    <xf numFmtId="0" fontId="11" fillId="0" borderId="0"/>
    <xf numFmtId="191" fontId="147" fillId="0" borderId="0" applyBorder="0"/>
    <xf numFmtId="9" fontId="4" fillId="0" borderId="0" applyFont="0" applyFill="0" applyBorder="0" applyAlignment="0" applyProtection="0"/>
  </cellStyleXfs>
  <cellXfs count="2540">
    <xf numFmtId="0" fontId="0" fillId="0" borderId="0" xfId="0"/>
    <xf numFmtId="0" fontId="5" fillId="0" borderId="0" xfId="0" applyFont="1"/>
    <xf numFmtId="0" fontId="0" fillId="0" borderId="0" xfId="0" applyAlignment="1">
      <alignment horizontal="centerContinuous"/>
    </xf>
    <xf numFmtId="0" fontId="0" fillId="0" borderId="0" xfId="0" applyAlignment="1">
      <alignment horizontal="center"/>
    </xf>
    <xf numFmtId="0" fontId="8" fillId="0" borderId="0" xfId="0" applyFont="1" applyAlignment="1">
      <alignment horizontal="center"/>
    </xf>
    <xf numFmtId="0" fontId="0" fillId="0" borderId="1" xfId="0" applyBorder="1"/>
    <xf numFmtId="0" fontId="11" fillId="0" borderId="2" xfId="8" applyBorder="1"/>
    <xf numFmtId="0" fontId="11" fillId="0" borderId="0" xfId="8"/>
    <xf numFmtId="0" fontId="11" fillId="0" borderId="3" xfId="8" applyBorder="1"/>
    <xf numFmtId="0" fontId="11" fillId="0" borderId="4" xfId="8" applyBorder="1"/>
    <xf numFmtId="0" fontId="12" fillId="0" borderId="0" xfId="8" applyFont="1" applyAlignment="1">
      <alignment horizontal="left"/>
    </xf>
    <xf numFmtId="0" fontId="13" fillId="0" borderId="0" xfId="8" applyFont="1"/>
    <xf numFmtId="0" fontId="11" fillId="0" borderId="5" xfId="8" applyBorder="1"/>
    <xf numFmtId="0" fontId="14" fillId="0" borderId="0" xfId="8" applyFont="1" applyAlignment="1">
      <alignment horizontal="centerContinuous"/>
    </xf>
    <xf numFmtId="0" fontId="9" fillId="0" borderId="0" xfId="8" applyFont="1" applyAlignment="1">
      <alignment horizontal="centerContinuous"/>
    </xf>
    <xf numFmtId="0" fontId="16" fillId="0" borderId="0" xfId="8" applyFont="1"/>
    <xf numFmtId="0" fontId="11" fillId="0" borderId="6" xfId="8" applyBorder="1"/>
    <xf numFmtId="0" fontId="11" fillId="0" borderId="7" xfId="8" applyBorder="1"/>
    <xf numFmtId="0" fontId="0" fillId="0" borderId="8" xfId="0" applyBorder="1"/>
    <xf numFmtId="0" fontId="0" fillId="0" borderId="9" xfId="0" applyBorder="1"/>
    <xf numFmtId="0" fontId="0" fillId="0" borderId="10" xfId="0" applyBorder="1" applyAlignment="1">
      <alignment horizontal="centerContinuous"/>
    </xf>
    <xf numFmtId="0" fontId="0" fillId="0" borderId="11" xfId="0" applyBorder="1"/>
    <xf numFmtId="0" fontId="8" fillId="0" borderId="0" xfId="0" applyFont="1"/>
    <xf numFmtId="0" fontId="1" fillId="0" borderId="0" xfId="0" applyFont="1"/>
    <xf numFmtId="0" fontId="1" fillId="0" borderId="9" xfId="0" applyFont="1" applyBorder="1"/>
    <xf numFmtId="0" fontId="8" fillId="0" borderId="9" xfId="0" applyFont="1" applyBorder="1" applyAlignment="1">
      <alignment horizontal="center"/>
    </xf>
    <xf numFmtId="0" fontId="0" fillId="0" borderId="12" xfId="0" applyBorder="1"/>
    <xf numFmtId="0" fontId="1" fillId="0" borderId="12" xfId="0" applyFont="1" applyBorder="1"/>
    <xf numFmtId="0" fontId="0" fillId="0" borderId="10"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1" fillId="0" borderId="19" xfId="0" applyFont="1" applyBorder="1"/>
    <xf numFmtId="0" fontId="0" fillId="0" borderId="20" xfId="0" applyBorder="1"/>
    <xf numFmtId="0" fontId="25" fillId="0" borderId="0" xfId="0" applyFont="1"/>
    <xf numFmtId="0" fontId="1" fillId="0" borderId="21" xfId="0" applyFont="1" applyBorder="1"/>
    <xf numFmtId="0" fontId="1" fillId="0" borderId="5" xfId="0" applyFont="1" applyBorder="1"/>
    <xf numFmtId="0" fontId="1" fillId="0" borderId="0" xfId="0" applyFont="1" applyAlignment="1">
      <alignment horizontal="centerContinuous"/>
    </xf>
    <xf numFmtId="0" fontId="1" fillId="0" borderId="0" xfId="0" applyFont="1" applyAlignment="1">
      <alignment horizontal="left"/>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1" fillId="0" borderId="12" xfId="0" applyFont="1" applyBorder="1" applyAlignment="1">
      <alignment horizontal="centerContinuous"/>
    </xf>
    <xf numFmtId="0" fontId="1" fillId="0" borderId="10" xfId="0" applyFont="1" applyBorder="1" applyAlignment="1">
      <alignment horizontal="centerContinuous"/>
    </xf>
    <xf numFmtId="0" fontId="0" fillId="0" borderId="21" xfId="0" applyBorder="1"/>
    <xf numFmtId="0" fontId="0" fillId="0" borderId="7" xfId="0" applyBorder="1" applyAlignment="1">
      <alignment horizontal="center"/>
    </xf>
    <xf numFmtId="0" fontId="29" fillId="0" borderId="2" xfId="0" applyFont="1" applyBorder="1"/>
    <xf numFmtId="0" fontId="29" fillId="0" borderId="21" xfId="0" applyFont="1" applyBorder="1"/>
    <xf numFmtId="0" fontId="29" fillId="0" borderId="3" xfId="0" applyFont="1" applyBorder="1"/>
    <xf numFmtId="0" fontId="29" fillId="0" borderId="4" xfId="0" applyFont="1" applyBorder="1"/>
    <xf numFmtId="0" fontId="29" fillId="0" borderId="0" xfId="0" applyFont="1"/>
    <xf numFmtId="0" fontId="29" fillId="0" borderId="5" xfId="0" applyFont="1" applyBorder="1"/>
    <xf numFmtId="0" fontId="29" fillId="0" borderId="7" xfId="0" applyFont="1" applyBorder="1"/>
    <xf numFmtId="2" fontId="29" fillId="0" borderId="22" xfId="0" applyNumberFormat="1" applyFont="1" applyBorder="1" applyAlignment="1">
      <alignment horizontal="right"/>
    </xf>
    <xf numFmtId="2" fontId="29" fillId="0" borderId="5" xfId="0" applyNumberFormat="1" applyFont="1" applyBorder="1" applyAlignment="1">
      <alignment horizontal="right"/>
    </xf>
    <xf numFmtId="2" fontId="29" fillId="0" borderId="23" xfId="0" applyNumberFormat="1" applyFont="1" applyBorder="1" applyAlignment="1">
      <alignment horizontal="right"/>
    </xf>
    <xf numFmtId="2" fontId="29" fillId="0" borderId="24" xfId="0" applyNumberFormat="1" applyFont="1" applyBorder="1" applyAlignment="1">
      <alignment horizontal="right"/>
    </xf>
    <xf numFmtId="0" fontId="29" fillId="0" borderId="7" xfId="0" applyFont="1" applyBorder="1" applyAlignment="1">
      <alignment horizontal="center"/>
    </xf>
    <xf numFmtId="0" fontId="1" fillId="0" borderId="25" xfId="0" applyFont="1" applyBorder="1" applyAlignment="1">
      <alignment horizontal="right"/>
    </xf>
    <xf numFmtId="0" fontId="29" fillId="0" borderId="11" xfId="0" applyFont="1" applyBorder="1"/>
    <xf numFmtId="0" fontId="5" fillId="0" borderId="26" xfId="0" applyFont="1" applyBorder="1" applyAlignment="1">
      <alignment horizontal="right"/>
    </xf>
    <xf numFmtId="176" fontId="5" fillId="0" borderId="25" xfId="0" applyNumberFormat="1" applyFont="1" applyBorder="1" applyAlignment="1">
      <alignment horizontal="center"/>
    </xf>
    <xf numFmtId="0" fontId="25" fillId="0" borderId="0" xfId="0" applyFont="1" applyAlignment="1">
      <alignment horizontal="centerContinuous"/>
    </xf>
    <xf numFmtId="0" fontId="25" fillId="0" borderId="0" xfId="0" applyFont="1" applyAlignment="1">
      <alignment horizontal="center"/>
    </xf>
    <xf numFmtId="177" fontId="0" fillId="0" borderId="0" xfId="0" applyNumberFormat="1"/>
    <xf numFmtId="177" fontId="29" fillId="0" borderId="0" xfId="0" applyNumberFormat="1" applyFont="1"/>
    <xf numFmtId="2" fontId="29" fillId="0" borderId="0" xfId="0" applyNumberFormat="1" applyFont="1"/>
    <xf numFmtId="177" fontId="30" fillId="0" borderId="0" xfId="0" applyNumberFormat="1" applyFont="1" applyAlignment="1">
      <alignment horizontal="centerContinuous"/>
    </xf>
    <xf numFmtId="2" fontId="30" fillId="0" borderId="0" xfId="0" applyNumberFormat="1" applyFont="1" applyAlignment="1">
      <alignment horizontal="centerContinuous"/>
    </xf>
    <xf numFmtId="0" fontId="31" fillId="0" borderId="0" xfId="0" applyFont="1" applyAlignment="1">
      <alignment horizontal="centerContinuous"/>
    </xf>
    <xf numFmtId="177" fontId="30" fillId="0" borderId="0" xfId="0" applyNumberFormat="1" applyFont="1" applyAlignment="1">
      <alignment horizontal="center"/>
    </xf>
    <xf numFmtId="2" fontId="30" fillId="0" borderId="0" xfId="0" applyNumberFormat="1" applyFont="1" applyAlignment="1">
      <alignment horizontal="center"/>
    </xf>
    <xf numFmtId="179" fontId="29" fillId="0" borderId="1" xfId="0" applyNumberFormat="1" applyFont="1" applyBorder="1"/>
    <xf numFmtId="177" fontId="29" fillId="0" borderId="1" xfId="0" applyNumberFormat="1" applyFont="1" applyBorder="1"/>
    <xf numFmtId="177" fontId="1" fillId="0" borderId="4" xfId="0" applyNumberFormat="1" applyFont="1" applyBorder="1"/>
    <xf numFmtId="177" fontId="1" fillId="0" borderId="6" xfId="0" applyNumberFormat="1" applyFont="1" applyBorder="1"/>
    <xf numFmtId="0" fontId="1" fillId="0" borderId="11" xfId="0" applyFont="1" applyBorder="1"/>
    <xf numFmtId="0" fontId="1" fillId="0" borderId="7" xfId="0" applyFont="1" applyBorder="1"/>
    <xf numFmtId="0" fontId="1" fillId="0" borderId="4" xfId="0" applyFont="1" applyBorder="1"/>
    <xf numFmtId="0" fontId="1" fillId="0" borderId="6" xfId="0" applyFont="1" applyBorder="1"/>
    <xf numFmtId="0" fontId="0" fillId="0" borderId="21" xfId="0" applyBorder="1" applyAlignment="1">
      <alignment horizontal="centerContinuous"/>
    </xf>
    <xf numFmtId="0" fontId="0" fillId="0" borderId="6" xfId="0" applyBorder="1" applyAlignment="1">
      <alignment horizontal="centerContinuous"/>
    </xf>
    <xf numFmtId="0" fontId="0" fillId="0" borderId="11" xfId="0" applyBorder="1" applyAlignment="1">
      <alignment horizontal="centerContinuous"/>
    </xf>
    <xf numFmtId="0" fontId="29" fillId="0" borderId="22" xfId="0" applyFont="1" applyBorder="1" applyAlignment="1">
      <alignment horizontal="centerContinuous"/>
    </xf>
    <xf numFmtId="0" fontId="29" fillId="0" borderId="27" xfId="0" applyFont="1" applyBorder="1" applyAlignment="1">
      <alignment horizontal="centerContinuous"/>
    </xf>
    <xf numFmtId="0" fontId="1" fillId="0" borderId="22" xfId="0" applyFont="1" applyBorder="1" applyAlignment="1">
      <alignment horizontal="center"/>
    </xf>
    <xf numFmtId="0" fontId="1" fillId="0" borderId="27" xfId="0" applyFont="1" applyBorder="1" applyAlignment="1">
      <alignment horizontal="center"/>
    </xf>
    <xf numFmtId="0" fontId="1" fillId="0" borderId="25" xfId="0" applyFont="1" applyBorder="1" applyAlignment="1">
      <alignment horizontal="centerContinuous"/>
    </xf>
    <xf numFmtId="0" fontId="1" fillId="0" borderId="25" xfId="0" applyFont="1" applyBorder="1"/>
    <xf numFmtId="0" fontId="1" fillId="0" borderId="2" xfId="0" applyFont="1" applyBorder="1" applyAlignment="1">
      <alignment horizontal="centerContinuous"/>
    </xf>
    <xf numFmtId="0" fontId="29" fillId="0" borderId="6" xfId="0" applyFont="1" applyBorder="1"/>
    <xf numFmtId="2" fontId="0" fillId="0" borderId="1" xfId="0" applyNumberFormat="1" applyBorder="1"/>
    <xf numFmtId="0" fontId="29" fillId="0" borderId="0" xfId="0" applyFont="1" applyAlignment="1">
      <alignment horizontal="center"/>
    </xf>
    <xf numFmtId="0" fontId="25" fillId="0" borderId="4" xfId="0" applyFont="1" applyBorder="1" applyAlignment="1">
      <alignment horizontal="center"/>
    </xf>
    <xf numFmtId="0" fontId="29" fillId="2" borderId="1" xfId="0" applyFont="1" applyFill="1" applyBorder="1" applyAlignment="1">
      <alignment horizontal="center"/>
    </xf>
    <xf numFmtId="0" fontId="29" fillId="2" borderId="2" xfId="0" applyFont="1" applyFill="1" applyBorder="1"/>
    <xf numFmtId="0" fontId="29" fillId="2" borderId="21" xfId="0" applyFont="1" applyFill="1" applyBorder="1"/>
    <xf numFmtId="0" fontId="29" fillId="2" borderId="21" xfId="0" applyFont="1" applyFill="1" applyBorder="1" applyAlignment="1">
      <alignment horizontal="centerContinuous"/>
    </xf>
    <xf numFmtId="0" fontId="29" fillId="2" borderId="3" xfId="0" applyFont="1" applyFill="1" applyBorder="1" applyAlignment="1">
      <alignment horizontal="centerContinuous"/>
    </xf>
    <xf numFmtId="0" fontId="29" fillId="2" borderId="6" xfId="0" applyFont="1" applyFill="1" applyBorder="1"/>
    <xf numFmtId="0" fontId="29" fillId="2" borderId="11" xfId="0" applyFont="1" applyFill="1" applyBorder="1"/>
    <xf numFmtId="0" fontId="29" fillId="2" borderId="7" xfId="0" applyFont="1" applyFill="1" applyBorder="1"/>
    <xf numFmtId="0" fontId="28" fillId="2" borderId="25" xfId="0" applyFont="1" applyFill="1" applyBorder="1" applyAlignment="1">
      <alignment horizontal="center"/>
    </xf>
    <xf numFmtId="0" fontId="24" fillId="2" borderId="25" xfId="0" applyFont="1" applyFill="1" applyBorder="1" applyAlignment="1">
      <alignment horizontal="center"/>
    </xf>
    <xf numFmtId="0" fontId="35" fillId="3" borderId="11" xfId="0" applyFont="1" applyFill="1" applyBorder="1" applyAlignment="1">
      <alignment horizontal="center"/>
    </xf>
    <xf numFmtId="0" fontId="36" fillId="3" borderId="11" xfId="0" applyFont="1" applyFill="1" applyBorder="1"/>
    <xf numFmtId="0" fontId="1" fillId="0" borderId="21" xfId="0" applyFont="1" applyBorder="1" applyAlignment="1">
      <alignment horizontal="centerContinuous"/>
    </xf>
    <xf numFmtId="0" fontId="8" fillId="0" borderId="3" xfId="0" applyFont="1" applyBorder="1" applyAlignment="1">
      <alignment horizontal="center"/>
    </xf>
    <xf numFmtId="0" fontId="0" fillId="0" borderId="5" xfId="0" applyBorder="1" applyAlignment="1">
      <alignment horizontal="center"/>
    </xf>
    <xf numFmtId="0" fontId="1" fillId="0" borderId="0" xfId="0" applyFont="1" applyAlignment="1">
      <alignment horizontal="right"/>
    </xf>
    <xf numFmtId="0" fontId="35" fillId="3" borderId="7" xfId="0" applyFont="1" applyFill="1" applyBorder="1" applyAlignment="1">
      <alignment horizontal="center"/>
    </xf>
    <xf numFmtId="0" fontId="5" fillId="0" borderId="0" xfId="0" applyFont="1" applyAlignment="1">
      <alignment horizontal="left"/>
    </xf>
    <xf numFmtId="176" fontId="5" fillId="0" borderId="5" xfId="0" applyNumberFormat="1" applyFont="1" applyBorder="1" applyAlignment="1">
      <alignment horizontal="center"/>
    </xf>
    <xf numFmtId="0" fontId="5" fillId="0" borderId="5" xfId="0" applyFont="1" applyBorder="1" applyAlignment="1">
      <alignment horizontal="center"/>
    </xf>
    <xf numFmtId="0" fontId="1" fillId="0" borderId="0" xfId="0" applyFont="1" applyAlignment="1">
      <alignment horizontal="center"/>
    </xf>
    <xf numFmtId="0" fontId="1" fillId="0" borderId="5" xfId="0" applyFont="1" applyBorder="1" applyAlignment="1">
      <alignment horizontal="center"/>
    </xf>
    <xf numFmtId="0" fontId="8" fillId="0" borderId="0" xfId="0" applyFont="1" applyAlignment="1">
      <alignment horizontal="centerContinuous"/>
    </xf>
    <xf numFmtId="0" fontId="0" fillId="0" borderId="0" xfId="0" applyAlignment="1">
      <alignment horizontal="left"/>
    </xf>
    <xf numFmtId="0" fontId="0" fillId="0" borderId="0" xfId="0" applyAlignment="1">
      <alignment horizontal="right"/>
    </xf>
    <xf numFmtId="0" fontId="25" fillId="0" borderId="0" xfId="0" applyFont="1" applyAlignment="1">
      <alignment horizontal="right"/>
    </xf>
    <xf numFmtId="2" fontId="8" fillId="0" borderId="0" xfId="0" applyNumberFormat="1" applyFont="1" applyAlignment="1">
      <alignment horizontal="right"/>
    </xf>
    <xf numFmtId="0" fontId="23" fillId="0" borderId="0" xfId="0" applyFont="1" applyAlignment="1">
      <alignment horizontal="right"/>
    </xf>
    <xf numFmtId="0" fontId="5" fillId="0" borderId="4" xfId="0" applyFont="1" applyBorder="1"/>
    <xf numFmtId="0" fontId="8" fillId="0" borderId="1" xfId="0" applyFont="1" applyBorder="1" applyAlignment="1">
      <alignment horizontal="center"/>
    </xf>
    <xf numFmtId="0" fontId="40" fillId="0" borderId="1" xfId="0" applyFont="1" applyBorder="1" applyAlignment="1">
      <alignment horizontal="center"/>
    </xf>
    <xf numFmtId="0" fontId="8" fillId="0" borderId="0" xfId="0" applyFont="1" applyAlignment="1">
      <alignment horizontal="right"/>
    </xf>
    <xf numFmtId="0" fontId="1" fillId="0" borderId="21" xfId="0" applyFont="1" applyBorder="1" applyAlignment="1">
      <alignment horizontal="center"/>
    </xf>
    <xf numFmtId="0" fontId="8" fillId="0" borderId="5" xfId="0" applyFont="1" applyBorder="1" applyAlignment="1">
      <alignment horizontal="center"/>
    </xf>
    <xf numFmtId="0" fontId="25" fillId="0" borderId="5" xfId="0" applyFont="1" applyBorder="1" applyAlignment="1">
      <alignment horizontal="center"/>
    </xf>
    <xf numFmtId="0" fontId="40" fillId="0" borderId="28" xfId="0" applyFont="1" applyBorder="1" applyAlignment="1">
      <alignment horizontal="center"/>
    </xf>
    <xf numFmtId="0" fontId="8" fillId="0" borderId="23" xfId="0" applyFont="1" applyBorder="1" applyAlignment="1">
      <alignment horizontal="center"/>
    </xf>
    <xf numFmtId="0" fontId="8" fillId="0" borderId="4" xfId="0" applyFont="1" applyBorder="1"/>
    <xf numFmtId="0" fontId="8" fillId="0" borderId="6" xfId="0" applyFont="1" applyBorder="1"/>
    <xf numFmtId="0" fontId="8" fillId="0" borderId="11" xfId="0" applyFont="1" applyBorder="1"/>
    <xf numFmtId="0" fontId="8" fillId="0" borderId="22" xfId="0" applyFont="1" applyBorder="1" applyAlignment="1">
      <alignment horizontal="center"/>
    </xf>
    <xf numFmtId="0" fontId="8" fillId="0" borderId="2" xfId="0" applyFont="1" applyBorder="1"/>
    <xf numFmtId="0" fontId="8" fillId="0" borderId="21" xfId="0" applyFont="1" applyBorder="1"/>
    <xf numFmtId="0" fontId="8" fillId="0" borderId="3" xfId="0" applyFont="1" applyBorder="1"/>
    <xf numFmtId="0" fontId="8" fillId="0" borderId="5" xfId="0" applyFont="1" applyBorder="1"/>
    <xf numFmtId="0" fontId="36" fillId="4" borderId="1" xfId="0" applyFont="1" applyFill="1" applyBorder="1" applyAlignment="1">
      <alignment horizontal="center"/>
    </xf>
    <xf numFmtId="0" fontId="36" fillId="4" borderId="29" xfId="0" applyFont="1" applyFill="1" applyBorder="1" applyAlignment="1">
      <alignment horizontal="center"/>
    </xf>
    <xf numFmtId="0" fontId="43" fillId="0" borderId="2" xfId="0" applyFont="1" applyBorder="1"/>
    <xf numFmtId="0" fontId="43" fillId="2" borderId="21" xfId="0" applyFont="1" applyFill="1" applyBorder="1" applyAlignment="1">
      <alignment horizontal="left"/>
    </xf>
    <xf numFmtId="0" fontId="28" fillId="0" borderId="0" xfId="0" applyFont="1"/>
    <xf numFmtId="0" fontId="29" fillId="4" borderId="0" xfId="0" applyFont="1" applyFill="1" applyAlignment="1">
      <alignment horizontal="left"/>
    </xf>
    <xf numFmtId="15" fontId="30" fillId="4" borderId="5" xfId="0" applyNumberFormat="1" applyFont="1" applyFill="1" applyBorder="1" applyAlignment="1">
      <alignment horizontal="center"/>
    </xf>
    <xf numFmtId="0" fontId="29" fillId="4" borderId="0" xfId="0" applyFont="1" applyFill="1"/>
    <xf numFmtId="0" fontId="5" fillId="4" borderId="30" xfId="0" applyFont="1" applyFill="1" applyBorder="1" applyAlignment="1">
      <alignment horizontal="left"/>
    </xf>
    <xf numFmtId="0" fontId="5" fillId="4" borderId="8" xfId="0" applyFont="1" applyFill="1" applyBorder="1"/>
    <xf numFmtId="0" fontId="5" fillId="4" borderId="31" xfId="0" applyFont="1" applyFill="1" applyBorder="1" applyAlignment="1">
      <alignment horizontal="center"/>
    </xf>
    <xf numFmtId="0" fontId="24" fillId="4" borderId="25" xfId="0" applyFont="1" applyFill="1" applyBorder="1" applyAlignment="1">
      <alignment horizontal="center"/>
    </xf>
    <xf numFmtId="0" fontId="41" fillId="0" borderId="4" xfId="0" applyFont="1" applyBorder="1"/>
    <xf numFmtId="0" fontId="45" fillId="0" borderId="4" xfId="0" applyFont="1" applyBorder="1" applyAlignment="1">
      <alignment horizontal="center"/>
    </xf>
    <xf numFmtId="177" fontId="29" fillId="0" borderId="30" xfId="0" applyNumberFormat="1" applyFont="1" applyBorder="1"/>
    <xf numFmtId="49" fontId="8" fillId="0" borderId="0" xfId="0" applyNumberFormat="1" applyFont="1"/>
    <xf numFmtId="2" fontId="8" fillId="0" borderId="0" xfId="0" applyNumberFormat="1" applyFont="1"/>
    <xf numFmtId="2" fontId="8" fillId="0" borderId="9" xfId="0" applyNumberFormat="1" applyFont="1" applyBorder="1"/>
    <xf numFmtId="0" fontId="8" fillId="0" borderId="0" xfId="0" applyFont="1" applyAlignment="1">
      <alignment horizontal="left"/>
    </xf>
    <xf numFmtId="49" fontId="41" fillId="0" borderId="0" xfId="0" applyNumberFormat="1" applyFont="1"/>
    <xf numFmtId="2" fontId="28" fillId="0" borderId="0" xfId="0" applyNumberFormat="1" applyFont="1"/>
    <xf numFmtId="2" fontId="28" fillId="0" borderId="1" xfId="0" applyNumberFormat="1" applyFont="1" applyBorder="1"/>
    <xf numFmtId="2" fontId="8" fillId="4" borderId="0" xfId="0" applyNumberFormat="1" applyFont="1" applyFill="1"/>
    <xf numFmtId="0" fontId="41" fillId="0" borderId="0" xfId="0" applyFont="1"/>
    <xf numFmtId="0" fontId="41" fillId="0" borderId="11" xfId="0" applyFont="1" applyBorder="1"/>
    <xf numFmtId="0" fontId="41" fillId="0" borderId="32" xfId="0" applyFont="1" applyBorder="1" applyAlignment="1">
      <alignment horizontal="centerContinuous"/>
    </xf>
    <xf numFmtId="0" fontId="41" fillId="0" borderId="18" xfId="0" applyFont="1" applyBorder="1" applyAlignment="1">
      <alignment horizontal="centerContinuous"/>
    </xf>
    <xf numFmtId="0" fontId="41" fillId="0" borderId="9" xfId="0" applyFont="1" applyBorder="1"/>
    <xf numFmtId="0" fontId="41" fillId="0" borderId="9" xfId="0" applyFont="1" applyBorder="1" applyAlignment="1">
      <alignment horizontal="left"/>
    </xf>
    <xf numFmtId="0" fontId="44" fillId="0" borderId="0" xfId="0" applyFont="1"/>
    <xf numFmtId="49" fontId="44" fillId="0" borderId="0" xfId="0" applyNumberFormat="1" applyFont="1"/>
    <xf numFmtId="44" fontId="44" fillId="0" borderId="0" xfId="3" applyFont="1"/>
    <xf numFmtId="176" fontId="41" fillId="0" borderId="33" xfId="0" applyNumberFormat="1" applyFont="1" applyBorder="1"/>
    <xf numFmtId="176" fontId="41" fillId="0" borderId="0" xfId="0" applyNumberFormat="1" applyFont="1"/>
    <xf numFmtId="176" fontId="41" fillId="0" borderId="34" xfId="0" applyNumberFormat="1" applyFont="1" applyBorder="1"/>
    <xf numFmtId="0" fontId="8" fillId="0" borderId="25" xfId="0" applyFont="1" applyBorder="1" applyAlignment="1">
      <alignment horizontal="center"/>
    </xf>
    <xf numFmtId="0" fontId="44" fillId="2" borderId="25" xfId="0" applyFont="1" applyFill="1" applyBorder="1" applyAlignment="1">
      <alignment horizontal="center"/>
    </xf>
    <xf numFmtId="0" fontId="8" fillId="0" borderId="17" xfId="0" applyFont="1" applyBorder="1"/>
    <xf numFmtId="0" fontId="8" fillId="0" borderId="9" xfId="0" applyFont="1" applyBorder="1"/>
    <xf numFmtId="0" fontId="1" fillId="0" borderId="33" xfId="0" applyFont="1" applyBorder="1"/>
    <xf numFmtId="0" fontId="41" fillId="0" borderId="5" xfId="0" applyFont="1" applyBorder="1" applyAlignment="1">
      <alignment horizontal="left"/>
    </xf>
    <xf numFmtId="0" fontId="41" fillId="0" borderId="4" xfId="0" applyFont="1" applyBorder="1" applyAlignment="1">
      <alignment horizontal="left"/>
    </xf>
    <xf numFmtId="0" fontId="41" fillId="0" borderId="5" xfId="0" applyFont="1" applyBorder="1"/>
    <xf numFmtId="2" fontId="8" fillId="5" borderId="0" xfId="0" applyNumberFormat="1" applyFont="1" applyFill="1"/>
    <xf numFmtId="0" fontId="0" fillId="0" borderId="35" xfId="0" applyBorder="1"/>
    <xf numFmtId="0" fontId="33" fillId="0" borderId="4" xfId="0" applyFont="1" applyBorder="1"/>
    <xf numFmtId="0" fontId="33" fillId="0" borderId="0" xfId="0" applyFont="1"/>
    <xf numFmtId="0" fontId="33" fillId="0" borderId="2" xfId="0" applyFont="1" applyBorder="1"/>
    <xf numFmtId="0" fontId="34" fillId="0" borderId="0" xfId="4" applyAlignment="1" applyProtection="1"/>
    <xf numFmtId="0" fontId="41" fillId="0" borderId="0" xfId="0" applyFont="1" applyAlignment="1">
      <alignment horizontal="center"/>
    </xf>
    <xf numFmtId="0" fontId="0" fillId="0" borderId="36" xfId="0" applyBorder="1"/>
    <xf numFmtId="44" fontId="44" fillId="0" borderId="1" xfId="3" applyFont="1" applyBorder="1"/>
    <xf numFmtId="176" fontId="44" fillId="0" borderId="39" xfId="0" applyNumberFormat="1" applyFont="1" applyBorder="1" applyAlignment="1">
      <alignment horizontal="center"/>
    </xf>
    <xf numFmtId="49" fontId="28" fillId="0" borderId="0" xfId="0" applyNumberFormat="1" applyFont="1"/>
    <xf numFmtId="2" fontId="28" fillId="0" borderId="9" xfId="0" applyNumberFormat="1" applyFont="1" applyBorder="1"/>
    <xf numFmtId="2" fontId="8" fillId="0" borderId="1" xfId="0" applyNumberFormat="1" applyFont="1" applyBorder="1"/>
    <xf numFmtId="0" fontId="8" fillId="0" borderId="4" xfId="0" applyFont="1" applyBorder="1" applyAlignment="1">
      <alignment horizontal="center"/>
    </xf>
    <xf numFmtId="0" fontId="49" fillId="0" borderId="4" xfId="0" applyFont="1" applyBorder="1"/>
    <xf numFmtId="0" fontId="49" fillId="0" borderId="0" xfId="0" applyFont="1"/>
    <xf numFmtId="0" fontId="8" fillId="0" borderId="4" xfId="0" applyFont="1" applyBorder="1" applyAlignment="1">
      <alignment horizontal="right"/>
    </xf>
    <xf numFmtId="0" fontId="8" fillId="0" borderId="40" xfId="0" applyFont="1" applyBorder="1" applyAlignment="1">
      <alignment horizontal="center"/>
    </xf>
    <xf numFmtId="0" fontId="8" fillId="0" borderId="7" xfId="0" applyFont="1" applyBorder="1"/>
    <xf numFmtId="0" fontId="8" fillId="0" borderId="1" xfId="0" applyFont="1" applyBorder="1"/>
    <xf numFmtId="0" fontId="45" fillId="0" borderId="0" xfId="0" applyFont="1" applyAlignment="1">
      <alignment horizontal="center"/>
    </xf>
    <xf numFmtId="0" fontId="1" fillId="0" borderId="21" xfId="0" applyFont="1" applyBorder="1" applyAlignment="1">
      <alignment horizontal="right"/>
    </xf>
    <xf numFmtId="0" fontId="43" fillId="0" borderId="0" xfId="0" applyFont="1"/>
    <xf numFmtId="178" fontId="28" fillId="0" borderId="0" xfId="0" applyNumberFormat="1" applyFont="1" applyAlignment="1">
      <alignment horizontal="center"/>
    </xf>
    <xf numFmtId="2" fontId="8" fillId="0" borderId="1" xfId="0" applyNumberFormat="1" applyFont="1" applyBorder="1" applyAlignment="1">
      <alignment horizontal="center"/>
    </xf>
    <xf numFmtId="0" fontId="25" fillId="0" borderId="4" xfId="0" applyFont="1" applyBorder="1"/>
    <xf numFmtId="182" fontId="44" fillId="0" borderId="1" xfId="0" applyNumberFormat="1" applyFont="1" applyBorder="1" applyAlignment="1">
      <alignment horizontal="center"/>
    </xf>
    <xf numFmtId="2" fontId="44" fillId="0" borderId="1" xfId="0" applyNumberFormat="1" applyFont="1" applyBorder="1"/>
    <xf numFmtId="2" fontId="44" fillId="0" borderId="1" xfId="0" applyNumberFormat="1" applyFont="1" applyBorder="1" applyAlignment="1">
      <alignment horizontal="center"/>
    </xf>
    <xf numFmtId="0" fontId="50" fillId="0" borderId="1" xfId="0" applyFont="1" applyBorder="1" applyAlignment="1">
      <alignment horizontal="center"/>
    </xf>
    <xf numFmtId="20" fontId="8" fillId="0" borderId="1" xfId="0" applyNumberFormat="1" applyFont="1" applyBorder="1" applyAlignment="1">
      <alignment horizontal="center"/>
    </xf>
    <xf numFmtId="167" fontId="8" fillId="0" borderId="1" xfId="0" applyNumberFormat="1" applyFont="1" applyBorder="1" applyAlignment="1">
      <alignment horizontal="center"/>
    </xf>
    <xf numFmtId="0" fontId="28" fillId="0" borderId="41" xfId="0" applyFont="1" applyBorder="1" applyAlignment="1">
      <alignment horizontal="center"/>
    </xf>
    <xf numFmtId="0" fontId="51" fillId="0" borderId="41" xfId="0" applyFont="1" applyBorder="1" applyAlignment="1">
      <alignment horizontal="center"/>
    </xf>
    <xf numFmtId="0" fontId="50" fillId="0" borderId="42" xfId="0" applyFont="1" applyBorder="1" applyAlignment="1">
      <alignment horizontal="center"/>
    </xf>
    <xf numFmtId="0" fontId="52" fillId="0" borderId="0" xfId="0" applyFont="1" applyAlignment="1">
      <alignment horizontal="center"/>
    </xf>
    <xf numFmtId="0" fontId="52" fillId="0" borderId="5" xfId="0" applyFont="1" applyBorder="1" applyAlignment="1">
      <alignment horizontal="center"/>
    </xf>
    <xf numFmtId="0" fontId="22" fillId="0" borderId="0" xfId="0" applyFont="1" applyAlignment="1">
      <alignment horizontal="right"/>
    </xf>
    <xf numFmtId="2" fontId="28" fillId="6" borderId="1" xfId="0" applyNumberFormat="1" applyFont="1" applyFill="1" applyBorder="1"/>
    <xf numFmtId="2" fontId="28" fillId="6" borderId="1" xfId="0" applyNumberFormat="1" applyFont="1" applyFill="1" applyBorder="1" applyAlignment="1">
      <alignment horizontal="center"/>
    </xf>
    <xf numFmtId="2" fontId="8" fillId="0" borderId="0" xfId="0" applyNumberFormat="1" applyFont="1" applyAlignment="1">
      <alignment horizontal="center"/>
    </xf>
    <xf numFmtId="167" fontId="8" fillId="0" borderId="0" xfId="0" applyNumberFormat="1" applyFont="1" applyAlignment="1">
      <alignment horizontal="center"/>
    </xf>
    <xf numFmtId="3" fontId="8" fillId="0" borderId="0" xfId="0" applyNumberFormat="1" applyFont="1"/>
    <xf numFmtId="0" fontId="25" fillId="0" borderId="42" xfId="0" applyFont="1" applyBorder="1" applyAlignment="1">
      <alignment horizontal="center"/>
    </xf>
    <xf numFmtId="0" fontId="8" fillId="0" borderId="43" xfId="0" applyFont="1" applyBorder="1"/>
    <xf numFmtId="0" fontId="8" fillId="0" borderId="41" xfId="0" applyFont="1" applyBorder="1"/>
    <xf numFmtId="2" fontId="8" fillId="0" borderId="43" xfId="0" applyNumberFormat="1" applyFont="1" applyBorder="1"/>
    <xf numFmtId="0" fontId="25" fillId="0" borderId="43" xfId="0" applyFont="1" applyBorder="1" applyAlignment="1">
      <alignment horizontal="center"/>
    </xf>
    <xf numFmtId="172" fontId="17" fillId="0" borderId="44" xfId="8" applyNumberFormat="1" applyFont="1" applyBorder="1" applyAlignment="1">
      <alignment horizontal="center"/>
    </xf>
    <xf numFmtId="20" fontId="17" fillId="0" borderId="44" xfId="8" applyNumberFormat="1" applyFont="1" applyBorder="1" applyAlignment="1" applyProtection="1">
      <alignment horizontal="center"/>
      <protection locked="0"/>
    </xf>
    <xf numFmtId="0" fontId="53" fillId="0" borderId="0" xfId="0" applyFont="1" applyAlignment="1">
      <alignment horizontal="centerContinuous"/>
    </xf>
    <xf numFmtId="177" fontId="54" fillId="0" borderId="0" xfId="0" applyNumberFormat="1" applyFont="1" applyAlignment="1">
      <alignment horizontal="centerContinuous"/>
    </xf>
    <xf numFmtId="0" fontId="58" fillId="0" borderId="0" xfId="0" applyFont="1"/>
    <xf numFmtId="0" fontId="8" fillId="0" borderId="45" xfId="0" applyFont="1" applyBorder="1" applyAlignment="1">
      <alignment horizontal="center"/>
    </xf>
    <xf numFmtId="0" fontId="28" fillId="0" borderId="46" xfId="0" applyFont="1" applyBorder="1" applyAlignment="1">
      <alignment horizontal="center"/>
    </xf>
    <xf numFmtId="2" fontId="41" fillId="0" borderId="5" xfId="0" applyNumberFormat="1" applyFont="1" applyBorder="1"/>
    <xf numFmtId="0" fontId="41" fillId="0" borderId="1" xfId="0" applyFont="1" applyBorder="1"/>
    <xf numFmtId="0" fontId="41" fillId="0" borderId="42" xfId="0" applyFont="1" applyBorder="1"/>
    <xf numFmtId="0" fontId="41" fillId="0" borderId="41" xfId="0" applyFont="1" applyBorder="1"/>
    <xf numFmtId="0" fontId="41" fillId="0" borderId="42" xfId="0" applyFont="1" applyBorder="1" applyAlignment="1">
      <alignment horizontal="center"/>
    </xf>
    <xf numFmtId="0" fontId="41" fillId="0" borderId="41" xfId="0" applyFont="1" applyBorder="1" applyAlignment="1">
      <alignment horizontal="center"/>
    </xf>
    <xf numFmtId="0" fontId="8" fillId="0" borderId="42" xfId="0" applyFont="1" applyBorder="1" applyAlignment="1">
      <alignment horizontal="center"/>
    </xf>
    <xf numFmtId="0" fontId="8" fillId="0" borderId="41" xfId="0" applyFont="1" applyBorder="1" applyAlignment="1">
      <alignment horizontal="center"/>
    </xf>
    <xf numFmtId="0" fontId="8" fillId="5" borderId="0" xfId="0" applyFont="1" applyFill="1" applyAlignment="1">
      <alignment horizontal="center"/>
    </xf>
    <xf numFmtId="0" fontId="8" fillId="0" borderId="25" xfId="0" applyFont="1" applyBorder="1"/>
    <xf numFmtId="0" fontId="49" fillId="0" borderId="2" xfId="0" applyFont="1" applyBorder="1"/>
    <xf numFmtId="0" fontId="41" fillId="0" borderId="1" xfId="0" applyFont="1" applyBorder="1" applyAlignment="1">
      <alignment horizontal="center"/>
    </xf>
    <xf numFmtId="176" fontId="41" fillId="0" borderId="1" xfId="0" applyNumberFormat="1" applyFont="1" applyBorder="1"/>
    <xf numFmtId="44" fontId="41" fillId="0" borderId="1" xfId="3" applyFont="1" applyBorder="1"/>
    <xf numFmtId="37" fontId="41" fillId="0" borderId="1" xfId="3" applyNumberFormat="1" applyFont="1" applyBorder="1" applyAlignment="1">
      <alignment horizontal="center"/>
    </xf>
    <xf numFmtId="44" fontId="41" fillId="0" borderId="0" xfId="3" applyFont="1"/>
    <xf numFmtId="175" fontId="64" fillId="4" borderId="32" xfId="0" applyNumberFormat="1" applyFont="1" applyFill="1" applyBorder="1"/>
    <xf numFmtId="175" fontId="64" fillId="4" borderId="18" xfId="0" applyNumberFormat="1" applyFont="1" applyFill="1" applyBorder="1"/>
    <xf numFmtId="175" fontId="64" fillId="4" borderId="9" xfId="0" applyNumberFormat="1" applyFont="1" applyFill="1" applyBorder="1"/>
    <xf numFmtId="175" fontId="64" fillId="4" borderId="33" xfId="0" applyNumberFormat="1" applyFont="1" applyFill="1" applyBorder="1"/>
    <xf numFmtId="2" fontId="64" fillId="4" borderId="18" xfId="0" applyNumberFormat="1" applyFont="1" applyFill="1" applyBorder="1"/>
    <xf numFmtId="2" fontId="64" fillId="4" borderId="9" xfId="0" applyNumberFormat="1" applyFont="1" applyFill="1" applyBorder="1"/>
    <xf numFmtId="2" fontId="64" fillId="4" borderId="33" xfId="0" applyNumberFormat="1" applyFont="1" applyFill="1" applyBorder="1"/>
    <xf numFmtId="175" fontId="65" fillId="4" borderId="11" xfId="0" applyNumberFormat="1" applyFont="1" applyFill="1" applyBorder="1"/>
    <xf numFmtId="2" fontId="65" fillId="4" borderId="38" xfId="0" applyNumberFormat="1" applyFont="1" applyFill="1" applyBorder="1"/>
    <xf numFmtId="175" fontId="65" fillId="4" borderId="6" xfId="0" applyNumberFormat="1" applyFont="1" applyFill="1" applyBorder="1"/>
    <xf numFmtId="175" fontId="65" fillId="4" borderId="11" xfId="0" applyNumberFormat="1" applyFont="1" applyFill="1" applyBorder="1" applyProtection="1">
      <protection locked="0"/>
    </xf>
    <xf numFmtId="2" fontId="65" fillId="4" borderId="7" xfId="0" applyNumberFormat="1" applyFont="1" applyFill="1" applyBorder="1"/>
    <xf numFmtId="0" fontId="63" fillId="0" borderId="21" xfId="0" applyFont="1" applyBorder="1"/>
    <xf numFmtId="2" fontId="63" fillId="0" borderId="47" xfId="0" applyNumberFormat="1" applyFont="1" applyBorder="1" applyAlignment="1">
      <alignment horizontal="centerContinuous"/>
    </xf>
    <xf numFmtId="0" fontId="63" fillId="0" borderId="9" xfId="0" applyFont="1" applyBorder="1"/>
    <xf numFmtId="0" fontId="69" fillId="0" borderId="48" xfId="0" applyFont="1" applyBorder="1"/>
    <xf numFmtId="0" fontId="62" fillId="0" borderId="49" xfId="0" applyFont="1" applyBorder="1"/>
    <xf numFmtId="0" fontId="62" fillId="0" borderId="50" xfId="0" applyFont="1" applyBorder="1"/>
    <xf numFmtId="0" fontId="62" fillId="0" borderId="21" xfId="0" applyFont="1" applyBorder="1"/>
    <xf numFmtId="2" fontId="63" fillId="0" borderId="21" xfId="0" applyNumberFormat="1" applyFont="1" applyBorder="1"/>
    <xf numFmtId="0" fontId="63" fillId="0" borderId="51" xfId="0" applyFont="1" applyBorder="1"/>
    <xf numFmtId="0" fontId="63" fillId="0" borderId="47" xfId="0" applyFont="1" applyBorder="1"/>
    <xf numFmtId="2" fontId="63" fillId="0" borderId="51" xfId="0" applyNumberFormat="1" applyFont="1" applyBorder="1"/>
    <xf numFmtId="2" fontId="63" fillId="0" borderId="3" xfId="0" applyNumberFormat="1" applyFont="1" applyBorder="1"/>
    <xf numFmtId="0" fontId="63" fillId="0" borderId="52" xfId="0" applyFont="1" applyBorder="1"/>
    <xf numFmtId="173" fontId="63" fillId="0" borderId="51" xfId="0" applyNumberFormat="1" applyFont="1" applyBorder="1" applyAlignment="1">
      <alignment horizontal="centerContinuous"/>
    </xf>
    <xf numFmtId="0" fontId="69" fillId="0" borderId="53" xfId="0" applyFont="1" applyBorder="1"/>
    <xf numFmtId="0" fontId="62" fillId="0" borderId="54" xfId="0" applyFont="1" applyBorder="1"/>
    <xf numFmtId="0" fontId="62" fillId="0" borderId="55" xfId="0" applyFont="1" applyBorder="1"/>
    <xf numFmtId="0" fontId="63" fillId="0" borderId="32" xfId="0" quotePrefix="1" applyFont="1" applyBorder="1" applyAlignment="1">
      <alignment horizontal="left"/>
    </xf>
    <xf numFmtId="0" fontId="62" fillId="0" borderId="9" xfId="0" applyFont="1" applyBorder="1"/>
    <xf numFmtId="0" fontId="63" fillId="0" borderId="6" xfId="0" applyFont="1" applyBorder="1" applyAlignment="1">
      <alignment horizontal="left"/>
    </xf>
    <xf numFmtId="0" fontId="63" fillId="0" borderId="11" xfId="0" applyFont="1" applyBorder="1"/>
    <xf numFmtId="175" fontId="64" fillId="4" borderId="11" xfId="0" applyNumberFormat="1" applyFont="1" applyFill="1" applyBorder="1"/>
    <xf numFmtId="2" fontId="64" fillId="4" borderId="38" xfId="0" applyNumberFormat="1" applyFont="1" applyFill="1" applyBorder="1"/>
    <xf numFmtId="175" fontId="64" fillId="4" borderId="56" xfId="0" applyNumberFormat="1" applyFont="1" applyFill="1" applyBorder="1"/>
    <xf numFmtId="2" fontId="64" fillId="4" borderId="57" xfId="0" applyNumberFormat="1" applyFont="1" applyFill="1" applyBorder="1"/>
    <xf numFmtId="175" fontId="64" fillId="4" borderId="6" xfId="0" applyNumberFormat="1" applyFont="1" applyFill="1" applyBorder="1"/>
    <xf numFmtId="2" fontId="64" fillId="4" borderId="7" xfId="0" applyNumberFormat="1" applyFont="1" applyFill="1" applyBorder="1"/>
    <xf numFmtId="0" fontId="8" fillId="0" borderId="36" xfId="0" applyFont="1" applyBorder="1"/>
    <xf numFmtId="0" fontId="8" fillId="0" borderId="13" xfId="0" applyFont="1" applyBorder="1"/>
    <xf numFmtId="0" fontId="8" fillId="0" borderId="14" xfId="0" applyFont="1" applyBorder="1"/>
    <xf numFmtId="0" fontId="8" fillId="0" borderId="15" xfId="0" applyFont="1" applyBorder="1"/>
    <xf numFmtId="0" fontId="8" fillId="0" borderId="16" xfId="0" applyFont="1" applyBorder="1"/>
    <xf numFmtId="0" fontId="8" fillId="0" borderId="18" xfId="0" applyFont="1" applyBorder="1"/>
    <xf numFmtId="0" fontId="72" fillId="0" borderId="0" xfId="0" applyFont="1"/>
    <xf numFmtId="0" fontId="0" fillId="0" borderId="33" xfId="0" applyBorder="1"/>
    <xf numFmtId="0" fontId="0" fillId="0" borderId="32" xfId="0" applyBorder="1"/>
    <xf numFmtId="0" fontId="8" fillId="0" borderId="52" xfId="0" applyFont="1" applyBorder="1"/>
    <xf numFmtId="0" fontId="0" fillId="0" borderId="51" xfId="0" applyBorder="1"/>
    <xf numFmtId="0" fontId="8" fillId="0" borderId="51" xfId="0" applyFont="1" applyBorder="1"/>
    <xf numFmtId="0" fontId="52" fillId="0" borderId="58" xfId="0" applyFont="1" applyBorder="1" applyAlignment="1">
      <alignment horizontal="center"/>
    </xf>
    <xf numFmtId="0" fontId="73" fillId="0" borderId="4" xfId="0" applyFont="1" applyBorder="1"/>
    <xf numFmtId="0" fontId="0" fillId="0" borderId="48" xfId="0" applyBorder="1"/>
    <xf numFmtId="0" fontId="0" fillId="0" borderId="49" xfId="0" applyBorder="1"/>
    <xf numFmtId="0" fontId="0" fillId="0" borderId="50" xfId="0" applyBorder="1"/>
    <xf numFmtId="0" fontId="0" fillId="0" borderId="59" xfId="0" applyBorder="1"/>
    <xf numFmtId="0" fontId="0" fillId="0" borderId="60" xfId="0" applyBorder="1"/>
    <xf numFmtId="0" fontId="75" fillId="0" borderId="0" xfId="0" applyFont="1" applyAlignment="1">
      <alignment horizontal="center"/>
    </xf>
    <xf numFmtId="0" fontId="8" fillId="0" borderId="59" xfId="0" applyFont="1" applyBorder="1"/>
    <xf numFmtId="0" fontId="0" fillId="0" borderId="59" xfId="0" applyBorder="1" applyAlignment="1">
      <alignment horizontal="center"/>
    </xf>
    <xf numFmtId="0" fontId="0" fillId="0" borderId="40" xfId="0" applyBorder="1"/>
    <xf numFmtId="176" fontId="0" fillId="0" borderId="61" xfId="0" applyNumberFormat="1" applyBorder="1"/>
    <xf numFmtId="176" fontId="0" fillId="0" borderId="62" xfId="0" applyNumberFormat="1" applyBorder="1"/>
    <xf numFmtId="176" fontId="0" fillId="0" borderId="63" xfId="0" applyNumberFormat="1" applyBorder="1"/>
    <xf numFmtId="176" fontId="0" fillId="0" borderId="64" xfId="0" applyNumberFormat="1" applyBorder="1"/>
    <xf numFmtId="176" fontId="0" fillId="0" borderId="39" xfId="0" applyNumberFormat="1" applyBorder="1"/>
    <xf numFmtId="176" fontId="0" fillId="0" borderId="65" xfId="0" applyNumberFormat="1" applyBorder="1"/>
    <xf numFmtId="176" fontId="73" fillId="0" borderId="66" xfId="0" applyNumberFormat="1" applyFont="1" applyBorder="1"/>
    <xf numFmtId="176" fontId="73" fillId="0" borderId="67" xfId="0" applyNumberFormat="1" applyFont="1" applyBorder="1"/>
    <xf numFmtId="0" fontId="8" fillId="0" borderId="11" xfId="0" applyFont="1" applyBorder="1" applyAlignment="1">
      <alignment horizontal="center"/>
    </xf>
    <xf numFmtId="176" fontId="73" fillId="0" borderId="68" xfId="0" applyNumberFormat="1" applyFont="1" applyBorder="1"/>
    <xf numFmtId="176" fontId="40" fillId="0" borderId="69" xfId="0" applyNumberFormat="1" applyFont="1" applyBorder="1"/>
    <xf numFmtId="176" fontId="40" fillId="0" borderId="70" xfId="0" applyNumberFormat="1" applyFont="1" applyBorder="1"/>
    <xf numFmtId="176" fontId="40" fillId="0" borderId="71" xfId="0" applyNumberFormat="1" applyFont="1" applyBorder="1"/>
    <xf numFmtId="2" fontId="68" fillId="0" borderId="51" xfId="0" applyNumberFormat="1" applyFont="1" applyBorder="1"/>
    <xf numFmtId="0" fontId="40" fillId="0" borderId="0" xfId="0" applyFont="1"/>
    <xf numFmtId="0" fontId="45" fillId="0" borderId="0" xfId="0" applyFont="1"/>
    <xf numFmtId="49" fontId="61" fillId="0" borderId="1" xfId="0" applyNumberFormat="1" applyFont="1" applyBorder="1"/>
    <xf numFmtId="0" fontId="40" fillId="0" borderId="4" xfId="0" applyFont="1" applyBorder="1"/>
    <xf numFmtId="178" fontId="40" fillId="0" borderId="5" xfId="0" applyNumberFormat="1" applyFont="1" applyBorder="1"/>
    <xf numFmtId="0" fontId="40" fillId="0" borderId="5" xfId="0" applyFont="1" applyBorder="1"/>
    <xf numFmtId="0" fontId="45" fillId="0" borderId="0" xfId="0" applyFont="1" applyAlignment="1">
      <alignment horizontal="right"/>
    </xf>
    <xf numFmtId="0" fontId="40" fillId="0" borderId="0" xfId="0" applyFont="1" applyAlignment="1">
      <alignment horizontal="right"/>
    </xf>
    <xf numFmtId="0" fontId="45" fillId="0" borderId="5" xfId="0" applyFont="1" applyBorder="1"/>
    <xf numFmtId="0" fontId="25" fillId="0" borderId="5" xfId="0" applyFont="1" applyBorder="1"/>
    <xf numFmtId="2" fontId="0" fillId="0" borderId="28" xfId="0" applyNumberFormat="1" applyBorder="1"/>
    <xf numFmtId="49" fontId="61" fillId="0" borderId="40" xfId="0" applyNumberFormat="1" applyFont="1" applyBorder="1"/>
    <xf numFmtId="2" fontId="0" fillId="0" borderId="0" xfId="0" applyNumberFormat="1"/>
    <xf numFmtId="0" fontId="0" fillId="0" borderId="72" xfId="0" applyBorder="1"/>
    <xf numFmtId="0" fontId="0" fillId="0" borderId="45" xfId="0" applyBorder="1"/>
    <xf numFmtId="2" fontId="0" fillId="0" borderId="42" xfId="0" applyNumberFormat="1" applyBorder="1"/>
    <xf numFmtId="0" fontId="0" fillId="0" borderId="42" xfId="0" applyBorder="1"/>
    <xf numFmtId="2" fontId="0" fillId="0" borderId="73" xfId="0" applyNumberFormat="1" applyBorder="1"/>
    <xf numFmtId="0" fontId="0" fillId="0" borderId="74" xfId="0" applyBorder="1"/>
    <xf numFmtId="2" fontId="0" fillId="0" borderId="41" xfId="0" applyNumberFormat="1" applyBorder="1"/>
    <xf numFmtId="0" fontId="0" fillId="0" borderId="41" xfId="0" applyBorder="1"/>
    <xf numFmtId="2" fontId="0" fillId="0" borderId="75" xfId="0" applyNumberFormat="1" applyBorder="1"/>
    <xf numFmtId="49" fontId="61" fillId="0" borderId="46" xfId="0" applyNumberFormat="1" applyFont="1" applyBorder="1"/>
    <xf numFmtId="2" fontId="0" fillId="0" borderId="76" xfId="0" applyNumberFormat="1" applyBorder="1"/>
    <xf numFmtId="49" fontId="61" fillId="0" borderId="76" xfId="0" applyNumberFormat="1" applyFont="1" applyBorder="1"/>
    <xf numFmtId="2" fontId="0" fillId="0" borderId="77" xfId="0" applyNumberFormat="1" applyBorder="1"/>
    <xf numFmtId="4" fontId="52" fillId="0" borderId="0" xfId="0" applyNumberFormat="1" applyFont="1"/>
    <xf numFmtId="0" fontId="1" fillId="0" borderId="42" xfId="0" applyFont="1" applyBorder="1" applyAlignment="1">
      <alignment horizontal="center"/>
    </xf>
    <xf numFmtId="0" fontId="1" fillId="0" borderId="43" xfId="0" applyFont="1" applyBorder="1" applyAlignment="1">
      <alignment horizontal="center"/>
    </xf>
    <xf numFmtId="0" fontId="1" fillId="0" borderId="41" xfId="0" applyFont="1" applyBorder="1" applyAlignment="1">
      <alignment horizontal="center"/>
    </xf>
    <xf numFmtId="0" fontId="1" fillId="0" borderId="13" xfId="0" applyFont="1" applyBorder="1" applyAlignment="1">
      <alignment horizontal="left"/>
    </xf>
    <xf numFmtId="0" fontId="1" fillId="0" borderId="11" xfId="0" applyFont="1" applyBorder="1" applyAlignment="1">
      <alignment horizontal="left"/>
    </xf>
    <xf numFmtId="167" fontId="1" fillId="0" borderId="0" xfId="0" applyNumberFormat="1" applyFont="1"/>
    <xf numFmtId="0" fontId="0" fillId="4" borderId="36" xfId="0" applyFill="1" applyBorder="1"/>
    <xf numFmtId="0" fontId="0" fillId="4" borderId="13" xfId="0" applyFill="1" applyBorder="1"/>
    <xf numFmtId="0" fontId="0" fillId="4" borderId="14" xfId="0" applyFill="1" applyBorder="1"/>
    <xf numFmtId="0" fontId="0" fillId="4" borderId="17" xfId="0" applyFill="1" applyBorder="1"/>
    <xf numFmtId="0" fontId="0" fillId="4" borderId="9" xfId="0" applyFill="1" applyBorder="1"/>
    <xf numFmtId="0" fontId="0" fillId="4" borderId="18" xfId="0" applyFill="1" applyBorder="1"/>
    <xf numFmtId="0" fontId="8" fillId="0" borderId="1" xfId="0" applyFont="1" applyBorder="1" applyAlignment="1">
      <alignment horizontal="center" vertical="center"/>
    </xf>
    <xf numFmtId="0" fontId="0" fillId="0" borderId="43" xfId="0" applyBorder="1"/>
    <xf numFmtId="0" fontId="77" fillId="0" borderId="1" xfId="0" applyFont="1" applyBorder="1" applyAlignment="1">
      <alignment horizontal="center"/>
    </xf>
    <xf numFmtId="2" fontId="77" fillId="0" borderId="1" xfId="0" applyNumberFormat="1" applyFont="1" applyBorder="1" applyAlignment="1">
      <alignment horizontal="center"/>
    </xf>
    <xf numFmtId="0" fontId="77" fillId="0" borderId="40" xfId="0" applyFont="1" applyBorder="1" applyAlignment="1">
      <alignment horizontal="center"/>
    </xf>
    <xf numFmtId="176" fontId="73" fillId="0" borderId="79" xfId="0" applyNumberFormat="1" applyFont="1" applyBorder="1"/>
    <xf numFmtId="4" fontId="52" fillId="0" borderId="11" xfId="0" applyNumberFormat="1" applyFont="1" applyBorder="1"/>
    <xf numFmtId="0" fontId="40" fillId="0" borderId="0" xfId="0" applyFont="1" applyAlignment="1">
      <alignment horizontal="left"/>
    </xf>
    <xf numFmtId="0" fontId="41" fillId="0" borderId="5" xfId="0" applyFont="1" applyBorder="1" applyAlignment="1">
      <alignment horizontal="center"/>
    </xf>
    <xf numFmtId="178" fontId="41" fillId="0" borderId="0" xfId="0" applyNumberFormat="1" applyFont="1"/>
    <xf numFmtId="178" fontId="41" fillId="0" borderId="5" xfId="0" applyNumberFormat="1" applyFont="1" applyBorder="1"/>
    <xf numFmtId="178" fontId="41" fillId="0" borderId="0" xfId="0" applyNumberFormat="1" applyFont="1" applyAlignment="1">
      <alignment horizontal="left"/>
    </xf>
    <xf numFmtId="2" fontId="0" fillId="0" borderId="43" xfId="0" applyNumberFormat="1" applyBorder="1"/>
    <xf numFmtId="174" fontId="0" fillId="0" borderId="36" xfId="0" applyNumberFormat="1" applyBorder="1"/>
    <xf numFmtId="174" fontId="0" fillId="0" borderId="15" xfId="0" applyNumberFormat="1" applyBorder="1"/>
    <xf numFmtId="174" fontId="0" fillId="0" borderId="17" xfId="0" applyNumberFormat="1" applyBorder="1"/>
    <xf numFmtId="0" fontId="78" fillId="0" borderId="0" xfId="6"/>
    <xf numFmtId="0" fontId="78" fillId="0" borderId="80" xfId="6" applyBorder="1"/>
    <xf numFmtId="0" fontId="78" fillId="0" borderId="81" xfId="6" applyBorder="1"/>
    <xf numFmtId="0" fontId="78" fillId="0" borderId="82" xfId="6" applyBorder="1" applyAlignment="1">
      <alignment horizontal="center"/>
    </xf>
    <xf numFmtId="0" fontId="80" fillId="7" borderId="83" xfId="6" applyFont="1" applyFill="1" applyBorder="1" applyAlignment="1">
      <alignment horizontal="center"/>
    </xf>
    <xf numFmtId="0" fontId="81" fillId="0" borderId="82" xfId="6" applyFont="1" applyBorder="1" applyAlignment="1">
      <alignment horizontal="center"/>
    </xf>
    <xf numFmtId="0" fontId="78" fillId="0" borderId="84" xfId="6" applyBorder="1"/>
    <xf numFmtId="0" fontId="80" fillId="4" borderId="85" xfId="6" applyFont="1" applyFill="1" applyBorder="1"/>
    <xf numFmtId="0" fontId="78" fillId="4" borderId="83" xfId="6" applyFill="1" applyBorder="1"/>
    <xf numFmtId="0" fontId="78" fillId="4" borderId="80" xfId="6" applyFill="1" applyBorder="1"/>
    <xf numFmtId="0" fontId="81" fillId="0" borderId="0" xfId="6" applyFont="1" applyAlignment="1">
      <alignment horizontal="right"/>
    </xf>
    <xf numFmtId="0" fontId="78" fillId="0" borderId="85" xfId="6" applyBorder="1"/>
    <xf numFmtId="0" fontId="78" fillId="4" borderId="81" xfId="6" applyFill="1" applyBorder="1"/>
    <xf numFmtId="0" fontId="78" fillId="0" borderId="0" xfId="6" applyAlignment="1">
      <alignment horizontal="right"/>
    </xf>
    <xf numFmtId="0" fontId="21" fillId="0" borderId="0" xfId="6" applyFont="1"/>
    <xf numFmtId="0" fontId="80" fillId="4" borderId="86" xfId="6" applyFont="1" applyFill="1" applyBorder="1" applyAlignment="1">
      <alignment horizontal="centerContinuous"/>
    </xf>
    <xf numFmtId="0" fontId="80" fillId="4" borderId="87" xfId="6" applyFont="1" applyFill="1" applyBorder="1" applyAlignment="1">
      <alignment horizontal="centerContinuous"/>
    </xf>
    <xf numFmtId="0" fontId="80" fillId="4" borderId="88" xfId="6" applyFont="1" applyFill="1" applyBorder="1" applyAlignment="1">
      <alignment horizontal="center"/>
    </xf>
    <xf numFmtId="0" fontId="80" fillId="4" borderId="88" xfId="6" applyFont="1" applyFill="1" applyBorder="1"/>
    <xf numFmtId="0" fontId="80" fillId="4" borderId="89" xfId="6" applyFont="1" applyFill="1" applyBorder="1"/>
    <xf numFmtId="0" fontId="80" fillId="4" borderId="85" xfId="6" applyFont="1" applyFill="1" applyBorder="1" applyAlignment="1">
      <alignment horizontal="center"/>
    </xf>
    <xf numFmtId="0" fontId="80" fillId="4" borderId="0" xfId="6" applyFont="1" applyFill="1" applyAlignment="1">
      <alignment horizontal="left"/>
    </xf>
    <xf numFmtId="0" fontId="80" fillId="4" borderId="0" xfId="6" applyFont="1" applyFill="1"/>
    <xf numFmtId="0" fontId="83" fillId="0" borderId="0" xfId="6" applyFont="1"/>
    <xf numFmtId="0" fontId="85" fillId="0" borderId="84" xfId="6" applyFont="1" applyBorder="1"/>
    <xf numFmtId="166" fontId="85" fillId="0" borderId="0" xfId="6" applyNumberFormat="1" applyFont="1"/>
    <xf numFmtId="2" fontId="89" fillId="0" borderId="85" xfId="6" applyNumberFormat="1" applyFont="1" applyBorder="1" applyAlignment="1">
      <alignment horizontal="center"/>
    </xf>
    <xf numFmtId="0" fontId="90" fillId="2" borderId="12" xfId="6" applyFont="1" applyFill="1" applyBorder="1"/>
    <xf numFmtId="0" fontId="78" fillId="2" borderId="10" xfId="6" applyFill="1" applyBorder="1"/>
    <xf numFmtId="0" fontId="78" fillId="2" borderId="19" xfId="6" applyFill="1" applyBorder="1"/>
    <xf numFmtId="0" fontId="86" fillId="0" borderId="0" xfId="6" applyFont="1" applyAlignment="1">
      <alignment horizontal="center"/>
    </xf>
    <xf numFmtId="0" fontId="78" fillId="0" borderId="90" xfId="6" applyBorder="1"/>
    <xf numFmtId="0" fontId="78" fillId="0" borderId="91" xfId="6" applyBorder="1"/>
    <xf numFmtId="0" fontId="78" fillId="0" borderId="91" xfId="6" applyBorder="1" applyAlignment="1">
      <alignment horizontal="center"/>
    </xf>
    <xf numFmtId="0" fontId="78" fillId="0" borderId="88" xfId="6" applyBorder="1" applyAlignment="1">
      <alignment horizontal="center"/>
    </xf>
    <xf numFmtId="0" fontId="78" fillId="0" borderId="92" xfId="6" applyBorder="1"/>
    <xf numFmtId="0" fontId="78" fillId="0" borderId="88" xfId="6" applyBorder="1"/>
    <xf numFmtId="0" fontId="78" fillId="0" borderId="93" xfId="6" applyBorder="1" applyAlignment="1">
      <alignment horizontal="center"/>
    </xf>
    <xf numFmtId="0" fontId="78" fillId="0" borderId="85" xfId="6" applyBorder="1" applyAlignment="1">
      <alignment horizontal="center"/>
    </xf>
    <xf numFmtId="0" fontId="78" fillId="0" borderId="94" xfId="6" applyBorder="1"/>
    <xf numFmtId="0" fontId="78" fillId="0" borderId="95" xfId="6" applyBorder="1" applyAlignment="1">
      <alignment horizontal="center"/>
    </xf>
    <xf numFmtId="0" fontId="92" fillId="0" borderId="96" xfId="6" applyFont="1" applyBorder="1"/>
    <xf numFmtId="0" fontId="78" fillId="0" borderId="96" xfId="6" applyBorder="1" applyAlignment="1">
      <alignment horizontal="center"/>
    </xf>
    <xf numFmtId="0" fontId="78" fillId="0" borderId="97" xfId="6" applyBorder="1"/>
    <xf numFmtId="0" fontId="78" fillId="0" borderId="96" xfId="6" applyBorder="1"/>
    <xf numFmtId="166" fontId="78" fillId="0" borderId="98" xfId="6" applyNumberFormat="1" applyBorder="1" applyAlignment="1">
      <alignment horizontal="center"/>
    </xf>
    <xf numFmtId="0" fontId="78" fillId="2" borderId="84" xfId="6" applyFill="1" applyBorder="1"/>
    <xf numFmtId="0" fontId="78" fillId="2" borderId="85" xfId="6" applyFill="1" applyBorder="1"/>
    <xf numFmtId="0" fontId="78" fillId="2" borderId="99" xfId="6" applyFill="1" applyBorder="1"/>
    <xf numFmtId="0" fontId="78" fillId="2" borderId="96" xfId="6" applyFill="1" applyBorder="1"/>
    <xf numFmtId="166" fontId="93" fillId="2" borderId="96" xfId="6" applyNumberFormat="1" applyFont="1" applyFill="1" applyBorder="1"/>
    <xf numFmtId="0" fontId="78" fillId="2" borderId="100" xfId="6" applyFill="1" applyBorder="1"/>
    <xf numFmtId="0" fontId="78" fillId="2" borderId="97" xfId="6" applyFill="1" applyBorder="1"/>
    <xf numFmtId="0" fontId="78" fillId="0" borderId="83" xfId="6" applyBorder="1"/>
    <xf numFmtId="0" fontId="78" fillId="0" borderId="101" xfId="6" applyBorder="1"/>
    <xf numFmtId="0" fontId="94" fillId="0" borderId="86" xfId="6" applyFont="1" applyBorder="1"/>
    <xf numFmtId="0" fontId="78" fillId="0" borderId="89" xfId="6" applyBorder="1"/>
    <xf numFmtId="0" fontId="78" fillId="4" borderId="14" xfId="6" applyFill="1" applyBorder="1"/>
    <xf numFmtId="0" fontId="89" fillId="0" borderId="84" xfId="6" applyFont="1" applyBorder="1"/>
    <xf numFmtId="15" fontId="78" fillId="4" borderId="102" xfId="6" applyNumberFormat="1" applyFill="1" applyBorder="1" applyAlignment="1">
      <alignment horizontal="center"/>
    </xf>
    <xf numFmtId="0" fontId="78" fillId="4" borderId="85" xfId="6" applyFill="1" applyBorder="1"/>
    <xf numFmtId="0" fontId="78" fillId="0" borderId="103" xfId="6" applyBorder="1"/>
    <xf numFmtId="166" fontId="78" fillId="0" borderId="81" xfId="6" applyNumberFormat="1" applyBorder="1" applyAlignment="1">
      <alignment horizontal="center"/>
    </xf>
    <xf numFmtId="0" fontId="78" fillId="0" borderId="82" xfId="6" applyBorder="1"/>
    <xf numFmtId="0" fontId="78" fillId="6" borderId="0" xfId="6" applyFill="1"/>
    <xf numFmtId="0" fontId="92" fillId="0" borderId="96" xfId="6" applyFont="1" applyBorder="1" applyAlignment="1">
      <alignment horizontal="center"/>
    </xf>
    <xf numFmtId="0" fontId="78" fillId="0" borderId="97" xfId="6" applyBorder="1" applyAlignment="1">
      <alignment horizontal="center"/>
    </xf>
    <xf numFmtId="0" fontId="78" fillId="0" borderId="104" xfId="6" applyBorder="1"/>
    <xf numFmtId="0" fontId="78" fillId="0" borderId="105" xfId="6" applyBorder="1"/>
    <xf numFmtId="0" fontId="78" fillId="4" borderId="98" xfId="6" applyFill="1" applyBorder="1"/>
    <xf numFmtId="0" fontId="78" fillId="0" borderId="106" xfId="6" applyBorder="1"/>
    <xf numFmtId="0" fontId="78" fillId="0" borderId="98" xfId="6" applyBorder="1"/>
    <xf numFmtId="0" fontId="85" fillId="0" borderId="106" xfId="6" applyFont="1" applyBorder="1" applyAlignment="1">
      <alignment horizontal="center"/>
    </xf>
    <xf numFmtId="0" fontId="40" fillId="0" borderId="30" xfId="0" applyFont="1" applyBorder="1" applyAlignment="1">
      <alignment horizontal="center"/>
    </xf>
    <xf numFmtId="0" fontId="40" fillId="0" borderId="1" xfId="0" applyFont="1" applyBorder="1"/>
    <xf numFmtId="0" fontId="52" fillId="0" borderId="0" xfId="0" applyFont="1"/>
    <xf numFmtId="2" fontId="8" fillId="0" borderId="76" xfId="0" applyNumberFormat="1" applyFont="1" applyBorder="1"/>
    <xf numFmtId="2" fontId="8" fillId="0" borderId="39" xfId="0" applyNumberFormat="1" applyFont="1" applyBorder="1"/>
    <xf numFmtId="0" fontId="22" fillId="0" borderId="5" xfId="0" applyFont="1" applyBorder="1"/>
    <xf numFmtId="2" fontId="8" fillId="0" borderId="41" xfId="0" applyNumberFormat="1" applyFont="1" applyBorder="1"/>
    <xf numFmtId="182" fontId="8" fillId="0" borderId="0" xfId="0" applyNumberFormat="1" applyFont="1" applyAlignment="1">
      <alignment horizontal="center"/>
    </xf>
    <xf numFmtId="0" fontId="33" fillId="0" borderId="0" xfId="0" applyFont="1" applyAlignment="1">
      <alignment horizontal="center"/>
    </xf>
    <xf numFmtId="0" fontId="74" fillId="0" borderId="9" xfId="0" applyFont="1" applyBorder="1" applyAlignment="1">
      <alignment horizontal="center"/>
    </xf>
    <xf numFmtId="0" fontId="105" fillId="0" borderId="0" xfId="0" applyFont="1"/>
    <xf numFmtId="0" fontId="106" fillId="0" borderId="0" xfId="0" applyFont="1" applyAlignment="1">
      <alignment horizontal="centerContinuous"/>
    </xf>
    <xf numFmtId="0" fontId="107" fillId="0" borderId="0" xfId="0" applyFont="1" applyAlignment="1">
      <alignment horizontal="centerContinuous"/>
    </xf>
    <xf numFmtId="15" fontId="107" fillId="0" borderId="0" xfId="0" applyNumberFormat="1" applyFont="1" applyAlignment="1">
      <alignment horizontal="centerContinuous"/>
    </xf>
    <xf numFmtId="0" fontId="38" fillId="5" borderId="0" xfId="7" applyFont="1" applyFill="1" applyAlignment="1">
      <alignment horizontal="center"/>
    </xf>
    <xf numFmtId="0" fontId="106" fillId="0" borderId="0" xfId="0" applyFont="1"/>
    <xf numFmtId="0" fontId="108" fillId="5" borderId="0" xfId="7" applyFont="1" applyFill="1" applyAlignment="1">
      <alignment horizontal="left"/>
    </xf>
    <xf numFmtId="0" fontId="106" fillId="0" borderId="42" xfId="0" applyFont="1" applyBorder="1"/>
    <xf numFmtId="0" fontId="106" fillId="5" borderId="43" xfId="0" applyFont="1" applyFill="1" applyBorder="1"/>
    <xf numFmtId="0" fontId="106" fillId="0" borderId="43" xfId="0" applyFont="1" applyBorder="1"/>
    <xf numFmtId="0" fontId="108" fillId="5" borderId="0" xfId="7" applyFont="1" applyFill="1" applyAlignment="1">
      <alignment horizontal="center"/>
    </xf>
    <xf numFmtId="0" fontId="108" fillId="0" borderId="0" xfId="0" applyFont="1"/>
    <xf numFmtId="0" fontId="109" fillId="0" borderId="0" xfId="0" applyFont="1" applyAlignment="1">
      <alignment vertical="top" textRotation="180"/>
    </xf>
    <xf numFmtId="0" fontId="104" fillId="0" borderId="47" xfId="0" applyFont="1" applyBorder="1"/>
    <xf numFmtId="0" fontId="110" fillId="0" borderId="0" xfId="0" applyFont="1"/>
    <xf numFmtId="2" fontId="8" fillId="0" borderId="0" xfId="0" applyNumberFormat="1" applyFont="1" applyAlignment="1">
      <alignment horizontal="left"/>
    </xf>
    <xf numFmtId="0" fontId="111" fillId="0" borderId="4" xfId="0" applyFont="1" applyBorder="1"/>
    <xf numFmtId="0" fontId="0" fillId="0" borderId="30" xfId="0" applyBorder="1" applyAlignment="1">
      <alignment horizontal="center"/>
    </xf>
    <xf numFmtId="0" fontId="0" fillId="0" borderId="107" xfId="0" applyBorder="1" applyAlignment="1">
      <alignment horizontal="center"/>
    </xf>
    <xf numFmtId="2" fontId="0" fillId="0" borderId="5" xfId="0" applyNumberFormat="1" applyBorder="1"/>
    <xf numFmtId="0" fontId="0" fillId="0" borderId="109" xfId="0" applyBorder="1"/>
    <xf numFmtId="0" fontId="40" fillId="0" borderId="59" xfId="0" applyFont="1" applyBorder="1"/>
    <xf numFmtId="0" fontId="0" fillId="0" borderId="53" xfId="0" applyBorder="1"/>
    <xf numFmtId="0" fontId="0" fillId="0" borderId="54" xfId="0" applyBorder="1"/>
    <xf numFmtId="0" fontId="0" fillId="0" borderId="110" xfId="0" applyBorder="1"/>
    <xf numFmtId="0" fontId="0" fillId="0" borderId="31" xfId="0" applyBorder="1"/>
    <xf numFmtId="0" fontId="40" fillId="0" borderId="28" xfId="0" applyFont="1" applyBorder="1"/>
    <xf numFmtId="0" fontId="8" fillId="0" borderId="111" xfId="0" applyFont="1" applyBorder="1"/>
    <xf numFmtId="0" fontId="8" fillId="0" borderId="30" xfId="0" applyFont="1" applyBorder="1"/>
    <xf numFmtId="0" fontId="0" fillId="0" borderId="42" xfId="0" applyBorder="1" applyAlignment="1">
      <alignment horizontal="center"/>
    </xf>
    <xf numFmtId="0" fontId="0" fillId="0" borderId="41" xfId="0" applyBorder="1" applyAlignment="1">
      <alignment horizontal="center"/>
    </xf>
    <xf numFmtId="0" fontId="0" fillId="0" borderId="43" xfId="0" applyBorder="1" applyAlignment="1">
      <alignment horizontal="center"/>
    </xf>
    <xf numFmtId="0" fontId="63" fillId="0" borderId="112" xfId="0" applyFont="1" applyBorder="1" applyAlignment="1">
      <alignment horizontal="left"/>
    </xf>
    <xf numFmtId="0" fontId="63" fillId="0" borderId="8" xfId="0" applyFont="1" applyBorder="1"/>
    <xf numFmtId="0" fontId="40" fillId="0" borderId="36" xfId="0" applyFont="1" applyBorder="1" applyAlignment="1">
      <alignment horizontal="center"/>
    </xf>
    <xf numFmtId="0" fontId="40" fillId="0" borderId="15" xfId="0" applyFont="1" applyBorder="1" applyAlignment="1">
      <alignment horizontal="center"/>
    </xf>
    <xf numFmtId="4" fontId="1" fillId="0" borderId="11" xfId="0" applyNumberFormat="1" applyFont="1" applyBorder="1" applyAlignment="1">
      <alignment horizontal="left"/>
    </xf>
    <xf numFmtId="4" fontId="1" fillId="0" borderId="113" xfId="0" applyNumberFormat="1" applyFont="1" applyBorder="1" applyAlignment="1">
      <alignment horizontal="center"/>
    </xf>
    <xf numFmtId="167" fontId="1" fillId="0" borderId="21" xfId="0" applyNumberFormat="1" applyFont="1" applyBorder="1" applyAlignment="1">
      <alignment horizontal="center"/>
    </xf>
    <xf numFmtId="20" fontId="1" fillId="0" borderId="11" xfId="0" applyNumberFormat="1" applyFont="1" applyBorder="1" applyAlignment="1">
      <alignment horizontal="center" vertical="center"/>
    </xf>
    <xf numFmtId="1" fontId="1" fillId="0" borderId="11" xfId="0" applyNumberFormat="1" applyFont="1" applyBorder="1" applyAlignment="1">
      <alignment horizontal="center" vertical="center"/>
    </xf>
    <xf numFmtId="167" fontId="1" fillId="0" borderId="11" xfId="0" applyNumberFormat="1" applyFont="1" applyBorder="1" applyAlignment="1">
      <alignment horizontal="center" vertical="center"/>
    </xf>
    <xf numFmtId="2" fontId="1" fillId="0" borderId="11" xfId="0" applyNumberFormat="1" applyFont="1" applyBorder="1" applyAlignment="1">
      <alignment horizontal="center" vertical="center"/>
    </xf>
    <xf numFmtId="0" fontId="1" fillId="0" borderId="11" xfId="0" applyFont="1" applyBorder="1" applyAlignment="1">
      <alignment horizontal="center" vertical="center"/>
    </xf>
    <xf numFmtId="167" fontId="1" fillId="0" borderId="11" xfId="0" applyNumberFormat="1" applyFont="1" applyBorder="1" applyAlignment="1">
      <alignment horizontal="center"/>
    </xf>
    <xf numFmtId="0" fontId="104" fillId="0" borderId="0" xfId="0" applyFont="1"/>
    <xf numFmtId="174" fontId="40" fillId="0" borderId="0" xfId="0" applyNumberFormat="1" applyFont="1" applyAlignment="1">
      <alignment horizontal="center"/>
    </xf>
    <xf numFmtId="174" fontId="40" fillId="0" borderId="0" xfId="0" applyNumberFormat="1" applyFont="1"/>
    <xf numFmtId="186" fontId="0" fillId="0" borderId="0" xfId="0" applyNumberFormat="1"/>
    <xf numFmtId="186" fontId="0" fillId="0" borderId="5" xfId="0" applyNumberFormat="1" applyBorder="1"/>
    <xf numFmtId="0" fontId="112" fillId="5" borderId="114" xfId="8" applyFont="1" applyFill="1" applyBorder="1" applyAlignment="1">
      <alignment horizontal="left"/>
    </xf>
    <xf numFmtId="0" fontId="103" fillId="5" borderId="115" xfId="8" applyFont="1" applyFill="1" applyBorder="1"/>
    <xf numFmtId="0" fontId="112" fillId="5" borderId="116" xfId="8" applyFont="1" applyFill="1" applyBorder="1" applyAlignment="1">
      <alignment horizontal="left"/>
    </xf>
    <xf numFmtId="0" fontId="103" fillId="5" borderId="44" xfId="8" applyFont="1" applyFill="1" applyBorder="1"/>
    <xf numFmtId="0" fontId="17" fillId="5" borderId="0" xfId="8" applyFont="1" applyFill="1"/>
    <xf numFmtId="0" fontId="103" fillId="5" borderId="0" xfId="8" applyFont="1" applyFill="1"/>
    <xf numFmtId="0" fontId="112" fillId="5" borderId="117" xfId="8" applyFont="1" applyFill="1" applyBorder="1" applyAlignment="1">
      <alignment horizontal="center"/>
    </xf>
    <xf numFmtId="0" fontId="112" fillId="5" borderId="118" xfId="8" applyFont="1" applyFill="1" applyBorder="1" applyAlignment="1">
      <alignment horizontal="center"/>
    </xf>
    <xf numFmtId="0" fontId="112" fillId="5" borderId="119" xfId="8" applyFont="1" applyFill="1" applyBorder="1" applyAlignment="1">
      <alignment horizontal="center"/>
    </xf>
    <xf numFmtId="0" fontId="112" fillId="5" borderId="44" xfId="8" applyFont="1" applyFill="1" applyBorder="1" applyAlignment="1">
      <alignment horizontal="center"/>
    </xf>
    <xf numFmtId="0" fontId="17" fillId="5" borderId="0" xfId="8" applyFont="1" applyFill="1" applyAlignment="1">
      <alignment horizontal="left"/>
    </xf>
    <xf numFmtId="170" fontId="27" fillId="5" borderId="9" xfId="8" applyNumberFormat="1" applyFont="1" applyFill="1" applyBorder="1" applyProtection="1">
      <protection locked="0"/>
    </xf>
    <xf numFmtId="170" fontId="27" fillId="5" borderId="9" xfId="8" applyNumberFormat="1" applyFont="1" applyFill="1" applyBorder="1"/>
    <xf numFmtId="171" fontId="27" fillId="5" borderId="9" xfId="8" applyNumberFormat="1" applyFont="1" applyFill="1" applyBorder="1"/>
    <xf numFmtId="171" fontId="102" fillId="5" borderId="9" xfId="8" applyNumberFormat="1" applyFont="1" applyFill="1" applyBorder="1"/>
    <xf numFmtId="168" fontId="27" fillId="5" borderId="9" xfId="8" applyNumberFormat="1" applyFont="1" applyFill="1" applyBorder="1"/>
    <xf numFmtId="0" fontId="48" fillId="5" borderId="9" xfId="8" applyFont="1" applyFill="1" applyBorder="1" applyProtection="1">
      <protection locked="0"/>
    </xf>
    <xf numFmtId="0" fontId="26" fillId="5" borderId="9" xfId="8" applyFont="1" applyFill="1" applyBorder="1" applyProtection="1">
      <protection locked="0"/>
    </xf>
    <xf numFmtId="165" fontId="27" fillId="5" borderId="9" xfId="8" applyNumberFormat="1" applyFont="1" applyFill="1" applyBorder="1"/>
    <xf numFmtId="165" fontId="21" fillId="5" borderId="0" xfId="8" applyNumberFormat="1" applyFont="1" applyFill="1" applyAlignment="1">
      <alignment horizontal="left"/>
    </xf>
    <xf numFmtId="0" fontId="11" fillId="5" borderId="0" xfId="8" applyFill="1"/>
    <xf numFmtId="168" fontId="17" fillId="5" borderId="0" xfId="8" applyNumberFormat="1" applyFont="1" applyFill="1"/>
    <xf numFmtId="165" fontId="17" fillId="5" borderId="0" xfId="8" applyNumberFormat="1" applyFont="1" applyFill="1" applyAlignment="1">
      <alignment horizontal="left"/>
    </xf>
    <xf numFmtId="170" fontId="18" fillId="5" borderId="0" xfId="8" applyNumberFormat="1" applyFont="1" applyFill="1"/>
    <xf numFmtId="165" fontId="11" fillId="5" borderId="11" xfId="8" applyNumberFormat="1" applyFill="1" applyBorder="1"/>
    <xf numFmtId="0" fontId="12" fillId="5" borderId="0" xfId="8" applyFont="1" applyFill="1" applyAlignment="1">
      <alignment horizontal="left"/>
    </xf>
    <xf numFmtId="0" fontId="13" fillId="5" borderId="0" xfId="8" applyFont="1" applyFill="1"/>
    <xf numFmtId="0" fontId="14" fillId="5" borderId="0" xfId="8" applyFont="1" applyFill="1" applyAlignment="1">
      <alignment horizontal="centerContinuous"/>
    </xf>
    <xf numFmtId="0" fontId="9" fillId="5" borderId="0" xfId="8" applyFont="1" applyFill="1" applyAlignment="1">
      <alignment horizontal="centerContinuous"/>
    </xf>
    <xf numFmtId="0" fontId="16" fillId="5" borderId="0" xfId="8" applyFont="1" applyFill="1"/>
    <xf numFmtId="172" fontId="17" fillId="5" borderId="44" xfId="8" applyNumberFormat="1" applyFont="1" applyFill="1" applyBorder="1" applyAlignment="1">
      <alignment horizontal="center"/>
    </xf>
    <xf numFmtId="0" fontId="11" fillId="5" borderId="2" xfId="7" applyFill="1" applyBorder="1"/>
    <xf numFmtId="177" fontId="12" fillId="5" borderId="21" xfId="7" applyNumberFormat="1" applyFont="1" applyFill="1" applyBorder="1" applyAlignment="1">
      <alignment horizontal="left"/>
    </xf>
    <xf numFmtId="0" fontId="13" fillId="5" borderId="21" xfId="7" applyFont="1" applyFill="1" applyBorder="1"/>
    <xf numFmtId="0" fontId="11" fillId="5" borderId="21" xfId="7" applyFill="1" applyBorder="1"/>
    <xf numFmtId="0" fontId="11" fillId="5" borderId="3" xfId="7" applyFill="1" applyBorder="1"/>
    <xf numFmtId="0" fontId="11" fillId="5" borderId="0" xfId="7" applyFill="1"/>
    <xf numFmtId="0" fontId="11" fillId="5" borderId="4" xfId="7" applyFill="1" applyBorder="1"/>
    <xf numFmtId="177" fontId="12" fillId="5" borderId="0" xfId="7" applyNumberFormat="1" applyFont="1" applyFill="1" applyAlignment="1">
      <alignment horizontal="left"/>
    </xf>
    <xf numFmtId="0" fontId="13" fillId="5" borderId="0" xfId="7" applyFont="1" applyFill="1"/>
    <xf numFmtId="0" fontId="11" fillId="5" borderId="5" xfId="7" applyFill="1" applyBorder="1"/>
    <xf numFmtId="177" fontId="14" fillId="5" borderId="0" xfId="7" applyNumberFormat="1" applyFont="1" applyFill="1" applyAlignment="1">
      <alignment horizontal="centerContinuous"/>
    </xf>
    <xf numFmtId="0" fontId="9" fillId="5" borderId="0" xfId="7" applyFont="1" applyFill="1" applyAlignment="1">
      <alignment horizontal="centerContinuous"/>
    </xf>
    <xf numFmtId="177" fontId="16" fillId="5" borderId="0" xfId="7" applyNumberFormat="1" applyFont="1" applyFill="1"/>
    <xf numFmtId="177" fontId="112" fillId="5" borderId="114" xfId="7" applyNumberFormat="1" applyFont="1" applyFill="1" applyBorder="1" applyAlignment="1">
      <alignment horizontal="left"/>
    </xf>
    <xf numFmtId="0" fontId="103" fillId="5" borderId="115" xfId="7" applyFont="1" applyFill="1" applyBorder="1"/>
    <xf numFmtId="177" fontId="112" fillId="5" borderId="116" xfId="7" applyNumberFormat="1" applyFont="1" applyFill="1" applyBorder="1" applyAlignment="1">
      <alignment horizontal="left"/>
    </xf>
    <xf numFmtId="0" fontId="103" fillId="5" borderId="44" xfId="7" applyFont="1" applyFill="1" applyBorder="1"/>
    <xf numFmtId="0" fontId="112" fillId="5" borderId="44" xfId="7" applyFont="1" applyFill="1" applyBorder="1"/>
    <xf numFmtId="177" fontId="103" fillId="5" borderId="0" xfId="7" applyNumberFormat="1" applyFont="1" applyFill="1"/>
    <xf numFmtId="0" fontId="103" fillId="5" borderId="0" xfId="7" applyFont="1" applyFill="1"/>
    <xf numFmtId="177" fontId="112" fillId="5" borderId="117" xfId="7" applyNumberFormat="1" applyFont="1" applyFill="1" applyBorder="1" applyAlignment="1">
      <alignment horizontal="center"/>
    </xf>
    <xf numFmtId="0" fontId="112" fillId="5" borderId="118" xfId="7" applyFont="1" applyFill="1" applyBorder="1" applyAlignment="1">
      <alignment horizontal="center"/>
    </xf>
    <xf numFmtId="177" fontId="112" fillId="5" borderId="119" xfId="7" applyNumberFormat="1" applyFont="1" applyFill="1" applyBorder="1" applyAlignment="1">
      <alignment horizontal="center"/>
    </xf>
    <xf numFmtId="0" fontId="112" fillId="5" borderId="44" xfId="7" applyFont="1" applyFill="1" applyBorder="1" applyAlignment="1">
      <alignment horizontal="center"/>
    </xf>
    <xf numFmtId="20" fontId="19" fillId="5" borderId="44" xfId="7" applyNumberFormat="1" applyFont="1" applyFill="1" applyBorder="1" applyAlignment="1" applyProtection="1">
      <alignment horizontal="center"/>
      <protection locked="0"/>
    </xf>
    <xf numFmtId="172" fontId="20" fillId="5" borderId="44" xfId="7" applyNumberFormat="1" applyFont="1" applyFill="1" applyBorder="1" applyAlignment="1">
      <alignment horizontal="center"/>
    </xf>
    <xf numFmtId="177" fontId="17" fillId="5" borderId="0" xfId="7" applyNumberFormat="1" applyFont="1" applyFill="1" applyAlignment="1">
      <alignment horizontal="left"/>
    </xf>
    <xf numFmtId="170" fontId="18" fillId="5" borderId="9" xfId="7" applyNumberFormat="1" applyFont="1" applyFill="1" applyBorder="1"/>
    <xf numFmtId="171" fontId="18" fillId="5" borderId="9" xfId="7" applyNumberFormat="1" applyFont="1" applyFill="1" applyBorder="1"/>
    <xf numFmtId="168" fontId="18" fillId="5" borderId="9" xfId="7" applyNumberFormat="1" applyFont="1" applyFill="1" applyBorder="1"/>
    <xf numFmtId="177" fontId="17" fillId="5" borderId="0" xfId="7" applyNumberFormat="1" applyFont="1" applyFill="1"/>
    <xf numFmtId="0" fontId="19" fillId="5" borderId="9" xfId="7" applyFont="1" applyFill="1" applyBorder="1" applyProtection="1">
      <protection locked="0"/>
    </xf>
    <xf numFmtId="165" fontId="17" fillId="5" borderId="9" xfId="7" applyNumberFormat="1" applyFont="1" applyFill="1" applyBorder="1"/>
    <xf numFmtId="177" fontId="21" fillId="5" borderId="0" xfId="7" applyNumberFormat="1" applyFont="1" applyFill="1" applyAlignment="1">
      <alignment horizontal="left"/>
    </xf>
    <xf numFmtId="168" fontId="17" fillId="5" borderId="0" xfId="7" applyNumberFormat="1" applyFont="1" applyFill="1"/>
    <xf numFmtId="165" fontId="17" fillId="5" borderId="0" xfId="7" applyNumberFormat="1" applyFont="1" applyFill="1" applyAlignment="1">
      <alignment horizontal="left"/>
    </xf>
    <xf numFmtId="170" fontId="18" fillId="5" borderId="0" xfId="7" applyNumberFormat="1" applyFont="1" applyFill="1"/>
    <xf numFmtId="0" fontId="11" fillId="5" borderId="6" xfId="7" applyFill="1" applyBorder="1"/>
    <xf numFmtId="177" fontId="11" fillId="5" borderId="11" xfId="7" applyNumberFormat="1" applyFill="1" applyBorder="1"/>
    <xf numFmtId="170" fontId="11" fillId="5" borderId="11" xfId="7" applyNumberFormat="1" applyFill="1" applyBorder="1"/>
    <xf numFmtId="170" fontId="11" fillId="5" borderId="10" xfId="7" applyNumberFormat="1" applyFill="1" applyBorder="1"/>
    <xf numFmtId="168" fontId="11" fillId="5" borderId="11" xfId="7" applyNumberFormat="1" applyFill="1" applyBorder="1"/>
    <xf numFmtId="0" fontId="11" fillId="5" borderId="7" xfId="7" applyFill="1" applyBorder="1"/>
    <xf numFmtId="177" fontId="11" fillId="5" borderId="0" xfId="7" applyNumberFormat="1" applyFill="1"/>
    <xf numFmtId="0" fontId="0" fillId="5" borderId="0" xfId="0" applyFill="1"/>
    <xf numFmtId="0" fontId="0" fillId="5" borderId="4" xfId="0" applyFill="1" applyBorder="1"/>
    <xf numFmtId="0" fontId="0" fillId="5" borderId="0" xfId="0" applyFill="1" applyAlignment="1">
      <alignment horizontal="center"/>
    </xf>
    <xf numFmtId="0" fontId="0" fillId="5" borderId="5" xfId="0" applyFill="1" applyBorder="1"/>
    <xf numFmtId="177" fontId="96" fillId="5" borderId="120" xfId="7" applyNumberFormat="1" applyFont="1" applyFill="1" applyBorder="1" applyAlignment="1">
      <alignment horizontal="center"/>
    </xf>
    <xf numFmtId="0" fontId="96" fillId="5" borderId="118" xfId="7" applyFont="1" applyFill="1" applyBorder="1" applyAlignment="1">
      <alignment horizontal="center"/>
    </xf>
    <xf numFmtId="0" fontId="96" fillId="5" borderId="121" xfId="7" applyFont="1" applyFill="1" applyBorder="1" applyAlignment="1">
      <alignment horizontal="centerContinuous"/>
    </xf>
    <xf numFmtId="0" fontId="96" fillId="5" borderId="122" xfId="7" applyFont="1" applyFill="1" applyBorder="1" applyAlignment="1">
      <alignment horizontal="centerContinuous"/>
    </xf>
    <xf numFmtId="0" fontId="96" fillId="5" borderId="123" xfId="7" applyFont="1" applyFill="1" applyBorder="1" applyAlignment="1">
      <alignment horizontal="centerContinuous"/>
    </xf>
    <xf numFmtId="0" fontId="97" fillId="5" borderId="124" xfId="7" applyFont="1" applyFill="1" applyBorder="1" applyAlignment="1">
      <alignment horizontal="center"/>
    </xf>
    <xf numFmtId="177" fontId="96" fillId="5" borderId="125" xfId="7" applyNumberFormat="1" applyFont="1" applyFill="1" applyBorder="1" applyAlignment="1">
      <alignment horizontal="center"/>
    </xf>
    <xf numFmtId="0" fontId="96" fillId="5" borderId="44" xfId="7" applyFont="1" applyFill="1" applyBorder="1" applyAlignment="1">
      <alignment horizontal="center"/>
    </xf>
    <xf numFmtId="0" fontId="98" fillId="5" borderId="126" xfId="7" applyFont="1" applyFill="1" applyBorder="1"/>
    <xf numFmtId="172" fontId="100" fillId="5" borderId="44" xfId="7" applyNumberFormat="1" applyFont="1" applyFill="1" applyBorder="1" applyAlignment="1">
      <alignment horizontal="center"/>
    </xf>
    <xf numFmtId="172" fontId="100" fillId="5" borderId="127" xfId="7" applyNumberFormat="1" applyFont="1" applyFill="1" applyBorder="1" applyAlignment="1">
      <alignment horizontal="center"/>
    </xf>
    <xf numFmtId="172" fontId="101" fillId="5" borderId="44" xfId="8" applyNumberFormat="1" applyFont="1" applyFill="1" applyBorder="1" applyAlignment="1">
      <alignment horizontal="center"/>
    </xf>
    <xf numFmtId="172" fontId="101" fillId="5" borderId="127" xfId="8" applyNumberFormat="1" applyFont="1" applyFill="1" applyBorder="1" applyAlignment="1">
      <alignment horizontal="center"/>
    </xf>
    <xf numFmtId="0" fontId="8" fillId="0" borderId="4" xfId="0" applyFont="1" applyBorder="1" applyAlignment="1">
      <alignment shrinkToFit="1"/>
    </xf>
    <xf numFmtId="0" fontId="8" fillId="0" borderId="0" xfId="0" applyFont="1" applyAlignment="1">
      <alignment shrinkToFit="1"/>
    </xf>
    <xf numFmtId="0" fontId="8" fillId="0" borderId="5" xfId="0" applyFont="1" applyBorder="1" applyAlignment="1">
      <alignment shrinkToFit="1"/>
    </xf>
    <xf numFmtId="0" fontId="0" fillId="0" borderId="42" xfId="0" applyBorder="1" applyAlignment="1">
      <alignment horizontal="center" shrinkToFit="1"/>
    </xf>
    <xf numFmtId="0" fontId="0" fillId="0" borderId="43" xfId="0" applyBorder="1" applyAlignment="1">
      <alignment horizontal="center" shrinkToFit="1"/>
    </xf>
    <xf numFmtId="0" fontId="0" fillId="0" borderId="41" xfId="0" applyBorder="1" applyAlignment="1">
      <alignment horizontal="center" shrinkToFit="1"/>
    </xf>
    <xf numFmtId="2" fontId="40" fillId="0" borderId="42" xfId="0" applyNumberFormat="1" applyFont="1" applyBorder="1" applyAlignment="1">
      <alignment shrinkToFit="1"/>
    </xf>
    <xf numFmtId="2" fontId="40" fillId="0" borderId="43" xfId="0" applyNumberFormat="1" applyFont="1" applyBorder="1" applyAlignment="1">
      <alignment shrinkToFit="1"/>
    </xf>
    <xf numFmtId="0" fontId="0" fillId="0" borderId="128" xfId="0" applyBorder="1" applyAlignment="1">
      <alignment shrinkToFit="1"/>
    </xf>
    <xf numFmtId="0" fontId="32" fillId="0" borderId="3" xfId="0" applyFont="1" applyBorder="1" applyAlignment="1">
      <alignment horizontal="left" shrinkToFit="1"/>
    </xf>
    <xf numFmtId="0" fontId="32" fillId="0" borderId="5" xfId="0" applyFont="1" applyBorder="1" applyAlignment="1">
      <alignment horizontal="left" shrinkToFit="1"/>
    </xf>
    <xf numFmtId="0" fontId="32" fillId="0" borderId="7" xfId="0" applyFont="1" applyBorder="1" applyAlignment="1">
      <alignment horizontal="left" shrinkToFit="1"/>
    </xf>
    <xf numFmtId="0" fontId="0" fillId="0" borderId="22" xfId="0" applyBorder="1" applyAlignment="1">
      <alignment shrinkToFit="1"/>
    </xf>
    <xf numFmtId="0" fontId="0" fillId="0" borderId="23" xfId="0" applyBorder="1" applyAlignment="1">
      <alignment shrinkToFit="1"/>
    </xf>
    <xf numFmtId="0" fontId="0" fillId="0" borderId="27" xfId="0" applyBorder="1" applyAlignment="1">
      <alignment shrinkToFit="1"/>
    </xf>
    <xf numFmtId="167" fontId="8" fillId="0" borderId="0" xfId="0" applyNumberFormat="1" applyFont="1"/>
    <xf numFmtId="182" fontId="8" fillId="0" borderId="0" xfId="0" applyNumberFormat="1" applyFont="1"/>
    <xf numFmtId="2" fontId="28" fillId="5" borderId="0" xfId="0" applyNumberFormat="1" applyFont="1" applyFill="1" applyAlignment="1">
      <alignment horizontal="center"/>
    </xf>
    <xf numFmtId="2" fontId="28" fillId="5" borderId="0" xfId="0" applyNumberFormat="1" applyFont="1" applyFill="1"/>
    <xf numFmtId="0" fontId="41" fillId="0" borderId="15" xfId="0" applyFont="1" applyBorder="1"/>
    <xf numFmtId="0" fontId="29" fillId="5" borderId="1" xfId="0" applyFont="1" applyFill="1" applyBorder="1" applyAlignment="1">
      <alignment horizontal="left" shrinkToFit="1"/>
    </xf>
    <xf numFmtId="0" fontId="29" fillId="5" borderId="1" xfId="0" applyFont="1" applyFill="1" applyBorder="1" applyAlignment="1">
      <alignment shrinkToFit="1"/>
    </xf>
    <xf numFmtId="167" fontId="0" fillId="0" borderId="0" xfId="0" applyNumberFormat="1" applyAlignment="1">
      <alignment horizontal="left"/>
    </xf>
    <xf numFmtId="0" fontId="0" fillId="0" borderId="9" xfId="0" applyBorder="1" applyAlignment="1">
      <alignment horizontal="left"/>
    </xf>
    <xf numFmtId="0" fontId="52" fillId="0" borderId="0" xfId="0" applyFont="1" applyAlignment="1">
      <alignment horizontal="left"/>
    </xf>
    <xf numFmtId="0" fontId="117" fillId="0" borderId="0" xfId="4" applyFont="1" applyAlignment="1" applyProtection="1"/>
    <xf numFmtId="0" fontId="22" fillId="0" borderId="9" xfId="0" applyFont="1" applyBorder="1" applyAlignment="1">
      <alignment horizontal="left"/>
    </xf>
    <xf numFmtId="49" fontId="0" fillId="0" borderId="0" xfId="0" applyNumberFormat="1"/>
    <xf numFmtId="0" fontId="52" fillId="0" borderId="9" xfId="0" applyFont="1" applyBorder="1"/>
    <xf numFmtId="0" fontId="0" fillId="0" borderId="8" xfId="0" applyBorder="1" applyAlignment="1">
      <alignment horizontal="left"/>
    </xf>
    <xf numFmtId="167" fontId="25" fillId="0" borderId="0" xfId="0" applyNumberFormat="1" applyFont="1" applyAlignment="1">
      <alignment horizontal="left"/>
    </xf>
    <xf numFmtId="0" fontId="8" fillId="0" borderId="0" xfId="0" applyFont="1" applyAlignment="1">
      <alignment horizontal="left" shrinkToFit="1"/>
    </xf>
    <xf numFmtId="0" fontId="1" fillId="0" borderId="0" xfId="0" applyFont="1" applyAlignment="1">
      <alignment horizontal="right" shrinkToFit="1"/>
    </xf>
    <xf numFmtId="0" fontId="1" fillId="0" borderId="7" xfId="0" applyFont="1" applyBorder="1" applyAlignment="1">
      <alignment horizontal="right" shrinkToFit="1"/>
    </xf>
    <xf numFmtId="0" fontId="8" fillId="0" borderId="8" xfId="0" applyFont="1" applyBorder="1"/>
    <xf numFmtId="0" fontId="8" fillId="0" borderId="20" xfId="0" applyFont="1" applyBorder="1"/>
    <xf numFmtId="0" fontId="108" fillId="0" borderId="4" xfId="0" applyFont="1" applyBorder="1" applyAlignment="1">
      <alignment horizontal="left"/>
    </xf>
    <xf numFmtId="0" fontId="108" fillId="0" borderId="4" xfId="0" applyFont="1" applyBorder="1"/>
    <xf numFmtId="0" fontId="73" fillId="0" borderId="0" xfId="0" applyFont="1"/>
    <xf numFmtId="0" fontId="73" fillId="0" borderId="5" xfId="0" applyFont="1" applyBorder="1"/>
    <xf numFmtId="0" fontId="73" fillId="0" borderId="0" xfId="0" applyFont="1" applyAlignment="1">
      <alignment horizontal="center"/>
    </xf>
    <xf numFmtId="0" fontId="73" fillId="0" borderId="7" xfId="0" applyFont="1" applyBorder="1"/>
    <xf numFmtId="0" fontId="73" fillId="0" borderId="11" xfId="0" applyFont="1" applyBorder="1"/>
    <xf numFmtId="0" fontId="44" fillId="0" borderId="12" xfId="0" applyFont="1" applyBorder="1" applyAlignment="1">
      <alignment horizontal="centerContinuous"/>
    </xf>
    <xf numFmtId="0" fontId="44" fillId="0" borderId="129" xfId="0" applyFont="1" applyBorder="1" applyAlignment="1">
      <alignment horizontal="centerContinuous"/>
    </xf>
    <xf numFmtId="0" fontId="44" fillId="0" borderId="78" xfId="0" applyFont="1" applyBorder="1" applyAlignment="1">
      <alignment horizontal="left"/>
    </xf>
    <xf numFmtId="0" fontId="44" fillId="0" borderId="10" xfId="0" applyFont="1" applyBorder="1" applyAlignment="1">
      <alignment horizontal="center"/>
    </xf>
    <xf numFmtId="0" fontId="41" fillId="0" borderId="10" xfId="0" applyFont="1" applyBorder="1"/>
    <xf numFmtId="2" fontId="44" fillId="0" borderId="78" xfId="0" applyNumberFormat="1" applyFont="1" applyBorder="1" applyAlignment="1">
      <alignment horizontal="center"/>
    </xf>
    <xf numFmtId="2" fontId="44" fillId="0" borderId="129" xfId="0" applyNumberFormat="1" applyFont="1" applyBorder="1" applyAlignment="1">
      <alignment horizontal="center"/>
    </xf>
    <xf numFmtId="176" fontId="44" fillId="0" borderId="19" xfId="0" applyNumberFormat="1" applyFont="1" applyBorder="1" applyAlignment="1">
      <alignment horizontal="center"/>
    </xf>
    <xf numFmtId="0" fontId="118" fillId="0" borderId="0" xfId="0" applyFont="1" applyProtection="1">
      <protection hidden="1"/>
    </xf>
    <xf numFmtId="0" fontId="119" fillId="0" borderId="0" xfId="0" applyFont="1" applyAlignment="1" applyProtection="1">
      <alignment horizontal="left"/>
      <protection hidden="1"/>
    </xf>
    <xf numFmtId="0" fontId="120" fillId="0" borderId="0" xfId="0" applyFont="1" applyAlignment="1" applyProtection="1">
      <alignment horizontal="center"/>
      <protection hidden="1"/>
    </xf>
    <xf numFmtId="0" fontId="25" fillId="0" borderId="0" xfId="0" applyFont="1" applyAlignment="1" applyProtection="1">
      <alignment horizontal="centerContinuous"/>
      <protection hidden="1"/>
    </xf>
    <xf numFmtId="0" fontId="118" fillId="0" borderId="0" xfId="0" applyFont="1" applyAlignment="1" applyProtection="1">
      <alignment horizontal="centerContinuous"/>
      <protection hidden="1"/>
    </xf>
    <xf numFmtId="0" fontId="119" fillId="0" borderId="0" xfId="0" applyFont="1" applyAlignment="1" applyProtection="1">
      <alignment horizontal="centerContinuous"/>
      <protection hidden="1"/>
    </xf>
    <xf numFmtId="0" fontId="41" fillId="0" borderId="0" xfId="0" applyFont="1" applyAlignment="1" applyProtection="1">
      <alignment horizontal="centerContinuous"/>
      <protection hidden="1"/>
    </xf>
    <xf numFmtId="0" fontId="41" fillId="0" borderId="0" xfId="0" applyFont="1" applyAlignment="1" applyProtection="1">
      <alignment horizontal="center"/>
      <protection hidden="1"/>
    </xf>
    <xf numFmtId="0" fontId="111" fillId="0" borderId="9" xfId="0" applyFont="1" applyBorder="1" applyAlignment="1" applyProtection="1">
      <alignment horizontal="centerContinuous"/>
      <protection hidden="1"/>
    </xf>
    <xf numFmtId="0" fontId="95" fillId="0" borderId="9" xfId="0" applyFont="1" applyBorder="1" applyAlignment="1" applyProtection="1">
      <alignment horizontal="centerContinuous"/>
      <protection hidden="1"/>
    </xf>
    <xf numFmtId="0" fontId="111" fillId="0" borderId="16" xfId="0" applyFont="1" applyBorder="1" applyAlignment="1" applyProtection="1">
      <alignment horizontal="center"/>
      <protection hidden="1"/>
    </xf>
    <xf numFmtId="0" fontId="111" fillId="0" borderId="43" xfId="0" applyFont="1" applyBorder="1" applyAlignment="1" applyProtection="1">
      <alignment horizontal="center"/>
      <protection hidden="1"/>
    </xf>
    <xf numFmtId="0" fontId="111" fillId="0" borderId="0" xfId="0" applyFont="1" applyAlignment="1" applyProtection="1">
      <alignment horizontal="center"/>
      <protection hidden="1"/>
    </xf>
    <xf numFmtId="0" fontId="118" fillId="0" borderId="43" xfId="0" applyFont="1" applyBorder="1" applyProtection="1">
      <protection hidden="1"/>
    </xf>
    <xf numFmtId="0" fontId="45" fillId="0" borderId="0" xfId="0" applyFont="1" applyAlignment="1" applyProtection="1">
      <alignment horizontal="centerContinuous"/>
      <protection hidden="1"/>
    </xf>
    <xf numFmtId="0" fontId="122" fillId="0" borderId="0" xfId="0" applyFont="1" applyAlignment="1" applyProtection="1">
      <alignment horizontal="left"/>
      <protection hidden="1"/>
    </xf>
    <xf numFmtId="0" fontId="40" fillId="0" borderId="0" xfId="0" applyFont="1" applyAlignment="1" applyProtection="1">
      <alignment horizontal="left"/>
      <protection hidden="1"/>
    </xf>
    <xf numFmtId="0" fontId="61" fillId="0" borderId="0" xfId="0" applyFont="1" applyAlignment="1" applyProtection="1">
      <alignment horizontal="left" vertical="top"/>
      <protection hidden="1"/>
    </xf>
    <xf numFmtId="0" fontId="45" fillId="0" borderId="0" xfId="0" applyFont="1" applyAlignment="1" applyProtection="1">
      <alignment horizontal="center"/>
      <protection hidden="1"/>
    </xf>
    <xf numFmtId="0" fontId="61" fillId="0" borderId="0" xfId="0" applyFont="1" applyAlignment="1" applyProtection="1">
      <alignment horizontal="left"/>
      <protection hidden="1"/>
    </xf>
    <xf numFmtId="0" fontId="40" fillId="0" borderId="0" xfId="0" applyFont="1" applyProtection="1">
      <protection hidden="1"/>
    </xf>
    <xf numFmtId="0" fontId="122" fillId="0" borderId="0" xfId="0" applyFont="1" applyProtection="1">
      <protection hidden="1"/>
    </xf>
    <xf numFmtId="0" fontId="61" fillId="0" borderId="0" xfId="0" applyFont="1" applyAlignment="1" applyProtection="1">
      <alignment vertical="top"/>
      <protection hidden="1"/>
    </xf>
    <xf numFmtId="0" fontId="61" fillId="0" borderId="0" xfId="0" applyFont="1" applyProtection="1">
      <protection hidden="1"/>
    </xf>
    <xf numFmtId="0" fontId="61" fillId="0" borderId="1" xfId="0" applyFont="1" applyBorder="1" applyAlignment="1" applyProtection="1">
      <alignment horizontal="center" wrapText="1"/>
      <protection hidden="1"/>
    </xf>
    <xf numFmtId="0" fontId="61" fillId="0" borderId="1" xfId="0" applyFont="1" applyBorder="1" applyAlignment="1" applyProtection="1">
      <alignment horizontal="center" vertical="center" wrapText="1"/>
      <protection hidden="1"/>
    </xf>
    <xf numFmtId="49" fontId="61" fillId="0" borderId="1" xfId="0" applyNumberFormat="1" applyFont="1" applyBorder="1" applyAlignment="1" applyProtection="1">
      <alignment horizontal="center"/>
      <protection locked="0"/>
    </xf>
    <xf numFmtId="0" fontId="40" fillId="0" borderId="0" xfId="0" applyFont="1" applyAlignment="1" applyProtection="1">
      <alignment horizontal="center"/>
      <protection hidden="1"/>
    </xf>
    <xf numFmtId="0" fontId="0" fillId="0" borderId="0" xfId="0" applyProtection="1">
      <protection hidden="1"/>
    </xf>
    <xf numFmtId="0" fontId="124" fillId="8" borderId="0" xfId="0" applyFont="1" applyFill="1" applyProtection="1">
      <protection hidden="1"/>
    </xf>
    <xf numFmtId="0" fontId="22" fillId="8" borderId="0" xfId="0" applyFont="1" applyFill="1" applyProtection="1">
      <protection hidden="1"/>
    </xf>
    <xf numFmtId="0" fontId="7" fillId="0" borderId="0" xfId="0" applyFont="1" applyProtection="1">
      <protection hidden="1"/>
    </xf>
    <xf numFmtId="49" fontId="0" fillId="0" borderId="0" xfId="0" applyNumberFormat="1" applyAlignment="1" applyProtection="1">
      <alignment horizontal="center"/>
      <protection locked="0"/>
    </xf>
    <xf numFmtId="0" fontId="125" fillId="8" borderId="9" xfId="0" applyFont="1" applyFill="1" applyBorder="1" applyProtection="1">
      <protection hidden="1"/>
    </xf>
    <xf numFmtId="0" fontId="22" fillId="8" borderId="9" xfId="0" applyFont="1" applyFill="1" applyBorder="1" applyProtection="1">
      <protection hidden="1"/>
    </xf>
    <xf numFmtId="0" fontId="0" fillId="0" borderId="0" xfId="0" applyAlignment="1" applyProtection="1">
      <alignment horizontal="left"/>
      <protection hidden="1"/>
    </xf>
    <xf numFmtId="0" fontId="0" fillId="0" borderId="0" xfId="0" applyAlignment="1" applyProtection="1">
      <alignment horizontal="right"/>
      <protection hidden="1"/>
    </xf>
    <xf numFmtId="0" fontId="125" fillId="8" borderId="0" xfId="0" applyFont="1" applyFill="1" applyProtection="1">
      <protection hidden="1"/>
    </xf>
    <xf numFmtId="0" fontId="126" fillId="8" borderId="0" xfId="0" applyFont="1" applyFill="1" applyProtection="1">
      <protection hidden="1"/>
    </xf>
    <xf numFmtId="0" fontId="0" fillId="0" borderId="0" xfId="0" applyAlignment="1" applyProtection="1">
      <alignment horizontal="center"/>
      <protection hidden="1"/>
    </xf>
    <xf numFmtId="0" fontId="22" fillId="0" borderId="0" xfId="0" applyFont="1" applyAlignment="1" applyProtection="1">
      <alignment horizontal="left"/>
      <protection hidden="1"/>
    </xf>
    <xf numFmtId="0" fontId="104" fillId="0" borderId="0" xfId="0" applyFont="1" applyProtection="1">
      <protection hidden="1"/>
    </xf>
    <xf numFmtId="0" fontId="22" fillId="0" borderId="0" xfId="0" applyFont="1" applyProtection="1">
      <protection hidden="1"/>
    </xf>
    <xf numFmtId="0" fontId="105" fillId="0" borderId="15" xfId="0" applyFont="1" applyBorder="1"/>
    <xf numFmtId="0" fontId="0" fillId="0" borderId="16" xfId="0" applyBorder="1" applyProtection="1">
      <protection hidden="1"/>
    </xf>
    <xf numFmtId="0" fontId="105" fillId="0" borderId="16" xfId="0" applyFont="1" applyBorder="1"/>
    <xf numFmtId="0" fontId="105" fillId="0" borderId="17" xfId="0" applyFont="1" applyBorder="1"/>
    <xf numFmtId="0" fontId="105" fillId="0" borderId="9" xfId="0" applyFont="1" applyBorder="1"/>
    <xf numFmtId="0" fontId="105" fillId="0" borderId="18" xfId="0" applyFont="1" applyBorder="1"/>
    <xf numFmtId="0" fontId="0" fillId="9" borderId="0" xfId="0" applyFill="1"/>
    <xf numFmtId="0" fontId="8" fillId="0" borderId="5" xfId="0" applyFont="1" applyBorder="1" applyAlignment="1">
      <alignment horizontal="left" shrinkToFit="1"/>
    </xf>
    <xf numFmtId="0" fontId="0" fillId="0" borderId="130" xfId="0" applyBorder="1"/>
    <xf numFmtId="0" fontId="0" fillId="9" borderId="131" xfId="0" applyFill="1" applyBorder="1"/>
    <xf numFmtId="0" fontId="0" fillId="9" borderId="132" xfId="0" applyFill="1" applyBorder="1"/>
    <xf numFmtId="0" fontId="0" fillId="9" borderId="133" xfId="0" applyFill="1" applyBorder="1"/>
    <xf numFmtId="0" fontId="0" fillId="9" borderId="134" xfId="0" applyFill="1" applyBorder="1"/>
    <xf numFmtId="0" fontId="0" fillId="9" borderId="135" xfId="0" applyFill="1" applyBorder="1"/>
    <xf numFmtId="0" fontId="0" fillId="9" borderId="136" xfId="0" applyFill="1" applyBorder="1"/>
    <xf numFmtId="0" fontId="0" fillId="9" borderId="26" xfId="0" applyFill="1" applyBorder="1"/>
    <xf numFmtId="0" fontId="0" fillId="9" borderId="137" xfId="0" applyFill="1" applyBorder="1"/>
    <xf numFmtId="0" fontId="40" fillId="0" borderId="0" xfId="0" applyFont="1" applyAlignment="1">
      <alignment horizontal="center" shrinkToFit="1"/>
    </xf>
    <xf numFmtId="174" fontId="0" fillId="0" borderId="0" xfId="0" applyNumberFormat="1" applyAlignment="1">
      <alignment shrinkToFit="1"/>
    </xf>
    <xf numFmtId="0" fontId="24" fillId="0" borderId="0" xfId="0" applyFont="1" applyAlignment="1">
      <alignment horizontal="center"/>
    </xf>
    <xf numFmtId="174" fontId="0" fillId="0" borderId="1" xfId="0" applyNumberFormat="1" applyBorder="1" applyAlignment="1">
      <alignment shrinkToFit="1"/>
    </xf>
    <xf numFmtId="4" fontId="0" fillId="0" borderId="1" xfId="0" applyNumberFormat="1" applyBorder="1" applyAlignment="1">
      <alignment shrinkToFit="1"/>
    </xf>
    <xf numFmtId="0" fontId="88" fillId="2" borderId="85" xfId="6" applyFont="1" applyFill="1" applyBorder="1"/>
    <xf numFmtId="0" fontId="88" fillId="2" borderId="0" xfId="6" applyFont="1" applyFill="1"/>
    <xf numFmtId="0" fontId="88" fillId="2" borderId="94" xfId="6" applyFont="1" applyFill="1" applyBorder="1"/>
    <xf numFmtId="166" fontId="128" fillId="2" borderId="96" xfId="6" applyNumberFormat="1" applyFont="1" applyFill="1" applyBorder="1"/>
    <xf numFmtId="0" fontId="88" fillId="2" borderId="100" xfId="6" applyFont="1" applyFill="1" applyBorder="1"/>
    <xf numFmtId="0" fontId="88" fillId="2" borderId="97" xfId="6" applyFont="1" applyFill="1" applyBorder="1"/>
    <xf numFmtId="0" fontId="88" fillId="2" borderId="96" xfId="6" applyFont="1" applyFill="1" applyBorder="1"/>
    <xf numFmtId="0" fontId="0" fillId="0" borderId="4" xfId="0" applyBorder="1" applyAlignment="1">
      <alignment horizontal="center"/>
    </xf>
    <xf numFmtId="0" fontId="1" fillId="0" borderId="42" xfId="0" applyFont="1" applyBorder="1" applyAlignment="1">
      <alignment horizontal="center" shrinkToFit="1"/>
    </xf>
    <xf numFmtId="0" fontId="1" fillId="0" borderId="41" xfId="0" applyFont="1" applyBorder="1" applyAlignment="1">
      <alignment horizontal="center" shrinkToFit="1"/>
    </xf>
    <xf numFmtId="0" fontId="1" fillId="0" borderId="43" xfId="0" applyFont="1" applyBorder="1" applyAlignment="1">
      <alignment horizontal="center" shrinkToFit="1"/>
    </xf>
    <xf numFmtId="0" fontId="41" fillId="0" borderId="41" xfId="0" applyFont="1" applyBorder="1" applyAlignment="1">
      <alignment horizontal="center" shrinkToFit="1"/>
    </xf>
    <xf numFmtId="4" fontId="52" fillId="0" borderId="10" xfId="0" applyNumberFormat="1" applyFont="1" applyBorder="1"/>
    <xf numFmtId="0" fontId="40" fillId="0" borderId="10" xfId="0" applyFont="1" applyBorder="1" applyAlignment="1">
      <alignment horizontal="center"/>
    </xf>
    <xf numFmtId="0" fontId="29" fillId="0" borderId="22" xfId="0" applyFont="1" applyBorder="1" applyAlignment="1">
      <alignment horizontal="center" shrinkToFit="1"/>
    </xf>
    <xf numFmtId="176" fontId="0" fillId="0" borderId="22" xfId="0" applyNumberFormat="1" applyBorder="1" applyAlignment="1">
      <alignment shrinkToFit="1"/>
    </xf>
    <xf numFmtId="0" fontId="29" fillId="0" borderId="27" xfId="0" applyFont="1" applyBorder="1" applyAlignment="1">
      <alignment horizontal="center" shrinkToFit="1"/>
    </xf>
    <xf numFmtId="176" fontId="0" fillId="0" borderId="27" xfId="0" applyNumberFormat="1" applyBorder="1" applyAlignment="1">
      <alignment shrinkToFit="1"/>
    </xf>
    <xf numFmtId="0" fontId="29" fillId="0" borderId="0" xfId="0" applyFont="1" applyAlignment="1">
      <alignment horizontal="center" shrinkToFit="1"/>
    </xf>
    <xf numFmtId="176" fontId="0" fillId="0" borderId="0" xfId="0" applyNumberFormat="1" applyAlignment="1">
      <alignment shrinkToFit="1"/>
    </xf>
    <xf numFmtId="0" fontId="1" fillId="0" borderId="0" xfId="0" applyFont="1" applyAlignment="1">
      <alignment horizontal="center" vertical="center"/>
    </xf>
    <xf numFmtId="20" fontId="1" fillId="0" borderId="0" xfId="0" applyNumberFormat="1" applyFont="1" applyAlignment="1">
      <alignment horizontal="center" vertical="center"/>
    </xf>
    <xf numFmtId="1" fontId="1" fillId="0" borderId="0" xfId="0" applyNumberFormat="1" applyFont="1" applyAlignment="1">
      <alignment horizontal="center" vertical="center"/>
    </xf>
    <xf numFmtId="167" fontId="1" fillId="0" borderId="0" xfId="0" applyNumberFormat="1" applyFont="1" applyAlignment="1">
      <alignment horizontal="center" vertical="center"/>
    </xf>
    <xf numFmtId="2" fontId="1" fillId="0" borderId="0" xfId="0" applyNumberFormat="1" applyFont="1" applyAlignment="1">
      <alignment horizontal="center" vertical="center"/>
    </xf>
    <xf numFmtId="4" fontId="1" fillId="0" borderId="0" xfId="0" applyNumberFormat="1" applyFont="1" applyAlignment="1">
      <alignment horizontal="left"/>
    </xf>
    <xf numFmtId="1" fontId="1" fillId="0" borderId="11" xfId="0" applyNumberFormat="1" applyFont="1" applyBorder="1" applyAlignment="1">
      <alignment horizontal="center"/>
    </xf>
    <xf numFmtId="0" fontId="41" fillId="0" borderId="13" xfId="0" applyFont="1" applyBorder="1" applyAlignment="1">
      <alignment horizontal="left"/>
    </xf>
    <xf numFmtId="0" fontId="41" fillId="0" borderId="35" xfId="0" applyFont="1" applyBorder="1" applyAlignment="1">
      <alignment horizontal="left"/>
    </xf>
    <xf numFmtId="0" fontId="41" fillId="0" borderId="33" xfId="0" applyFont="1" applyBorder="1" applyAlignment="1">
      <alignment horizontal="left"/>
    </xf>
    <xf numFmtId="4" fontId="1" fillId="0" borderId="21" xfId="0" applyNumberFormat="1" applyFont="1" applyBorder="1" applyAlignment="1">
      <alignment horizontal="center"/>
    </xf>
    <xf numFmtId="2" fontId="1" fillId="0" borderId="11" xfId="0" applyNumberFormat="1" applyFont="1" applyBorder="1" applyAlignment="1">
      <alignment horizontal="center"/>
    </xf>
    <xf numFmtId="4" fontId="1" fillId="0" borderId="27" xfId="0" applyNumberFormat="1" applyFont="1" applyBorder="1" applyAlignment="1">
      <alignment horizontal="center"/>
    </xf>
    <xf numFmtId="2" fontId="1" fillId="0" borderId="27" xfId="0" applyNumberFormat="1" applyFont="1" applyBorder="1" applyAlignment="1">
      <alignment horizontal="center"/>
    </xf>
    <xf numFmtId="0" fontId="1" fillId="0" borderId="36" xfId="0" applyFont="1" applyBorder="1" applyAlignment="1">
      <alignment horizontal="center" shrinkToFit="1"/>
    </xf>
    <xf numFmtId="0" fontId="1" fillId="0" borderId="15" xfId="0" applyFont="1" applyBorder="1" applyAlignment="1">
      <alignment horizontal="center" shrinkToFit="1"/>
    </xf>
    <xf numFmtId="0" fontId="1" fillId="0" borderId="17" xfId="0" applyFont="1" applyBorder="1" applyAlignment="1">
      <alignment horizontal="center" shrinkToFit="1"/>
    </xf>
    <xf numFmtId="0" fontId="41" fillId="0" borderId="0" xfId="0" applyFont="1" applyAlignment="1">
      <alignment horizontal="left"/>
    </xf>
    <xf numFmtId="0" fontId="105" fillId="0" borderId="36" xfId="0" applyFont="1" applyBorder="1"/>
    <xf numFmtId="0" fontId="105" fillId="0" borderId="14" xfId="0" applyFont="1" applyBorder="1"/>
    <xf numFmtId="0" fontId="105" fillId="0" borderId="13" xfId="0" applyFont="1" applyBorder="1"/>
    <xf numFmtId="0" fontId="0" fillId="0" borderId="19" xfId="0" applyBorder="1"/>
    <xf numFmtId="0" fontId="71" fillId="0" borderId="0" xfId="0" applyFont="1"/>
    <xf numFmtId="0" fontId="0" fillId="0" borderId="138" xfId="0" applyBorder="1" applyAlignment="1">
      <alignment horizontal="center"/>
    </xf>
    <xf numFmtId="0" fontId="22" fillId="0" borderId="0" xfId="0" applyFont="1" applyAlignment="1">
      <alignment horizontal="center"/>
    </xf>
    <xf numFmtId="0" fontId="22" fillId="0" borderId="138" xfId="0" applyFont="1" applyBorder="1" applyAlignment="1">
      <alignment horizontal="center"/>
    </xf>
    <xf numFmtId="0" fontId="22" fillId="0" borderId="139" xfId="0" applyFont="1" applyBorder="1" applyAlignment="1">
      <alignment horizontal="center"/>
    </xf>
    <xf numFmtId="0" fontId="0" fillId="0" borderId="139" xfId="0" applyBorder="1" applyAlignment="1">
      <alignment horizontal="center"/>
    </xf>
    <xf numFmtId="0" fontId="79" fillId="0" borderId="83" xfId="6" applyFont="1" applyBorder="1"/>
    <xf numFmtId="0" fontId="80" fillId="4" borderId="140" xfId="6" applyFont="1" applyFill="1" applyBorder="1" applyAlignment="1">
      <alignment horizontal="center"/>
    </xf>
    <xf numFmtId="15" fontId="80" fillId="4" borderId="102" xfId="6" applyNumberFormat="1" applyFont="1" applyFill="1" applyBorder="1" applyAlignment="1">
      <alignment horizontal="center"/>
    </xf>
    <xf numFmtId="0" fontId="80" fillId="0" borderId="142" xfId="6" applyFont="1" applyBorder="1" applyAlignment="1">
      <alignment horizontal="center"/>
    </xf>
    <xf numFmtId="0" fontId="80" fillId="0" borderId="98" xfId="6" applyFont="1" applyBorder="1" applyAlignment="1">
      <alignment horizontal="center"/>
    </xf>
    <xf numFmtId="166" fontId="80" fillId="0" borderId="98" xfId="6" applyNumberFormat="1" applyFont="1" applyBorder="1" applyAlignment="1">
      <alignment horizontal="center"/>
    </xf>
    <xf numFmtId="0" fontId="80" fillId="0" borderId="106" xfId="6" applyFont="1" applyBorder="1" applyAlignment="1">
      <alignment horizontal="center"/>
    </xf>
    <xf numFmtId="0" fontId="80" fillId="0" borderId="82" xfId="6" applyFont="1" applyBorder="1" applyAlignment="1">
      <alignment horizontal="center"/>
    </xf>
    <xf numFmtId="0" fontId="80" fillId="0" borderId="81" xfId="6" applyFont="1" applyBorder="1" applyAlignment="1">
      <alignment horizontal="center"/>
    </xf>
    <xf numFmtId="0" fontId="80" fillId="0" borderId="101" xfId="6" applyFont="1" applyBorder="1" applyAlignment="1">
      <alignment horizontal="center"/>
    </xf>
    <xf numFmtId="0" fontId="10" fillId="0" borderId="0" xfId="8" applyFont="1" applyAlignment="1">
      <alignment horizontal="left"/>
    </xf>
    <xf numFmtId="0" fontId="113" fillId="5" borderId="9" xfId="8" applyFont="1" applyFill="1" applyBorder="1" applyAlignment="1">
      <alignment horizontal="center"/>
    </xf>
    <xf numFmtId="0" fontId="17" fillId="5" borderId="114" xfId="8" applyFont="1" applyFill="1" applyBorder="1" applyAlignment="1">
      <alignment horizontal="left"/>
    </xf>
    <xf numFmtId="0" fontId="17" fillId="5" borderId="143" xfId="8" applyFont="1" applyFill="1" applyBorder="1"/>
    <xf numFmtId="0" fontId="17" fillId="5" borderId="115" xfId="8" applyFont="1" applyFill="1" applyBorder="1"/>
    <xf numFmtId="15" fontId="112" fillId="5" borderId="115" xfId="8" applyNumberFormat="1" applyFont="1" applyFill="1" applyBorder="1" applyAlignment="1">
      <alignment horizontal="center"/>
    </xf>
    <xf numFmtId="0" fontId="103" fillId="5" borderId="144" xfId="8" applyFont="1" applyFill="1" applyBorder="1"/>
    <xf numFmtId="0" fontId="17" fillId="5" borderId="116" xfId="8" applyFont="1" applyFill="1" applyBorder="1" applyAlignment="1">
      <alignment horizontal="left"/>
    </xf>
    <xf numFmtId="0" fontId="17" fillId="5" borderId="144" xfId="8" applyFont="1" applyFill="1" applyBorder="1"/>
    <xf numFmtId="0" fontId="17" fillId="5" borderId="44" xfId="8" applyFont="1" applyFill="1" applyBorder="1"/>
    <xf numFmtId="0" fontId="11" fillId="5" borderId="144" xfId="8" applyFill="1" applyBorder="1"/>
    <xf numFmtId="3" fontId="112" fillId="5" borderId="44" xfId="8" applyNumberFormat="1" applyFont="1" applyFill="1" applyBorder="1" applyAlignment="1">
      <alignment horizontal="center"/>
    </xf>
    <xf numFmtId="4" fontId="17" fillId="5" borderId="144" xfId="8" applyNumberFormat="1" applyFont="1" applyFill="1" applyBorder="1"/>
    <xf numFmtId="0" fontId="17" fillId="5" borderId="44" xfId="8" applyFont="1" applyFill="1" applyBorder="1" applyAlignment="1">
      <alignment horizontal="left"/>
    </xf>
    <xf numFmtId="183" fontId="18" fillId="5" borderId="144" xfId="8" applyNumberFormat="1" applyFont="1" applyFill="1" applyBorder="1"/>
    <xf numFmtId="0" fontId="17" fillId="5" borderId="1" xfId="8" applyFont="1" applyFill="1" applyBorder="1" applyAlignment="1">
      <alignment horizontal="center"/>
    </xf>
    <xf numFmtId="169" fontId="112" fillId="5" borderId="44" xfId="8" applyNumberFormat="1" applyFont="1" applyFill="1" applyBorder="1" applyAlignment="1">
      <alignment horizontal="center"/>
    </xf>
    <xf numFmtId="0" fontId="18" fillId="5" borderId="0" xfId="8" applyFont="1" applyFill="1"/>
    <xf numFmtId="0" fontId="112" fillId="5" borderId="118" xfId="8" applyFont="1" applyFill="1" applyBorder="1" applyAlignment="1">
      <alignment horizontal="centerContinuous"/>
    </xf>
    <xf numFmtId="0" fontId="114" fillId="5" borderId="114" xfId="8" applyFont="1" applyFill="1" applyBorder="1" applyAlignment="1">
      <alignment horizontal="centerContinuous" wrapText="1"/>
    </xf>
    <xf numFmtId="42" fontId="112" fillId="5" borderId="115" xfId="8" applyNumberFormat="1" applyFont="1" applyFill="1" applyBorder="1" applyAlignment="1">
      <alignment horizontal="centerContinuous"/>
    </xf>
    <xf numFmtId="0" fontId="112" fillId="5" borderId="145" xfId="8" applyFont="1" applyFill="1" applyBorder="1" applyAlignment="1">
      <alignment horizontal="centerContinuous"/>
    </xf>
    <xf numFmtId="0" fontId="112" fillId="5" borderId="122" xfId="8" applyFont="1" applyFill="1" applyBorder="1" applyAlignment="1">
      <alignment horizontal="centerContinuous"/>
    </xf>
    <xf numFmtId="0" fontId="112" fillId="5" borderId="123" xfId="8" applyFont="1" applyFill="1" applyBorder="1" applyAlignment="1">
      <alignment horizontal="centerContinuous"/>
    </xf>
    <xf numFmtId="0" fontId="17" fillId="5" borderId="118" xfId="8" applyFont="1" applyFill="1" applyBorder="1" applyAlignment="1">
      <alignment horizontal="center"/>
    </xf>
    <xf numFmtId="0" fontId="16" fillId="5" borderId="118" xfId="8" applyFont="1" applyFill="1" applyBorder="1" applyAlignment="1">
      <alignment horizontal="center"/>
    </xf>
    <xf numFmtId="0" fontId="17" fillId="5" borderId="44" xfId="8" applyFont="1" applyFill="1" applyBorder="1" applyAlignment="1">
      <alignment horizontal="center"/>
    </xf>
    <xf numFmtId="0" fontId="11" fillId="5" borderId="44" xfId="8" applyFill="1" applyBorder="1"/>
    <xf numFmtId="2" fontId="17" fillId="0" borderId="44" xfId="8" applyNumberFormat="1" applyFont="1" applyBorder="1" applyAlignment="1">
      <alignment horizontal="center"/>
    </xf>
    <xf numFmtId="3" fontId="17" fillId="0" borderId="44" xfId="8" applyNumberFormat="1" applyFont="1" applyBorder="1" applyAlignment="1">
      <alignment horizontal="center"/>
    </xf>
    <xf numFmtId="171" fontId="17" fillId="0" borderId="44" xfId="8" applyNumberFormat="1" applyFont="1" applyBorder="1" applyAlignment="1">
      <alignment horizontal="center"/>
    </xf>
    <xf numFmtId="166" fontId="17" fillId="0" borderId="44" xfId="8" applyNumberFormat="1" applyFont="1" applyBorder="1" applyAlignment="1">
      <alignment horizontal="center"/>
    </xf>
    <xf numFmtId="168" fontId="17" fillId="0" borderId="44" xfId="8" applyNumberFormat="1" applyFont="1" applyBorder="1" applyAlignment="1">
      <alignment horizontal="center"/>
    </xf>
    <xf numFmtId="181" fontId="19" fillId="0" borderId="44" xfId="7" applyNumberFormat="1" applyFont="1" applyBorder="1" applyAlignment="1">
      <alignment horizontal="center"/>
    </xf>
    <xf numFmtId="1" fontId="17" fillId="0" borderId="44" xfId="8" applyNumberFormat="1" applyFont="1" applyBorder="1" applyAlignment="1">
      <alignment horizontal="center"/>
    </xf>
    <xf numFmtId="0" fontId="17" fillId="0" borderId="44" xfId="8" applyFont="1" applyBorder="1" applyAlignment="1">
      <alignment horizontal="center" shrinkToFit="1"/>
    </xf>
    <xf numFmtId="0" fontId="27" fillId="5" borderId="9" xfId="8" applyFont="1" applyFill="1" applyBorder="1"/>
    <xf numFmtId="168" fontId="11" fillId="5" borderId="25" xfId="8" applyNumberFormat="1" applyFill="1" applyBorder="1"/>
    <xf numFmtId="168" fontId="18" fillId="5" borderId="25" xfId="8" applyNumberFormat="1" applyFont="1" applyFill="1" applyBorder="1"/>
    <xf numFmtId="0" fontId="112" fillId="5" borderId="144" xfId="8" applyFont="1" applyFill="1" applyBorder="1" applyAlignment="1">
      <alignment horizontal="center"/>
    </xf>
    <xf numFmtId="0" fontId="11" fillId="5" borderId="11" xfId="8" applyFill="1" applyBorder="1"/>
    <xf numFmtId="168" fontId="16" fillId="5" borderId="25" xfId="8" applyNumberFormat="1" applyFont="1" applyFill="1" applyBorder="1"/>
    <xf numFmtId="0" fontId="10" fillId="5" borderId="0" xfId="8" applyFont="1" applyFill="1" applyAlignment="1">
      <alignment horizontal="left"/>
    </xf>
    <xf numFmtId="0" fontId="112" fillId="5" borderId="143" xfId="8" applyFont="1" applyFill="1" applyBorder="1"/>
    <xf numFmtId="0" fontId="112" fillId="5" borderId="115" xfId="8" applyFont="1" applyFill="1" applyBorder="1"/>
    <xf numFmtId="0" fontId="112" fillId="5" borderId="144" xfId="8" applyFont="1" applyFill="1" applyBorder="1"/>
    <xf numFmtId="0" fontId="112" fillId="5" borderId="44" xfId="8" applyFont="1" applyFill="1" applyBorder="1"/>
    <xf numFmtId="2" fontId="17" fillId="5" borderId="44" xfId="8" applyNumberFormat="1" applyFont="1" applyFill="1" applyBorder="1" applyAlignment="1">
      <alignment horizontal="center"/>
    </xf>
    <xf numFmtId="3" fontId="17" fillId="5" borderId="44" xfId="8" applyNumberFormat="1" applyFont="1" applyFill="1" applyBorder="1" applyAlignment="1">
      <alignment horizontal="center"/>
    </xf>
    <xf numFmtId="171" fontId="17" fillId="5" borderId="44" xfId="8" applyNumberFormat="1" applyFont="1" applyFill="1" applyBorder="1" applyAlignment="1">
      <alignment horizontal="center"/>
    </xf>
    <xf numFmtId="166" fontId="17" fillId="5" borderId="44" xfId="8" applyNumberFormat="1" applyFont="1" applyFill="1" applyBorder="1" applyAlignment="1">
      <alignment horizontal="center"/>
    </xf>
    <xf numFmtId="168" fontId="17" fillId="5" borderId="44" xfId="8" applyNumberFormat="1" applyFont="1" applyFill="1" applyBorder="1" applyAlignment="1">
      <alignment horizontal="center"/>
    </xf>
    <xf numFmtId="181" fontId="19" fillId="5" borderId="44" xfId="7" applyNumberFormat="1" applyFont="1" applyFill="1" applyBorder="1" applyAlignment="1">
      <alignment horizontal="center"/>
    </xf>
    <xf numFmtId="1" fontId="17" fillId="5" borderId="44" xfId="8" applyNumberFormat="1" applyFont="1" applyFill="1" applyBorder="1" applyAlignment="1">
      <alignment horizontal="center"/>
    </xf>
    <xf numFmtId="0" fontId="17" fillId="5" borderId="44" xfId="8" applyFont="1" applyFill="1" applyBorder="1" applyAlignment="1">
      <alignment horizontal="center" shrinkToFit="1"/>
    </xf>
    <xf numFmtId="177" fontId="99" fillId="5" borderId="125" xfId="7" applyNumberFormat="1" applyFont="1" applyFill="1" applyBorder="1" applyAlignment="1">
      <alignment horizontal="center"/>
    </xf>
    <xf numFmtId="20" fontId="99" fillId="5" borderId="44" xfId="7" applyNumberFormat="1" applyFont="1" applyFill="1" applyBorder="1" applyAlignment="1">
      <alignment horizontal="center"/>
    </xf>
    <xf numFmtId="2" fontId="99" fillId="5" borderId="44" xfId="7" applyNumberFormat="1" applyFont="1" applyFill="1" applyBorder="1" applyAlignment="1">
      <alignment horizontal="center"/>
    </xf>
    <xf numFmtId="3" fontId="99" fillId="5" borderId="44" xfId="7" applyNumberFormat="1" applyFont="1" applyFill="1" applyBorder="1" applyAlignment="1">
      <alignment horizontal="center"/>
    </xf>
    <xf numFmtId="171" fontId="99" fillId="5" borderId="44" xfId="7" applyNumberFormat="1" applyFont="1" applyFill="1" applyBorder="1" applyAlignment="1">
      <alignment horizontal="center"/>
    </xf>
    <xf numFmtId="166" fontId="99" fillId="5" borderId="44" xfId="7" applyNumberFormat="1" applyFont="1" applyFill="1" applyBorder="1" applyAlignment="1">
      <alignment horizontal="center"/>
    </xf>
    <xf numFmtId="168" fontId="99" fillId="5" borderId="44" xfId="7" applyNumberFormat="1" applyFont="1" applyFill="1" applyBorder="1" applyAlignment="1">
      <alignment horizontal="center"/>
    </xf>
    <xf numFmtId="167" fontId="99" fillId="5" borderId="44" xfId="7" applyNumberFormat="1" applyFont="1" applyFill="1" applyBorder="1" applyAlignment="1">
      <alignment horizontal="center"/>
    </xf>
    <xf numFmtId="0" fontId="99" fillId="5" borderId="126" xfId="7" applyFont="1" applyFill="1" applyBorder="1" applyAlignment="1">
      <alignment horizontal="center"/>
    </xf>
    <xf numFmtId="177" fontId="99" fillId="5" borderId="146" xfId="7" applyNumberFormat="1" applyFont="1" applyFill="1" applyBorder="1" applyAlignment="1">
      <alignment horizontal="center"/>
    </xf>
    <xf numFmtId="20" fontId="99" fillId="5" borderId="127" xfId="7" applyNumberFormat="1" applyFont="1" applyFill="1" applyBorder="1" applyAlignment="1">
      <alignment horizontal="center"/>
    </xf>
    <xf numFmtId="2" fontId="99" fillId="5" borderId="127" xfId="7" applyNumberFormat="1" applyFont="1" applyFill="1" applyBorder="1" applyAlignment="1">
      <alignment horizontal="center"/>
    </xf>
    <xf numFmtId="3" fontId="99" fillId="5" borderId="127" xfId="7" applyNumberFormat="1" applyFont="1" applyFill="1" applyBorder="1" applyAlignment="1">
      <alignment horizontal="center"/>
    </xf>
    <xf numFmtId="171" fontId="99" fillId="5" borderId="127" xfId="7" applyNumberFormat="1" applyFont="1" applyFill="1" applyBorder="1" applyAlignment="1">
      <alignment horizontal="center"/>
    </xf>
    <xf numFmtId="166" fontId="99" fillId="5" borderId="127" xfId="7" applyNumberFormat="1" applyFont="1" applyFill="1" applyBorder="1" applyAlignment="1">
      <alignment horizontal="center"/>
    </xf>
    <xf numFmtId="168" fontId="99" fillId="5" borderId="127" xfId="7" applyNumberFormat="1" applyFont="1" applyFill="1" applyBorder="1" applyAlignment="1">
      <alignment horizontal="center"/>
    </xf>
    <xf numFmtId="167" fontId="99" fillId="5" borderId="127" xfId="7" applyNumberFormat="1" applyFont="1" applyFill="1" applyBorder="1" applyAlignment="1">
      <alignment horizontal="center"/>
    </xf>
    <xf numFmtId="0" fontId="99" fillId="5" borderId="7" xfId="7" applyFont="1" applyFill="1" applyBorder="1" applyAlignment="1">
      <alignment horizontal="center"/>
    </xf>
    <xf numFmtId="0" fontId="96" fillId="5" borderId="120" xfId="8" applyFont="1" applyFill="1" applyBorder="1" applyAlignment="1">
      <alignment horizontal="center"/>
    </xf>
    <xf numFmtId="0" fontId="96" fillId="5" borderId="118" xfId="8" applyFont="1" applyFill="1" applyBorder="1" applyAlignment="1">
      <alignment horizontal="center"/>
    </xf>
    <xf numFmtId="0" fontId="96" fillId="5" borderId="118" xfId="8" applyFont="1" applyFill="1" applyBorder="1" applyAlignment="1">
      <alignment horizontal="centerContinuous"/>
    </xf>
    <xf numFmtId="0" fontId="96" fillId="5" borderId="114" xfId="8" applyFont="1" applyFill="1" applyBorder="1" applyAlignment="1">
      <alignment horizontal="centerContinuous" wrapText="1"/>
    </xf>
    <xf numFmtId="42" fontId="96" fillId="5" borderId="115" xfId="8" applyNumberFormat="1" applyFont="1" applyFill="1" applyBorder="1" applyAlignment="1">
      <alignment horizontal="centerContinuous"/>
    </xf>
    <xf numFmtId="0" fontId="96" fillId="5" borderId="145" xfId="8" applyFont="1" applyFill="1" applyBorder="1" applyAlignment="1">
      <alignment horizontal="centerContinuous"/>
    </xf>
    <xf numFmtId="0" fontId="96" fillId="5" borderId="122" xfId="8" applyFont="1" applyFill="1" applyBorder="1" applyAlignment="1">
      <alignment horizontal="centerContinuous"/>
    </xf>
    <xf numFmtId="0" fontId="96" fillId="5" borderId="123" xfId="8" applyFont="1" applyFill="1" applyBorder="1" applyAlignment="1">
      <alignment horizontal="centerContinuous"/>
    </xf>
    <xf numFmtId="0" fontId="97" fillId="5" borderId="124" xfId="8" applyFont="1" applyFill="1" applyBorder="1" applyAlignment="1">
      <alignment horizontal="center"/>
    </xf>
    <xf numFmtId="0" fontId="96" fillId="5" borderId="125" xfId="8" applyFont="1" applyFill="1" applyBorder="1" applyAlignment="1">
      <alignment horizontal="center"/>
    </xf>
    <xf numFmtId="0" fontId="96" fillId="5" borderId="44" xfId="8" applyFont="1" applyFill="1" applyBorder="1" applyAlignment="1">
      <alignment horizontal="center"/>
    </xf>
    <xf numFmtId="0" fontId="98" fillId="5" borderId="126" xfId="8" applyFont="1" applyFill="1" applyBorder="1"/>
    <xf numFmtId="0" fontId="101" fillId="5" borderId="125" xfId="8" applyFont="1" applyFill="1" applyBorder="1" applyAlignment="1">
      <alignment horizontal="center"/>
    </xf>
    <xf numFmtId="20" fontId="101" fillId="5" borderId="44" xfId="8" applyNumberFormat="1" applyFont="1" applyFill="1" applyBorder="1" applyAlignment="1">
      <alignment horizontal="center"/>
    </xf>
    <xf numFmtId="2" fontId="101" fillId="5" borderId="44" xfId="8" applyNumberFormat="1" applyFont="1" applyFill="1" applyBorder="1" applyAlignment="1">
      <alignment horizontal="center"/>
    </xf>
    <xf numFmtId="3" fontId="101" fillId="5" borderId="44" xfId="8" applyNumberFormat="1" applyFont="1" applyFill="1" applyBorder="1" applyAlignment="1">
      <alignment horizontal="center"/>
    </xf>
    <xf numFmtId="171" fontId="101" fillId="5" borderId="44" xfId="8" applyNumberFormat="1" applyFont="1" applyFill="1" applyBorder="1" applyAlignment="1">
      <alignment horizontal="center"/>
    </xf>
    <xf numFmtId="166" fontId="101" fillId="5" borderId="44" xfId="8" applyNumberFormat="1" applyFont="1" applyFill="1" applyBorder="1" applyAlignment="1">
      <alignment horizontal="center"/>
    </xf>
    <xf numFmtId="168" fontId="101" fillId="5" borderId="44" xfId="8" applyNumberFormat="1" applyFont="1" applyFill="1" applyBorder="1" applyAlignment="1">
      <alignment horizontal="center"/>
    </xf>
    <xf numFmtId="167" fontId="101" fillId="5" borderId="44" xfId="8" applyNumberFormat="1" applyFont="1" applyFill="1" applyBorder="1" applyAlignment="1">
      <alignment horizontal="center"/>
    </xf>
    <xf numFmtId="1" fontId="101" fillId="5" borderId="44" xfId="8" applyNumberFormat="1" applyFont="1" applyFill="1" applyBorder="1" applyAlignment="1">
      <alignment horizontal="center"/>
    </xf>
    <xf numFmtId="0" fontId="101" fillId="5" borderId="126" xfId="8" applyFont="1" applyFill="1" applyBorder="1" applyAlignment="1">
      <alignment horizontal="center"/>
    </xf>
    <xf numFmtId="0" fontId="101" fillId="5" borderId="146" xfId="8" applyFont="1" applyFill="1" applyBorder="1" applyAlignment="1">
      <alignment horizontal="center"/>
    </xf>
    <xf numFmtId="20" fontId="101" fillId="5" borderId="127" xfId="8" applyNumberFormat="1" applyFont="1" applyFill="1" applyBorder="1" applyAlignment="1">
      <alignment horizontal="center"/>
    </xf>
    <xf numFmtId="2" fontId="101" fillId="5" borderId="127" xfId="8" applyNumberFormat="1" applyFont="1" applyFill="1" applyBorder="1" applyAlignment="1">
      <alignment horizontal="center"/>
    </xf>
    <xf numFmtId="3" fontId="101" fillId="5" borderId="127" xfId="8" applyNumberFormat="1" applyFont="1" applyFill="1" applyBorder="1" applyAlignment="1">
      <alignment horizontal="center"/>
    </xf>
    <xf numFmtId="171" fontId="101" fillId="5" borderId="127" xfId="8" applyNumberFormat="1" applyFont="1" applyFill="1" applyBorder="1" applyAlignment="1">
      <alignment horizontal="center"/>
    </xf>
    <xf numFmtId="166" fontId="101" fillId="5" borderId="127" xfId="8" applyNumberFormat="1" applyFont="1" applyFill="1" applyBorder="1" applyAlignment="1">
      <alignment horizontal="center"/>
    </xf>
    <xf numFmtId="168" fontId="101" fillId="5" borderId="127" xfId="8" applyNumberFormat="1" applyFont="1" applyFill="1" applyBorder="1" applyAlignment="1">
      <alignment horizontal="center"/>
    </xf>
    <xf numFmtId="167" fontId="101" fillId="5" borderId="127" xfId="8" applyNumberFormat="1" applyFont="1" applyFill="1" applyBorder="1" applyAlignment="1">
      <alignment horizontal="center"/>
    </xf>
    <xf numFmtId="1" fontId="101" fillId="5" borderId="127" xfId="8" applyNumberFormat="1" applyFont="1" applyFill="1" applyBorder="1" applyAlignment="1">
      <alignment horizontal="center"/>
    </xf>
    <xf numFmtId="0" fontId="101" fillId="5" borderId="7" xfId="8" applyFont="1" applyFill="1" applyBorder="1" applyAlignment="1">
      <alignment horizontal="center"/>
    </xf>
    <xf numFmtId="0" fontId="10" fillId="5" borderId="0" xfId="7" applyFont="1" applyFill="1" applyAlignment="1">
      <alignment horizontal="left"/>
    </xf>
    <xf numFmtId="1" fontId="15" fillId="5" borderId="9" xfId="7" applyNumberFormat="1" applyFont="1" applyFill="1" applyBorder="1" applyAlignment="1">
      <alignment horizontal="center"/>
    </xf>
    <xf numFmtId="0" fontId="112" fillId="5" borderId="114" xfId="7" applyFont="1" applyFill="1" applyBorder="1" applyAlignment="1">
      <alignment horizontal="left"/>
    </xf>
    <xf numFmtId="0" fontId="112" fillId="5" borderId="143" xfId="7" applyFont="1" applyFill="1" applyBorder="1"/>
    <xf numFmtId="0" fontId="112" fillId="5" borderId="115" xfId="7" applyFont="1" applyFill="1" applyBorder="1"/>
    <xf numFmtId="15" fontId="112" fillId="5" borderId="115" xfId="7" applyNumberFormat="1" applyFont="1" applyFill="1" applyBorder="1" applyAlignment="1">
      <alignment horizontal="center"/>
    </xf>
    <xf numFmtId="0" fontId="112" fillId="5" borderId="116" xfId="7" applyFont="1" applyFill="1" applyBorder="1" applyAlignment="1">
      <alignment horizontal="left"/>
    </xf>
    <xf numFmtId="0" fontId="112" fillId="5" borderId="144" xfId="7" applyFont="1" applyFill="1" applyBorder="1"/>
    <xf numFmtId="1" fontId="112" fillId="5" borderId="44" xfId="7" applyNumberFormat="1" applyFont="1" applyFill="1" applyBorder="1" applyAlignment="1">
      <alignment horizontal="center"/>
    </xf>
    <xf numFmtId="0" fontId="17" fillId="5" borderId="144" xfId="7" applyFont="1" applyFill="1" applyBorder="1" applyAlignment="1">
      <alignment horizontal="centerContinuous"/>
    </xf>
    <xf numFmtId="0" fontId="11" fillId="5" borderId="144" xfId="7" applyFill="1" applyBorder="1" applyAlignment="1">
      <alignment horizontal="centerContinuous"/>
    </xf>
    <xf numFmtId="0" fontId="18" fillId="5" borderId="143" xfId="7" applyFont="1" applyFill="1" applyBorder="1" applyAlignment="1">
      <alignment horizontal="centerContinuous"/>
    </xf>
    <xf numFmtId="0" fontId="17" fillId="5" borderId="143" xfId="7" applyFont="1" applyFill="1" applyBorder="1" applyAlignment="1">
      <alignment horizontal="centerContinuous"/>
    </xf>
    <xf numFmtId="1" fontId="17" fillId="5" borderId="143" xfId="7" applyNumberFormat="1" applyFont="1" applyFill="1" applyBorder="1" applyAlignment="1">
      <alignment horizontal="centerContinuous"/>
    </xf>
    <xf numFmtId="0" fontId="17" fillId="5" borderId="0" xfId="7" applyFont="1" applyFill="1" applyAlignment="1">
      <alignment horizontal="centerContinuous"/>
    </xf>
    <xf numFmtId="172" fontId="17" fillId="5" borderId="144" xfId="7" applyNumberFormat="1" applyFont="1" applyFill="1" applyBorder="1"/>
    <xf numFmtId="0" fontId="17" fillId="5" borderId="44" xfId="7" applyFont="1" applyFill="1" applyBorder="1" applyAlignment="1">
      <alignment horizontal="left"/>
    </xf>
    <xf numFmtId="166" fontId="18" fillId="5" borderId="144" xfId="7" applyNumberFormat="1" applyFont="1" applyFill="1" applyBorder="1"/>
    <xf numFmtId="0" fontId="17" fillId="5" borderId="144" xfId="7" applyFont="1" applyFill="1" applyBorder="1"/>
    <xf numFmtId="169" fontId="112" fillId="5" borderId="44" xfId="7" applyNumberFormat="1" applyFont="1" applyFill="1" applyBorder="1" applyAlignment="1">
      <alignment horizontal="center"/>
    </xf>
    <xf numFmtId="0" fontId="18" fillId="5" borderId="0" xfId="7" applyFont="1" applyFill="1"/>
    <xf numFmtId="0" fontId="17" fillId="5" borderId="118" xfId="7" applyFont="1" applyFill="1" applyBorder="1" applyAlignment="1">
      <alignment horizontal="center"/>
    </xf>
    <xf numFmtId="0" fontId="17" fillId="5" borderId="121" xfId="7" applyFont="1" applyFill="1" applyBorder="1" applyAlignment="1">
      <alignment horizontal="centerContinuous"/>
    </xf>
    <xf numFmtId="0" fontId="17" fillId="5" borderId="122" xfId="7" applyFont="1" applyFill="1" applyBorder="1" applyAlignment="1">
      <alignment horizontal="centerContinuous"/>
    </xf>
    <xf numFmtId="0" fontId="17" fillId="5" borderId="123" xfId="7" applyFont="1" applyFill="1" applyBorder="1" applyAlignment="1">
      <alignment horizontal="centerContinuous"/>
    </xf>
    <xf numFmtId="0" fontId="16" fillId="5" borderId="118" xfId="7" applyFont="1" applyFill="1" applyBorder="1" applyAlignment="1">
      <alignment horizontal="center"/>
    </xf>
    <xf numFmtId="0" fontId="17" fillId="5" borderId="44" xfId="7" applyFont="1" applyFill="1" applyBorder="1" applyAlignment="1">
      <alignment horizontal="center"/>
    </xf>
    <xf numFmtId="0" fontId="116" fillId="5" borderId="44" xfId="7" applyFont="1" applyFill="1" applyBorder="1" applyAlignment="1">
      <alignment horizontal="center"/>
    </xf>
    <xf numFmtId="0" fontId="11" fillId="5" borderId="44" xfId="7" applyFill="1" applyBorder="1"/>
    <xf numFmtId="2" fontId="19" fillId="5" borderId="44" xfId="7" applyNumberFormat="1" applyFont="1" applyFill="1" applyBorder="1" applyAlignment="1">
      <alignment horizontal="center"/>
    </xf>
    <xf numFmtId="3" fontId="19" fillId="5" borderId="44" xfId="7" applyNumberFormat="1" applyFont="1" applyFill="1" applyBorder="1" applyAlignment="1">
      <alignment horizontal="center"/>
    </xf>
    <xf numFmtId="171" fontId="19" fillId="5" borderId="44" xfId="7" applyNumberFormat="1" applyFont="1" applyFill="1" applyBorder="1" applyAlignment="1">
      <alignment horizontal="center"/>
    </xf>
    <xf numFmtId="166" fontId="19" fillId="5" borderId="44" xfId="7" applyNumberFormat="1" applyFont="1" applyFill="1" applyBorder="1" applyAlignment="1">
      <alignment horizontal="center"/>
    </xf>
    <xf numFmtId="168" fontId="19" fillId="5" borderId="44" xfId="7" applyNumberFormat="1" applyFont="1" applyFill="1" applyBorder="1" applyAlignment="1">
      <alignment horizontal="center"/>
    </xf>
    <xf numFmtId="0" fontId="19" fillId="5" borderId="44" xfId="7" applyFont="1" applyFill="1" applyBorder="1" applyAlignment="1">
      <alignment horizontal="center"/>
    </xf>
    <xf numFmtId="0" fontId="18" fillId="5" borderId="9" xfId="7" applyFont="1" applyFill="1" applyBorder="1"/>
    <xf numFmtId="0" fontId="17" fillId="5" borderId="9" xfId="7" applyFont="1" applyFill="1" applyBorder="1"/>
    <xf numFmtId="0" fontId="11" fillId="5" borderId="9" xfId="7" applyFill="1" applyBorder="1"/>
    <xf numFmtId="168" fontId="37" fillId="5" borderId="25" xfId="7" applyNumberFormat="1" applyFont="1" applyFill="1" applyBorder="1"/>
    <xf numFmtId="168" fontId="18" fillId="5" borderId="25" xfId="7" applyNumberFormat="1" applyFont="1" applyFill="1" applyBorder="1"/>
    <xf numFmtId="0" fontId="112" fillId="5" borderId="144" xfId="7" applyFont="1" applyFill="1" applyBorder="1" applyAlignment="1">
      <alignment horizontal="center"/>
    </xf>
    <xf numFmtId="0" fontId="11" fillId="5" borderId="11" xfId="7" applyFill="1" applyBorder="1"/>
    <xf numFmtId="168" fontId="16" fillId="5" borderId="25" xfId="7" applyNumberFormat="1" applyFont="1" applyFill="1" applyBorder="1"/>
    <xf numFmtId="1" fontId="113" fillId="5" borderId="9" xfId="7" applyNumberFormat="1" applyFont="1" applyFill="1" applyBorder="1" applyAlignment="1">
      <alignment horizontal="center"/>
    </xf>
    <xf numFmtId="0" fontId="127" fillId="0" borderId="0" xfId="0" applyFont="1"/>
    <xf numFmtId="0" fontId="110" fillId="0" borderId="0" xfId="0" applyFont="1" applyAlignment="1" applyProtection="1">
      <alignment horizontal="center"/>
      <protection hidden="1"/>
    </xf>
    <xf numFmtId="0" fontId="122" fillId="0" borderId="4" xfId="0" applyFont="1" applyBorder="1"/>
    <xf numFmtId="182" fontId="1" fillId="0" borderId="0" xfId="0" applyNumberFormat="1" applyFont="1"/>
    <xf numFmtId="0" fontId="122" fillId="0" borderId="32" xfId="0" applyFont="1" applyBorder="1"/>
    <xf numFmtId="188" fontId="130" fillId="0" borderId="0" xfId="0" applyNumberFormat="1" applyFont="1"/>
    <xf numFmtId="188" fontId="130" fillId="0" borderId="9" xfId="0" applyNumberFormat="1" applyFont="1" applyBorder="1"/>
    <xf numFmtId="0" fontId="110" fillId="0" borderId="36" xfId="0" applyFont="1" applyBorder="1"/>
    <xf numFmtId="182" fontId="41" fillId="0" borderId="13" xfId="0" applyNumberFormat="1" applyFont="1" applyBorder="1" applyAlignment="1">
      <alignment horizontal="center"/>
    </xf>
    <xf numFmtId="0" fontId="131" fillId="0" borderId="4" xfId="0" applyFont="1" applyBorder="1"/>
    <xf numFmtId="0" fontId="8" fillId="0" borderId="0" xfId="0" applyFont="1" applyAlignment="1">
      <alignment horizontal="center" shrinkToFit="1"/>
    </xf>
    <xf numFmtId="0" fontId="129" fillId="0" borderId="21" xfId="0" applyFont="1" applyBorder="1"/>
    <xf numFmtId="0" fontId="129" fillId="0" borderId="4" xfId="0" applyFont="1" applyBorder="1"/>
    <xf numFmtId="0" fontId="129" fillId="0" borderId="0" xfId="0" applyFont="1"/>
    <xf numFmtId="0" fontId="129" fillId="0" borderId="5" xfId="0" applyFont="1" applyBorder="1"/>
    <xf numFmtId="0" fontId="22" fillId="0" borderId="0" xfId="0" applyFont="1"/>
    <xf numFmtId="0" fontId="22" fillId="4" borderId="42" xfId="0" applyFont="1" applyFill="1" applyBorder="1" applyAlignment="1">
      <alignment horizontal="center"/>
    </xf>
    <xf numFmtId="0" fontId="30" fillId="0" borderId="36" xfId="0" applyFont="1" applyBorder="1" applyAlignment="1">
      <alignment horizontal="left"/>
    </xf>
    <xf numFmtId="0" fontId="22" fillId="0" borderId="13" xfId="0" applyFont="1" applyBorder="1"/>
    <xf numFmtId="0" fontId="22" fillId="0" borderId="14" xfId="0" applyFont="1" applyBorder="1"/>
    <xf numFmtId="0" fontId="29" fillId="0" borderId="14" xfId="0" applyFont="1" applyBorder="1"/>
    <xf numFmtId="0" fontId="29" fillId="0" borderId="0" xfId="0" applyFont="1" applyAlignment="1">
      <alignment horizontal="left"/>
    </xf>
    <xf numFmtId="0" fontId="22" fillId="0" borderId="25" xfId="0" applyFont="1" applyBorder="1" applyAlignment="1">
      <alignment horizontal="center"/>
    </xf>
    <xf numFmtId="0" fontId="129" fillId="0" borderId="4" xfId="0" applyFont="1" applyBorder="1" applyAlignment="1">
      <alignment shrinkToFit="1"/>
    </xf>
    <xf numFmtId="0" fontId="41" fillId="4" borderId="19" xfId="0" applyFont="1" applyFill="1" applyBorder="1" applyAlignment="1">
      <alignment horizontal="center" shrinkToFit="1"/>
    </xf>
    <xf numFmtId="0" fontId="41" fillId="4" borderId="25" xfId="0" applyFont="1" applyFill="1" applyBorder="1" applyAlignment="1">
      <alignment horizontal="center"/>
    </xf>
    <xf numFmtId="0" fontId="129" fillId="0" borderId="6" xfId="0" applyFont="1" applyBorder="1" applyAlignment="1">
      <alignment shrinkToFit="1"/>
    </xf>
    <xf numFmtId="0" fontId="22" fillId="0" borderId="11" xfId="0" applyFont="1" applyBorder="1"/>
    <xf numFmtId="0" fontId="22" fillId="0" borderId="7" xfId="0" applyFont="1" applyBorder="1"/>
    <xf numFmtId="0" fontId="129" fillId="0" borderId="2" xfId="0" applyFont="1" applyBorder="1"/>
    <xf numFmtId="0" fontId="8" fillId="5" borderId="21" xfId="0" applyFont="1" applyFill="1" applyBorder="1" applyAlignment="1">
      <alignment horizontal="center"/>
    </xf>
    <xf numFmtId="0" fontId="22" fillId="0" borderId="21" xfId="0" applyFont="1" applyBorder="1"/>
    <xf numFmtId="0" fontId="22" fillId="0" borderId="3" xfId="0" applyFont="1" applyBorder="1"/>
    <xf numFmtId="0" fontId="129" fillId="0" borderId="0" xfId="0" applyFont="1" applyAlignment="1">
      <alignment horizontal="centerContinuous"/>
    </xf>
    <xf numFmtId="0" fontId="4" fillId="0" borderId="0" xfId="0" applyFont="1"/>
    <xf numFmtId="0" fontId="4" fillId="0" borderId="5" xfId="0" applyFont="1" applyBorder="1"/>
    <xf numFmtId="2" fontId="8" fillId="4" borderId="25" xfId="0" applyNumberFormat="1" applyFont="1" applyFill="1" applyBorder="1" applyAlignment="1">
      <alignment horizontal="right"/>
    </xf>
    <xf numFmtId="2" fontId="8" fillId="4" borderId="147" xfId="0" applyNumberFormat="1" applyFont="1" applyFill="1" applyBorder="1"/>
    <xf numFmtId="2" fontId="4" fillId="0" borderId="0" xfId="0" applyNumberFormat="1" applyFont="1" applyAlignment="1">
      <alignment horizontal="right"/>
    </xf>
    <xf numFmtId="0" fontId="4" fillId="0" borderId="4" xfId="0" applyFont="1" applyBorder="1"/>
    <xf numFmtId="0" fontId="22" fillId="0" borderId="0" xfId="0" applyFont="1" applyAlignment="1">
      <alignment horizontal="left"/>
    </xf>
    <xf numFmtId="0" fontId="63" fillId="0" borderId="0" xfId="0" applyFont="1" applyAlignment="1">
      <alignment horizontal="left"/>
    </xf>
    <xf numFmtId="0" fontId="132" fillId="0" borderId="0" xfId="0" applyFont="1"/>
    <xf numFmtId="0" fontId="132" fillId="0" borderId="5" xfId="0" applyFont="1" applyBorder="1"/>
    <xf numFmtId="0" fontId="133" fillId="0" borderId="4" xfId="0" applyFont="1" applyBorder="1"/>
    <xf numFmtId="0" fontId="133" fillId="0" borderId="0" xfId="0" applyFont="1"/>
    <xf numFmtId="0" fontId="129" fillId="0" borderId="6" xfId="0" applyFont="1" applyBorder="1"/>
    <xf numFmtId="0" fontId="129" fillId="0" borderId="11" xfId="0" applyFont="1" applyBorder="1"/>
    <xf numFmtId="0" fontId="45" fillId="0" borderId="21" xfId="0" applyFont="1" applyBorder="1" applyAlignment="1">
      <alignment horizontal="center"/>
    </xf>
    <xf numFmtId="0" fontId="22" fillId="4" borderId="2" xfId="0" applyFont="1" applyFill="1" applyBorder="1" applyAlignment="1">
      <alignment horizontal="right"/>
    </xf>
    <xf numFmtId="0" fontId="22" fillId="4" borderId="4" xfId="0" applyFont="1" applyFill="1" applyBorder="1" applyAlignment="1">
      <alignment horizontal="right"/>
    </xf>
    <xf numFmtId="0" fontId="8" fillId="4" borderId="0" xfId="0" applyFont="1" applyFill="1" applyAlignment="1">
      <alignment shrinkToFit="1"/>
    </xf>
    <xf numFmtId="0" fontId="22" fillId="4" borderId="0" xfId="0" applyFont="1" applyFill="1" applyAlignment="1">
      <alignment shrinkToFit="1"/>
    </xf>
    <xf numFmtId="0" fontId="22" fillId="4" borderId="5" xfId="0" applyFont="1" applyFill="1" applyBorder="1" applyAlignment="1">
      <alignment shrinkToFit="1"/>
    </xf>
    <xf numFmtId="2" fontId="8" fillId="4" borderId="0" xfId="0" applyNumberFormat="1" applyFont="1" applyFill="1" applyAlignment="1">
      <alignment horizontal="left" shrinkToFit="1"/>
    </xf>
    <xf numFmtId="0" fontId="22" fillId="4" borderId="6" xfId="0" applyFont="1" applyFill="1" applyBorder="1" applyAlignment="1">
      <alignment horizontal="right"/>
    </xf>
    <xf numFmtId="0" fontId="129" fillId="0" borderId="0" xfId="0" applyFont="1" applyAlignment="1">
      <alignment horizontal="right"/>
    </xf>
    <xf numFmtId="0" fontId="22" fillId="0" borderId="0" xfId="0" applyFont="1" applyAlignment="1">
      <alignment shrinkToFit="1"/>
    </xf>
    <xf numFmtId="0" fontId="8" fillId="0" borderId="5" xfId="0" applyFont="1" applyBorder="1" applyAlignment="1">
      <alignment horizontal="center" shrinkToFit="1"/>
    </xf>
    <xf numFmtId="0" fontId="22" fillId="0" borderId="5" xfId="0" applyFont="1" applyBorder="1" applyAlignment="1">
      <alignment shrinkToFit="1"/>
    </xf>
    <xf numFmtId="0" fontId="135" fillId="0" borderId="0" xfId="0" applyFont="1"/>
    <xf numFmtId="0" fontId="25" fillId="0" borderId="0" xfId="0" applyFont="1" applyAlignment="1">
      <alignment horizontal="left"/>
    </xf>
    <xf numFmtId="0" fontId="129" fillId="0" borderId="23" xfId="0" applyFont="1" applyBorder="1" applyAlignment="1">
      <alignment horizontal="center"/>
    </xf>
    <xf numFmtId="0" fontId="129" fillId="0" borderId="27" xfId="0" applyFont="1" applyBorder="1" applyAlignment="1">
      <alignment horizontal="center"/>
    </xf>
    <xf numFmtId="2" fontId="29" fillId="5" borderId="148" xfId="0" applyNumberFormat="1" applyFont="1" applyFill="1" applyBorder="1" applyAlignment="1">
      <alignment horizontal="left"/>
    </xf>
    <xf numFmtId="0" fontId="129" fillId="5" borderId="0" xfId="0" applyFont="1" applyFill="1"/>
    <xf numFmtId="2" fontId="29" fillId="5" borderId="149" xfId="0" applyNumberFormat="1" applyFont="1" applyFill="1" applyBorder="1" applyAlignment="1">
      <alignment horizontal="left"/>
    </xf>
    <xf numFmtId="167" fontId="1" fillId="5" borderId="25" xfId="0" applyNumberFormat="1" applyFont="1" applyFill="1" applyBorder="1" applyAlignment="1">
      <alignment shrinkToFit="1"/>
    </xf>
    <xf numFmtId="0" fontId="41" fillId="5" borderId="10" xfId="0" applyFont="1" applyFill="1" applyBorder="1" applyAlignment="1">
      <alignment horizontal="right" shrinkToFit="1"/>
    </xf>
    <xf numFmtId="0" fontId="41" fillId="5" borderId="19" xfId="0" applyFont="1" applyFill="1" applyBorder="1" applyAlignment="1">
      <alignment shrinkToFit="1"/>
    </xf>
    <xf numFmtId="0" fontId="41" fillId="10" borderId="10" xfId="0" applyFont="1" applyFill="1" applyBorder="1" applyAlignment="1">
      <alignment horizontal="right" shrinkToFit="1"/>
    </xf>
    <xf numFmtId="0" fontId="8" fillId="5" borderId="25" xfId="0" applyFont="1" applyFill="1" applyBorder="1" applyAlignment="1">
      <alignment horizontal="center"/>
    </xf>
    <xf numFmtId="0" fontId="8" fillId="5" borderId="12" xfId="0" applyFont="1" applyFill="1" applyBorder="1" applyAlignment="1">
      <alignment horizontal="centerContinuous"/>
    </xf>
    <xf numFmtId="0" fontId="8" fillId="5" borderId="10" xfId="0" applyFont="1" applyFill="1" applyBorder="1" applyAlignment="1">
      <alignment horizontal="centerContinuous"/>
    </xf>
    <xf numFmtId="0" fontId="8" fillId="5" borderId="19" xfId="0" applyFont="1" applyFill="1" applyBorder="1" applyAlignment="1">
      <alignment horizontal="centerContinuous"/>
    </xf>
    <xf numFmtId="0" fontId="1" fillId="5" borderId="0" xfId="0" applyFont="1" applyFill="1"/>
    <xf numFmtId="0" fontId="1" fillId="5" borderId="42" xfId="0" applyFont="1" applyFill="1" applyBorder="1"/>
    <xf numFmtId="0" fontId="129" fillId="5" borderId="0" xfId="0" applyFont="1" applyFill="1" applyAlignment="1">
      <alignment shrinkToFit="1"/>
    </xf>
    <xf numFmtId="2" fontId="8" fillId="5" borderId="19" xfId="0" applyNumberFormat="1" applyFont="1" applyFill="1" applyBorder="1" applyAlignment="1">
      <alignment horizontal="center"/>
    </xf>
    <xf numFmtId="0" fontId="8" fillId="5" borderId="0" xfId="0" applyFont="1" applyFill="1"/>
    <xf numFmtId="0" fontId="43" fillId="5" borderId="4" xfId="0" applyFont="1" applyFill="1" applyBorder="1"/>
    <xf numFmtId="0" fontId="43" fillId="5" borderId="0" xfId="0" applyFont="1" applyFill="1"/>
    <xf numFmtId="0" fontId="43" fillId="5" borderId="5" xfId="0" applyFont="1" applyFill="1" applyBorder="1"/>
    <xf numFmtId="0" fontId="43" fillId="5" borderId="1" xfId="0" applyFont="1" applyFill="1" applyBorder="1" applyAlignment="1">
      <alignment horizontal="right"/>
    </xf>
    <xf numFmtId="2" fontId="43" fillId="5" borderId="1" xfId="0" applyNumberFormat="1" applyFont="1" applyFill="1" applyBorder="1"/>
    <xf numFmtId="0" fontId="43" fillId="5" borderId="30" xfId="0" applyFont="1" applyFill="1" applyBorder="1" applyAlignment="1">
      <alignment horizontal="right"/>
    </xf>
    <xf numFmtId="2" fontId="43" fillId="5" borderId="20" xfId="0" applyNumberFormat="1" applyFont="1" applyFill="1" applyBorder="1"/>
    <xf numFmtId="0" fontId="43" fillId="5" borderId="14" xfId="0" applyFont="1" applyFill="1" applyBorder="1"/>
    <xf numFmtId="2" fontId="43" fillId="5" borderId="1" xfId="0" applyNumberFormat="1" applyFont="1" applyFill="1" applyBorder="1" applyAlignment="1">
      <alignment horizontal="right"/>
    </xf>
    <xf numFmtId="0" fontId="43" fillId="5" borderId="1" xfId="0" applyFont="1" applyFill="1" applyBorder="1"/>
    <xf numFmtId="0" fontId="43" fillId="5" borderId="61" xfId="0" applyFont="1" applyFill="1" applyBorder="1" applyAlignment="1">
      <alignment horizontal="center"/>
    </xf>
    <xf numFmtId="2" fontId="43" fillId="5" borderId="41" xfId="0" applyNumberFormat="1" applyFont="1" applyFill="1" applyBorder="1" applyAlignment="1">
      <alignment horizontal="right"/>
    </xf>
    <xf numFmtId="2" fontId="43" fillId="5" borderId="75" xfId="0" applyNumberFormat="1" applyFont="1" applyFill="1" applyBorder="1" applyAlignment="1">
      <alignment horizontal="right"/>
    </xf>
    <xf numFmtId="0" fontId="43" fillId="5" borderId="40" xfId="0" applyFont="1" applyFill="1" applyBorder="1" applyAlignment="1">
      <alignment horizontal="center"/>
    </xf>
    <xf numFmtId="2" fontId="43" fillId="5" borderId="28" xfId="0" applyNumberFormat="1" applyFont="1" applyFill="1" applyBorder="1" applyAlignment="1">
      <alignment horizontal="right"/>
    </xf>
    <xf numFmtId="0" fontId="43" fillId="5" borderId="64" xfId="0" applyFont="1" applyFill="1" applyBorder="1" applyAlignment="1">
      <alignment horizontal="center"/>
    </xf>
    <xf numFmtId="2" fontId="43" fillId="5" borderId="39" xfId="0" applyNumberFormat="1" applyFont="1" applyFill="1" applyBorder="1" applyAlignment="1">
      <alignment horizontal="right"/>
    </xf>
    <xf numFmtId="2" fontId="43" fillId="5" borderId="150" xfId="0" applyNumberFormat="1" applyFont="1" applyFill="1" applyBorder="1" applyAlignment="1">
      <alignment horizontal="right"/>
    </xf>
    <xf numFmtId="2" fontId="129" fillId="5" borderId="0" xfId="0" applyNumberFormat="1" applyFont="1" applyFill="1" applyAlignment="1">
      <alignment horizontal="right"/>
    </xf>
    <xf numFmtId="0" fontId="129" fillId="5" borderId="0" xfId="0" applyFont="1" applyFill="1" applyAlignment="1">
      <alignment horizontal="right"/>
    </xf>
    <xf numFmtId="2" fontId="43" fillId="5" borderId="62" xfId="0" applyNumberFormat="1" applyFont="1" applyFill="1" applyBorder="1" applyAlignment="1">
      <alignment horizontal="right"/>
    </xf>
    <xf numFmtId="2" fontId="43" fillId="5" borderId="151" xfId="0" applyNumberFormat="1" applyFont="1" applyFill="1" applyBorder="1" applyAlignment="1">
      <alignment horizontal="right"/>
    </xf>
    <xf numFmtId="1" fontId="43" fillId="5" borderId="40" xfId="0" applyNumberFormat="1" applyFont="1" applyFill="1" applyBorder="1" applyAlignment="1">
      <alignment horizontal="center"/>
    </xf>
    <xf numFmtId="2" fontId="43" fillId="5" borderId="0" xfId="0" applyNumberFormat="1" applyFont="1" applyFill="1" applyAlignment="1">
      <alignment horizontal="center"/>
    </xf>
    <xf numFmtId="2" fontId="43" fillId="5" borderId="0" xfId="0" applyNumberFormat="1" applyFont="1" applyFill="1"/>
    <xf numFmtId="0" fontId="43" fillId="5" borderId="1" xfId="0" applyFont="1" applyFill="1" applyBorder="1" applyAlignment="1">
      <alignment horizontal="center"/>
    </xf>
    <xf numFmtId="2" fontId="43" fillId="5" borderId="1" xfId="0" applyNumberFormat="1" applyFont="1" applyFill="1" applyBorder="1" applyAlignment="1">
      <alignment horizontal="center"/>
    </xf>
    <xf numFmtId="0" fontId="43" fillId="5" borderId="28" xfId="0" applyFont="1" applyFill="1" applyBorder="1" applyAlignment="1">
      <alignment horizontal="center"/>
    </xf>
    <xf numFmtId="2" fontId="43" fillId="5" borderId="40" xfId="0" applyNumberFormat="1" applyFont="1" applyFill="1" applyBorder="1" applyAlignment="1">
      <alignment horizontal="center"/>
    </xf>
    <xf numFmtId="0" fontId="43" fillId="5" borderId="28" xfId="0" applyFont="1" applyFill="1" applyBorder="1"/>
    <xf numFmtId="2" fontId="43" fillId="5" borderId="25" xfId="0" applyNumberFormat="1" applyFont="1" applyFill="1" applyBorder="1"/>
    <xf numFmtId="0" fontId="43" fillId="5" borderId="11" xfId="0" applyFont="1" applyFill="1" applyBorder="1"/>
    <xf numFmtId="0" fontId="43" fillId="5" borderId="7" xfId="0" applyFont="1" applyFill="1" applyBorder="1"/>
    <xf numFmtId="0" fontId="56" fillId="5" borderId="0" xfId="0" applyFont="1" applyFill="1"/>
    <xf numFmtId="0" fontId="29" fillId="5" borderId="0" xfId="0" applyFont="1" applyFill="1"/>
    <xf numFmtId="0" fontId="1" fillId="5" borderId="12" xfId="0" applyFont="1" applyFill="1" applyBorder="1"/>
    <xf numFmtId="0" fontId="1" fillId="5" borderId="10" xfId="0" applyFont="1" applyFill="1" applyBorder="1"/>
    <xf numFmtId="0" fontId="1" fillId="5" borderId="25" xfId="0" applyFont="1" applyFill="1" applyBorder="1" applyAlignment="1">
      <alignment horizontal="center"/>
    </xf>
    <xf numFmtId="0" fontId="8" fillId="5" borderId="12" xfId="0" applyFont="1" applyFill="1" applyBorder="1"/>
    <xf numFmtId="0" fontId="8" fillId="5" borderId="10" xfId="0" applyFont="1" applyFill="1" applyBorder="1"/>
    <xf numFmtId="0" fontId="8" fillId="5" borderId="19" xfId="0" applyFont="1" applyFill="1" applyBorder="1"/>
    <xf numFmtId="0" fontId="129" fillId="5" borderId="1" xfId="0" applyFont="1" applyFill="1" applyBorder="1"/>
    <xf numFmtId="167" fontId="129" fillId="5" borderId="1" xfId="0" applyNumberFormat="1" applyFont="1" applyFill="1" applyBorder="1"/>
    <xf numFmtId="0" fontId="129" fillId="5" borderId="36" xfId="0" applyFont="1" applyFill="1" applyBorder="1"/>
    <xf numFmtId="0" fontId="129" fillId="5" borderId="13" xfId="0" applyFont="1" applyFill="1" applyBorder="1"/>
    <xf numFmtId="0" fontId="129" fillId="5" borderId="14" xfId="0" applyFont="1" applyFill="1" applyBorder="1"/>
    <xf numFmtId="0" fontId="129" fillId="5" borderId="17" xfId="0" applyFont="1" applyFill="1" applyBorder="1"/>
    <xf numFmtId="0" fontId="129" fillId="5" borderId="9" xfId="0" applyFont="1" applyFill="1" applyBorder="1"/>
    <xf numFmtId="0" fontId="129" fillId="5" borderId="18" xfId="0" applyFont="1" applyFill="1" applyBorder="1"/>
    <xf numFmtId="0" fontId="22" fillId="5" borderId="4" xfId="0" applyFont="1" applyFill="1" applyBorder="1"/>
    <xf numFmtId="0" fontId="22" fillId="5" borderId="0" xfId="0" applyFont="1" applyFill="1"/>
    <xf numFmtId="0" fontId="22" fillId="5" borderId="5" xfId="0" applyFont="1" applyFill="1" applyBorder="1"/>
    <xf numFmtId="0" fontId="40" fillId="5" borderId="0" xfId="0" applyFont="1" applyFill="1"/>
    <xf numFmtId="0" fontId="57" fillId="5" borderId="0" xfId="0" applyFont="1" applyFill="1"/>
    <xf numFmtId="0" fontId="22" fillId="5" borderId="19" xfId="0" applyFont="1" applyFill="1" applyBorder="1"/>
    <xf numFmtId="0" fontId="43" fillId="5" borderId="10" xfId="0" applyFont="1" applyFill="1" applyBorder="1" applyAlignment="1">
      <alignment horizontal="center"/>
    </xf>
    <xf numFmtId="0" fontId="8" fillId="5" borderId="1" xfId="0" applyFont="1" applyFill="1" applyBorder="1" applyAlignment="1">
      <alignment horizontal="center"/>
    </xf>
    <xf numFmtId="0" fontId="8" fillId="5" borderId="1" xfId="0" applyFont="1" applyFill="1" applyBorder="1" applyAlignment="1">
      <alignment horizontal="justify" vertical="justify"/>
    </xf>
    <xf numFmtId="0" fontId="8" fillId="5" borderId="1" xfId="0" applyFont="1" applyFill="1" applyBorder="1" applyAlignment="1">
      <alignment horizontal="center" vertical="justify"/>
    </xf>
    <xf numFmtId="0" fontId="8" fillId="5" borderId="1" xfId="0" applyFont="1" applyFill="1" applyBorder="1" applyAlignment="1">
      <alignment vertical="justify"/>
    </xf>
    <xf numFmtId="20" fontId="129" fillId="5" borderId="1" xfId="0" applyNumberFormat="1" applyFont="1" applyFill="1" applyBorder="1"/>
    <xf numFmtId="2" fontId="7" fillId="5" borderId="1" xfId="0" applyNumberFormat="1" applyFont="1" applyFill="1" applyBorder="1" applyAlignment="1">
      <alignment horizontal="center"/>
    </xf>
    <xf numFmtId="2" fontId="129" fillId="5" borderId="1" xfId="0" applyNumberFormat="1" applyFont="1" applyFill="1" applyBorder="1"/>
    <xf numFmtId="0" fontId="129" fillId="5" borderId="1" xfId="0" applyFont="1" applyFill="1" applyBorder="1" applyAlignment="1">
      <alignment horizontal="center"/>
    </xf>
    <xf numFmtId="0" fontId="129" fillId="5" borderId="1" xfId="0" applyFont="1" applyFill="1" applyBorder="1" applyAlignment="1">
      <alignment shrinkToFit="1"/>
    </xf>
    <xf numFmtId="0" fontId="41" fillId="5" borderId="12" xfId="0" applyFont="1" applyFill="1" applyBorder="1"/>
    <xf numFmtId="0" fontId="129" fillId="5" borderId="15" xfId="0" applyFont="1" applyFill="1" applyBorder="1"/>
    <xf numFmtId="0" fontId="129" fillId="5" borderId="16" xfId="0" applyFont="1" applyFill="1" applyBorder="1"/>
    <xf numFmtId="0" fontId="1" fillId="0" borderId="73" xfId="0" applyFont="1" applyBorder="1" applyAlignment="1">
      <alignment horizontal="left" shrinkToFit="1"/>
    </xf>
    <xf numFmtId="0" fontId="1" fillId="0" borderId="22" xfId="0" applyFont="1" applyBorder="1" applyAlignment="1">
      <alignment horizontal="left" shrinkToFit="1"/>
    </xf>
    <xf numFmtId="0" fontId="4" fillId="5" borderId="21" xfId="0" applyFont="1" applyFill="1" applyBorder="1" applyAlignment="1">
      <alignment shrinkToFit="1"/>
    </xf>
    <xf numFmtId="0" fontId="4" fillId="5" borderId="3" xfId="0" applyFont="1" applyFill="1" applyBorder="1" applyAlignment="1">
      <alignment shrinkToFit="1"/>
    </xf>
    <xf numFmtId="0" fontId="4" fillId="5" borderId="0" xfId="0" applyFont="1" applyFill="1" applyAlignment="1">
      <alignment shrinkToFit="1"/>
    </xf>
    <xf numFmtId="0" fontId="4" fillId="5" borderId="5" xfId="0" applyFont="1" applyFill="1" applyBorder="1" applyAlignment="1">
      <alignment shrinkToFit="1"/>
    </xf>
    <xf numFmtId="0" fontId="129" fillId="5" borderId="5" xfId="0" applyFont="1" applyFill="1" applyBorder="1" applyAlignment="1">
      <alignment shrinkToFit="1"/>
    </xf>
    <xf numFmtId="0" fontId="5" fillId="5" borderId="0" xfId="0" applyFont="1" applyFill="1" applyAlignment="1">
      <alignment shrinkToFit="1"/>
    </xf>
    <xf numFmtId="0" fontId="7" fillId="5" borderId="0" xfId="0" applyFont="1" applyFill="1" applyAlignment="1">
      <alignment horizontal="right" shrinkToFit="1"/>
    </xf>
    <xf numFmtId="0" fontId="129" fillId="5" borderId="9" xfId="0" applyFont="1" applyFill="1" applyBorder="1" applyAlignment="1">
      <alignment horizontal="center" shrinkToFit="1"/>
    </xf>
    <xf numFmtId="0" fontId="3" fillId="5" borderId="0" xfId="0" applyFont="1" applyFill="1" applyAlignment="1">
      <alignment horizontal="right" shrinkToFit="1"/>
    </xf>
    <xf numFmtId="0" fontId="8" fillId="5" borderId="25" xfId="0" applyFont="1" applyFill="1" applyBorder="1" applyAlignment="1">
      <alignment horizontal="center" shrinkToFit="1"/>
    </xf>
    <xf numFmtId="0" fontId="3" fillId="5" borderId="0" xfId="0" applyFont="1" applyFill="1" applyAlignment="1">
      <alignment horizontal="justify" shrinkToFit="1"/>
    </xf>
    <xf numFmtId="15" fontId="8" fillId="5" borderId="25" xfId="0" applyNumberFormat="1" applyFont="1" applyFill="1" applyBorder="1" applyAlignment="1">
      <alignment horizontal="center" shrinkToFit="1"/>
    </xf>
    <xf numFmtId="0" fontId="2" fillId="5" borderId="0" xfId="0" applyFont="1" applyFill="1" applyAlignment="1">
      <alignment horizontal="right" shrinkToFit="1"/>
    </xf>
    <xf numFmtId="0" fontId="3" fillId="5" borderId="27" xfId="0" applyFont="1" applyFill="1" applyBorder="1" applyAlignment="1">
      <alignment horizontal="center" shrinkToFit="1"/>
    </xf>
    <xf numFmtId="0" fontId="8" fillId="5" borderId="0" xfId="0" applyFont="1" applyFill="1" applyAlignment="1">
      <alignment horizontal="center" shrinkToFit="1"/>
    </xf>
    <xf numFmtId="0" fontId="129" fillId="5" borderId="5" xfId="0" applyFont="1" applyFill="1" applyBorder="1" applyAlignment="1">
      <alignment horizontal="center" shrinkToFit="1"/>
    </xf>
    <xf numFmtId="0" fontId="6" fillId="5" borderId="1" xfId="0" applyFont="1" applyFill="1" applyBorder="1" applyAlignment="1">
      <alignment horizontal="center" shrinkToFit="1"/>
    </xf>
    <xf numFmtId="0" fontId="6" fillId="5" borderId="28" xfId="0" applyFont="1" applyFill="1" applyBorder="1" applyAlignment="1">
      <alignment horizontal="center" shrinkToFit="1"/>
    </xf>
    <xf numFmtId="164" fontId="29" fillId="5" borderId="1" xfId="0" applyNumberFormat="1" applyFont="1" applyFill="1" applyBorder="1" applyAlignment="1">
      <alignment shrinkToFit="1"/>
    </xf>
    <xf numFmtId="164" fontId="29" fillId="5" borderId="28" xfId="0" applyNumberFormat="1" applyFont="1" applyFill="1" applyBorder="1" applyAlignment="1">
      <alignment shrinkToFit="1"/>
    </xf>
    <xf numFmtId="0" fontId="29" fillId="5" borderId="0" xfId="0" applyFont="1" applyFill="1" applyAlignment="1">
      <alignment horizontal="right" shrinkToFit="1"/>
    </xf>
    <xf numFmtId="0" fontId="29" fillId="5" borderId="1" xfId="0" applyFont="1" applyFill="1" applyBorder="1" applyAlignment="1">
      <alignment horizontal="right" shrinkToFit="1"/>
    </xf>
    <xf numFmtId="0" fontId="29" fillId="5" borderId="0" xfId="0" applyFont="1" applyFill="1" applyAlignment="1">
      <alignment shrinkToFit="1"/>
    </xf>
    <xf numFmtId="164" fontId="29" fillId="5" borderId="0" xfId="0" applyNumberFormat="1" applyFont="1" applyFill="1" applyAlignment="1">
      <alignment shrinkToFit="1"/>
    </xf>
    <xf numFmtId="164" fontId="29" fillId="5" borderId="5" xfId="0" applyNumberFormat="1" applyFont="1" applyFill="1" applyBorder="1" applyAlignment="1">
      <alignment shrinkToFit="1"/>
    </xf>
    <xf numFmtId="0" fontId="29" fillId="5" borderId="5" xfId="0" applyFont="1" applyFill="1" applyBorder="1" applyAlignment="1">
      <alignment shrinkToFit="1"/>
    </xf>
    <xf numFmtId="0" fontId="29" fillId="5" borderId="11" xfId="0" applyFont="1" applyFill="1" applyBorder="1" applyAlignment="1">
      <alignment horizontal="right" shrinkToFit="1"/>
    </xf>
    <xf numFmtId="176" fontId="29" fillId="5" borderId="11" xfId="0" applyNumberFormat="1" applyFont="1" applyFill="1" applyBorder="1" applyAlignment="1">
      <alignment shrinkToFit="1"/>
    </xf>
    <xf numFmtId="0" fontId="29" fillId="5" borderId="7" xfId="0" applyFont="1" applyFill="1" applyBorder="1" applyAlignment="1">
      <alignment shrinkToFit="1"/>
    </xf>
    <xf numFmtId="0" fontId="29" fillId="5" borderId="21" xfId="0" applyFont="1" applyFill="1" applyBorder="1" applyAlignment="1">
      <alignment shrinkToFit="1"/>
    </xf>
    <xf numFmtId="0" fontId="29" fillId="5" borderId="21" xfId="0" applyFont="1" applyFill="1" applyBorder="1" applyAlignment="1">
      <alignment horizontal="right" shrinkToFit="1"/>
    </xf>
    <xf numFmtId="176" fontId="29" fillId="5" borderId="21" xfId="0" applyNumberFormat="1" applyFont="1" applyFill="1" applyBorder="1" applyAlignment="1">
      <alignment shrinkToFit="1"/>
    </xf>
    <xf numFmtId="0" fontId="29" fillId="5" borderId="3" xfId="0" applyFont="1" applyFill="1" applyBorder="1" applyAlignment="1">
      <alignment shrinkToFit="1"/>
    </xf>
    <xf numFmtId="176" fontId="29" fillId="5" borderId="0" xfId="0" applyNumberFormat="1" applyFont="1" applyFill="1" applyAlignment="1">
      <alignment shrinkToFit="1"/>
    </xf>
    <xf numFmtId="0" fontId="129" fillId="5" borderId="0" xfId="0" applyFont="1" applyFill="1" applyAlignment="1">
      <alignment horizontal="center" shrinkToFit="1"/>
    </xf>
    <xf numFmtId="0" fontId="29" fillId="5" borderId="0" xfId="0" applyFont="1" applyFill="1" applyAlignment="1">
      <alignment horizontal="left" shrinkToFit="1"/>
    </xf>
    <xf numFmtId="0" fontId="1" fillId="5" borderId="0" xfId="0" applyFont="1" applyFill="1" applyAlignment="1">
      <alignment shrinkToFit="1"/>
    </xf>
    <xf numFmtId="0" fontId="138" fillId="0" borderId="59" xfId="0" applyFont="1" applyBorder="1"/>
    <xf numFmtId="0" fontId="138" fillId="0" borderId="0" xfId="0" applyFont="1"/>
    <xf numFmtId="0" fontId="8" fillId="0" borderId="1" xfId="0" applyFont="1" applyBorder="1" applyAlignment="1">
      <alignment shrinkToFit="1"/>
    </xf>
    <xf numFmtId="0" fontId="108" fillId="0" borderId="2" xfId="0" applyFont="1" applyBorder="1" applyAlignment="1">
      <alignment horizontal="left"/>
    </xf>
    <xf numFmtId="0" fontId="118" fillId="0" borderId="0" xfId="0" applyFont="1"/>
    <xf numFmtId="0" fontId="24" fillId="0" borderId="30" xfId="0" applyFont="1" applyBorder="1" applyAlignment="1">
      <alignment horizontal="center"/>
    </xf>
    <xf numFmtId="0" fontId="40" fillId="0" borderId="1" xfId="0" applyFont="1" applyBorder="1" applyAlignment="1">
      <alignment horizontal="center" shrinkToFit="1"/>
    </xf>
    <xf numFmtId="0" fontId="29" fillId="2" borderId="41" xfId="0" applyFont="1" applyFill="1" applyBorder="1" applyAlignment="1">
      <alignment horizontal="center"/>
    </xf>
    <xf numFmtId="0" fontId="29" fillId="0" borderId="152" xfId="0" applyFont="1" applyBorder="1" applyAlignment="1">
      <alignment horizontal="center"/>
    </xf>
    <xf numFmtId="0" fontId="29" fillId="0" borderId="56" xfId="0" applyFont="1" applyBorder="1" applyAlignment="1">
      <alignment horizontal="center"/>
    </xf>
    <xf numFmtId="0" fontId="110" fillId="0" borderId="4" xfId="0" applyFont="1" applyBorder="1"/>
    <xf numFmtId="0" fontId="137" fillId="0" borderId="4" xfId="0" applyFont="1" applyBorder="1"/>
    <xf numFmtId="179" fontId="0" fillId="0" borderId="0" xfId="0" applyNumberFormat="1"/>
    <xf numFmtId="177" fontId="139" fillId="6" borderId="119" xfId="7" applyNumberFormat="1" applyFont="1" applyFill="1" applyBorder="1" applyAlignment="1" applyProtection="1">
      <alignment horizontal="center"/>
      <protection locked="0"/>
    </xf>
    <xf numFmtId="177" fontId="139" fillId="5" borderId="119" xfId="7" applyNumberFormat="1" applyFont="1" applyFill="1" applyBorder="1" applyAlignment="1" applyProtection="1">
      <alignment horizontal="center"/>
      <protection locked="0"/>
    </xf>
    <xf numFmtId="0" fontId="25" fillId="5" borderId="0" xfId="0" applyFont="1" applyFill="1"/>
    <xf numFmtId="0" fontId="8" fillId="0" borderId="9" xfId="0" applyFont="1" applyBorder="1" applyAlignment="1">
      <alignment horizontal="center" shrinkToFit="1"/>
    </xf>
    <xf numFmtId="0" fontId="0" fillId="0" borderId="4" xfId="0" applyBorder="1" applyAlignment="1">
      <alignment shrinkToFit="1"/>
    </xf>
    <xf numFmtId="0" fontId="0" fillId="0" borderId="0" xfId="0" applyAlignment="1">
      <alignment shrinkToFit="1"/>
    </xf>
    <xf numFmtId="0" fontId="0" fillId="0" borderId="5" xfId="0" applyBorder="1" applyAlignment="1">
      <alignment shrinkToFit="1"/>
    </xf>
    <xf numFmtId="0" fontId="0" fillId="0" borderId="9" xfId="0" applyBorder="1" applyAlignment="1">
      <alignment shrinkToFit="1"/>
    </xf>
    <xf numFmtId="0" fontId="0" fillId="0" borderId="33" xfId="0" applyBorder="1" applyAlignment="1">
      <alignment shrinkToFit="1"/>
    </xf>
    <xf numFmtId="0" fontId="0" fillId="0" borderId="32" xfId="0" applyBorder="1" applyAlignment="1">
      <alignment shrinkToFit="1"/>
    </xf>
    <xf numFmtId="0" fontId="0" fillId="0" borderId="6" xfId="0" applyBorder="1" applyAlignment="1">
      <alignment shrinkToFit="1"/>
    </xf>
    <xf numFmtId="0" fontId="0" fillId="0" borderId="11" xfId="0" applyBorder="1" applyAlignment="1">
      <alignment shrinkToFit="1"/>
    </xf>
    <xf numFmtId="0" fontId="0" fillId="0" borderId="7" xfId="0" applyBorder="1" applyAlignment="1">
      <alignment shrinkToFit="1"/>
    </xf>
    <xf numFmtId="0" fontId="8" fillId="0" borderId="1" xfId="0" applyFont="1" applyBorder="1" applyAlignment="1">
      <alignment horizontal="center" shrinkToFit="1"/>
    </xf>
    <xf numFmtId="0" fontId="39" fillId="0" borderId="1" xfId="0" applyFont="1" applyBorder="1" applyAlignment="1">
      <alignment horizontal="center" shrinkToFit="1"/>
    </xf>
    <xf numFmtId="0" fontId="39" fillId="0" borderId="1" xfId="0" applyFont="1" applyBorder="1" applyAlignment="1">
      <alignment horizontal="center"/>
    </xf>
    <xf numFmtId="0" fontId="39" fillId="0" borderId="0" xfId="0" applyFont="1" applyAlignment="1">
      <alignment horizontal="center" shrinkToFit="1"/>
    </xf>
    <xf numFmtId="0" fontId="39" fillId="0" borderId="0" xfId="0" applyFont="1" applyAlignment="1">
      <alignment horizontal="center"/>
    </xf>
    <xf numFmtId="0" fontId="34" fillId="0" borderId="0" xfId="4" applyBorder="1" applyAlignment="1" applyProtection="1"/>
    <xf numFmtId="0" fontId="142" fillId="0" borderId="0" xfId="4" applyFont="1" applyBorder="1" applyAlignment="1" applyProtection="1">
      <alignment horizontal="center"/>
    </xf>
    <xf numFmtId="0" fontId="77" fillId="0" borderId="0" xfId="0" applyFont="1" applyAlignment="1">
      <alignment horizontal="center"/>
    </xf>
    <xf numFmtId="0" fontId="108" fillId="0" borderId="25" xfId="0" applyFont="1" applyBorder="1" applyAlignment="1">
      <alignment horizontal="center"/>
    </xf>
    <xf numFmtId="0" fontId="108" fillId="0" borderId="62" xfId="0" applyFont="1" applyBorder="1" applyAlignment="1">
      <alignment horizontal="center"/>
    </xf>
    <xf numFmtId="0" fontId="108" fillId="0" borderId="1" xfId="0" applyFont="1" applyBorder="1" applyAlignment="1">
      <alignment horizontal="center"/>
    </xf>
    <xf numFmtId="0" fontId="136" fillId="0" borderId="0" xfId="0" applyFont="1"/>
    <xf numFmtId="0" fontId="0" fillId="0" borderId="2" xfId="0" applyBorder="1" applyAlignment="1">
      <alignment horizontal="center"/>
    </xf>
    <xf numFmtId="0" fontId="0" fillId="0" borderId="54" xfId="0" applyBorder="1" applyAlignment="1">
      <alignment horizontal="center"/>
    </xf>
    <xf numFmtId="0" fontId="0" fillId="0" borderId="1" xfId="0" applyBorder="1" applyAlignment="1">
      <alignment horizontal="center"/>
    </xf>
    <xf numFmtId="175" fontId="71" fillId="4" borderId="112" xfId="0" applyNumberFormat="1" applyFont="1" applyFill="1" applyBorder="1" applyAlignment="1">
      <alignment horizontal="center"/>
    </xf>
    <xf numFmtId="175" fontId="71" fillId="4" borderId="8" xfId="0" applyNumberFormat="1" applyFont="1" applyFill="1" applyBorder="1" applyAlignment="1">
      <alignment horizontal="center"/>
    </xf>
    <xf numFmtId="175" fontId="71" fillId="4" borderId="31" xfId="0" applyNumberFormat="1" applyFont="1" applyFill="1" applyBorder="1" applyAlignment="1">
      <alignment horizontal="center"/>
    </xf>
    <xf numFmtId="0" fontId="5" fillId="5" borderId="0" xfId="0" applyFont="1" applyFill="1" applyAlignment="1">
      <alignment horizontal="center" shrinkToFit="1"/>
    </xf>
    <xf numFmtId="0" fontId="1" fillId="5" borderId="0" xfId="0" applyFont="1" applyFill="1" applyAlignment="1">
      <alignment horizontal="center" shrinkToFit="1"/>
    </xf>
    <xf numFmtId="0" fontId="1" fillId="5" borderId="21" xfId="0" applyFont="1" applyFill="1" applyBorder="1" applyAlignment="1">
      <alignment shrinkToFit="1"/>
    </xf>
    <xf numFmtId="0" fontId="1" fillId="5" borderId="20" xfId="0" applyFont="1" applyFill="1" applyBorder="1" applyAlignment="1">
      <alignment horizontal="center" shrinkToFit="1"/>
    </xf>
    <xf numFmtId="0" fontId="1" fillId="5" borderId="21" xfId="0" applyFont="1" applyFill="1" applyBorder="1" applyAlignment="1">
      <alignment horizontal="center" shrinkToFit="1"/>
    </xf>
    <xf numFmtId="0" fontId="29" fillId="0" borderId="35" xfId="0" applyFont="1" applyBorder="1"/>
    <xf numFmtId="0" fontId="30" fillId="0" borderId="36" xfId="0" applyFont="1" applyBorder="1"/>
    <xf numFmtId="0" fontId="63" fillId="0" borderId="0" xfId="0" applyFont="1"/>
    <xf numFmtId="0" fontId="63" fillId="0" borderId="32" xfId="0" applyFont="1" applyBorder="1" applyAlignment="1">
      <alignment horizontal="left"/>
    </xf>
    <xf numFmtId="0" fontId="0" fillId="0" borderId="6" xfId="0" applyBorder="1" applyAlignment="1">
      <alignment horizontal="center"/>
    </xf>
    <xf numFmtId="182" fontId="8" fillId="0" borderId="9" xfId="0" applyNumberFormat="1" applyFont="1" applyBorder="1" applyAlignment="1">
      <alignment horizontal="center"/>
    </xf>
    <xf numFmtId="0" fontId="8" fillId="0" borderId="14" xfId="0" applyFont="1" applyBorder="1" applyAlignment="1">
      <alignment horizontal="left"/>
    </xf>
    <xf numFmtId="0" fontId="142" fillId="0" borderId="1" xfId="4" applyFont="1" applyBorder="1" applyAlignment="1" applyProtection="1">
      <alignment horizontal="center"/>
    </xf>
    <xf numFmtId="0" fontId="0" fillId="0" borderId="49" xfId="0" applyBorder="1" applyAlignment="1">
      <alignment horizontal="center"/>
    </xf>
    <xf numFmtId="176" fontId="40" fillId="0" borderId="49" xfId="0" applyNumberFormat="1" applyFont="1" applyBorder="1"/>
    <xf numFmtId="176" fontId="40" fillId="0" borderId="54" xfId="0" applyNumberFormat="1" applyFont="1" applyBorder="1"/>
    <xf numFmtId="4" fontId="52" fillId="0" borderId="21" xfId="0" applyNumberFormat="1" applyFont="1" applyBorder="1"/>
    <xf numFmtId="0" fontId="40" fillId="0" borderId="21" xfId="0" applyFont="1" applyBorder="1" applyAlignment="1">
      <alignment horizontal="center"/>
    </xf>
    <xf numFmtId="177" fontId="8" fillId="0" borderId="4" xfId="4" applyNumberFormat="1" applyFont="1" applyBorder="1" applyAlignment="1" applyProtection="1"/>
    <xf numFmtId="0" fontId="4" fillId="0" borderId="30" xfId="0" applyFont="1" applyBorder="1"/>
    <xf numFmtId="0" fontId="4" fillId="0" borderId="8" xfId="0" applyFont="1" applyBorder="1"/>
    <xf numFmtId="0" fontId="4" fillId="0" borderId="20" xfId="0" applyFont="1" applyBorder="1"/>
    <xf numFmtId="0" fontId="0" fillId="0" borderId="21" xfId="0" applyBorder="1" applyAlignment="1">
      <alignment horizontal="center"/>
    </xf>
    <xf numFmtId="0" fontId="0" fillId="0" borderId="3" xfId="0" applyBorder="1" applyAlignment="1">
      <alignment horizontal="center"/>
    </xf>
    <xf numFmtId="0" fontId="0" fillId="0" borderId="8" xfId="0" applyBorder="1" applyAlignment="1">
      <alignment horizontal="center"/>
    </xf>
    <xf numFmtId="0" fontId="0" fillId="0" borderId="3" xfId="0" applyBorder="1" applyAlignment="1">
      <alignment horizontal="left"/>
    </xf>
    <xf numFmtId="0" fontId="0" fillId="0" borderId="11" xfId="0" applyBorder="1" applyAlignment="1">
      <alignment horizontal="center"/>
    </xf>
    <xf numFmtId="0" fontId="0" fillId="0" borderId="0" xfId="0" applyAlignment="1">
      <alignment wrapText="1"/>
    </xf>
    <xf numFmtId="0" fontId="0" fillId="0" borderId="9" xfId="0" applyBorder="1" applyAlignment="1">
      <alignment horizontal="center"/>
    </xf>
    <xf numFmtId="0" fontId="8" fillId="5" borderId="15" xfId="0" applyFont="1" applyFill="1" applyBorder="1"/>
    <xf numFmtId="0" fontId="8" fillId="5" borderId="16" xfId="0" applyFont="1" applyFill="1" applyBorder="1"/>
    <xf numFmtId="0" fontId="8" fillId="5" borderId="0" xfId="0" applyFont="1" applyFill="1" applyAlignment="1">
      <alignment horizontal="right"/>
    </xf>
    <xf numFmtId="0" fontId="33" fillId="5" borderId="15" xfId="0" applyFont="1" applyFill="1" applyBorder="1"/>
    <xf numFmtId="0" fontId="33" fillId="5" borderId="0" xfId="0" applyFont="1" applyFill="1"/>
    <xf numFmtId="0" fontId="28" fillId="5" borderId="15" xfId="0" applyFont="1" applyFill="1" applyBorder="1"/>
    <xf numFmtId="0" fontId="28" fillId="5" borderId="0" xfId="0" applyFont="1" applyFill="1"/>
    <xf numFmtId="49" fontId="8" fillId="5" borderId="0" xfId="0" applyNumberFormat="1" applyFont="1" applyFill="1"/>
    <xf numFmtId="0" fontId="8" fillId="5" borderId="17" xfId="0" applyFont="1" applyFill="1" applyBorder="1"/>
    <xf numFmtId="0" fontId="8" fillId="5" borderId="9" xfId="0" applyFont="1" applyFill="1" applyBorder="1"/>
    <xf numFmtId="0" fontId="8" fillId="5" borderId="18" xfId="0" applyFont="1" applyFill="1" applyBorder="1"/>
    <xf numFmtId="15" fontId="40" fillId="0" borderId="25" xfId="0" applyNumberFormat="1" applyFont="1" applyBorder="1" applyAlignment="1">
      <alignment horizontal="center" shrinkToFit="1"/>
    </xf>
    <xf numFmtId="0" fontId="40" fillId="0" borderId="25" xfId="0" applyFont="1" applyBorder="1" applyAlignment="1">
      <alignment horizontal="center" shrinkToFit="1"/>
    </xf>
    <xf numFmtId="0" fontId="8" fillId="0" borderId="2" xfId="0" applyFont="1" applyBorder="1" applyAlignment="1">
      <alignment horizontal="center"/>
    </xf>
    <xf numFmtId="0" fontId="0" fillId="0" borderId="112" xfId="0" applyBorder="1" applyAlignment="1">
      <alignment horizontal="center"/>
    </xf>
    <xf numFmtId="0" fontId="8" fillId="0" borderId="25" xfId="0" applyFont="1" applyBorder="1" applyAlignment="1">
      <alignment horizontal="center" wrapText="1"/>
    </xf>
    <xf numFmtId="0" fontId="8" fillId="0" borderId="10" xfId="0" applyFont="1" applyBorder="1" applyAlignment="1">
      <alignment horizontal="center" wrapText="1"/>
    </xf>
    <xf numFmtId="0" fontId="0" fillId="0" borderId="23" xfId="0" applyBorder="1" applyAlignment="1">
      <alignment horizontal="center"/>
    </xf>
    <xf numFmtId="0" fontId="0" fillId="0" borderId="153" xfId="0" applyBorder="1" applyAlignment="1">
      <alignment horizontal="center"/>
    </xf>
    <xf numFmtId="0" fontId="0" fillId="0" borderId="27" xfId="0" applyBorder="1" applyAlignment="1">
      <alignment horizontal="center"/>
    </xf>
    <xf numFmtId="9" fontId="0" fillId="0" borderId="22" xfId="0" applyNumberFormat="1" applyBorder="1" applyAlignment="1">
      <alignment horizontal="center"/>
    </xf>
    <xf numFmtId="0" fontId="0" fillId="0" borderId="2" xfId="0" applyBorder="1" applyAlignment="1">
      <alignment horizontal="left"/>
    </xf>
    <xf numFmtId="9" fontId="0" fillId="0" borderId="23" xfId="0" applyNumberFormat="1" applyBorder="1" applyAlignment="1">
      <alignment horizontal="center"/>
    </xf>
    <xf numFmtId="0" fontId="8" fillId="0" borderId="33" xfId="0" applyFont="1" applyBorder="1"/>
    <xf numFmtId="190" fontId="0" fillId="0" borderId="9" xfId="0" applyNumberFormat="1" applyBorder="1" applyAlignment="1">
      <alignment horizontal="center"/>
    </xf>
    <xf numFmtId="0" fontId="8" fillId="0" borderId="11" xfId="0" applyFont="1" applyBorder="1" applyAlignment="1">
      <alignment shrinkToFit="1"/>
    </xf>
    <xf numFmtId="0" fontId="8" fillId="0" borderId="7" xfId="0" applyFont="1" applyBorder="1" applyAlignment="1">
      <alignment shrinkToFit="1"/>
    </xf>
    <xf numFmtId="0" fontId="4" fillId="0" borderId="0" xfId="0" applyFont="1" applyAlignment="1">
      <alignment horizontal="right"/>
    </xf>
    <xf numFmtId="3" fontId="52" fillId="0" borderId="56" xfId="0" applyNumberFormat="1" applyFont="1" applyBorder="1"/>
    <xf numFmtId="166" fontId="93" fillId="2" borderId="96" xfId="6" applyNumberFormat="1" applyFont="1" applyFill="1" applyBorder="1" applyAlignment="1">
      <alignment shrinkToFit="1"/>
    </xf>
    <xf numFmtId="2" fontId="29" fillId="0" borderId="27" xfId="0" applyNumberFormat="1" applyFont="1" applyBorder="1" applyAlignment="1">
      <alignment horizontal="right"/>
    </xf>
    <xf numFmtId="191" fontId="148" fillId="0" borderId="0" xfId="9" applyFont="1"/>
    <xf numFmtId="191" fontId="150" fillId="5" borderId="0" xfId="9" applyFont="1" applyFill="1" applyBorder="1" applyAlignment="1">
      <alignment horizontal="centerContinuous" vertical="top"/>
    </xf>
    <xf numFmtId="191" fontId="151" fillId="5" borderId="0" xfId="9" quotePrefix="1" applyFont="1" applyFill="1" applyBorder="1" applyAlignment="1">
      <alignment horizontal="centerContinuous"/>
    </xf>
    <xf numFmtId="191" fontId="152" fillId="5" borderId="0" xfId="9" applyFont="1" applyFill="1" applyBorder="1" applyAlignment="1">
      <alignment horizontal="centerContinuous"/>
    </xf>
    <xf numFmtId="191" fontId="148" fillId="5" borderId="0" xfId="9" applyFont="1" applyFill="1" applyBorder="1" applyAlignment="1">
      <alignment horizontal="centerContinuous"/>
    </xf>
    <xf numFmtId="191" fontId="148" fillId="5" borderId="9" xfId="9" applyFont="1" applyFill="1" applyBorder="1" applyAlignment="1">
      <alignment horizontal="centerContinuous"/>
    </xf>
    <xf numFmtId="191" fontId="154" fillId="5" borderId="1" xfId="9" applyFont="1" applyFill="1" applyBorder="1" applyAlignment="1" applyProtection="1">
      <alignment horizontal="left" vertical="center"/>
      <protection locked="0"/>
    </xf>
    <xf numFmtId="191" fontId="153" fillId="5" borderId="30" xfId="9" applyFont="1" applyFill="1" applyBorder="1" applyAlignment="1" applyProtection="1">
      <alignment horizontal="left" vertical="center"/>
      <protection locked="0"/>
    </xf>
    <xf numFmtId="191" fontId="153" fillId="5" borderId="20" xfId="9" quotePrefix="1" applyFont="1" applyFill="1" applyBorder="1" applyAlignment="1">
      <alignment horizontal="right" vertical="center"/>
    </xf>
    <xf numFmtId="0" fontId="154" fillId="5" borderId="1" xfId="9" applyNumberFormat="1" applyFont="1" applyFill="1" applyBorder="1" applyAlignment="1" applyProtection="1">
      <alignment horizontal="center" vertical="center"/>
      <protection locked="0"/>
    </xf>
    <xf numFmtId="191" fontId="154" fillId="5" borderId="9" xfId="9" applyFont="1" applyFill="1" applyBorder="1" applyAlignment="1" applyProtection="1">
      <alignment horizontal="left" vertical="center"/>
      <protection locked="0"/>
    </xf>
    <xf numFmtId="191" fontId="153" fillId="5" borderId="18" xfId="9" applyFont="1" applyFill="1" applyBorder="1" applyAlignment="1" applyProtection="1">
      <alignment horizontal="center" vertical="center"/>
      <protection locked="0"/>
    </xf>
    <xf numFmtId="191" fontId="153" fillId="5" borderId="17" xfId="9" applyFont="1" applyFill="1" applyBorder="1" applyAlignment="1" applyProtection="1">
      <alignment horizontal="left" vertical="center"/>
      <protection locked="0"/>
    </xf>
    <xf numFmtId="191" fontId="153" fillId="5" borderId="18" xfId="9" quotePrefix="1" applyFont="1" applyFill="1" applyBorder="1" applyAlignment="1" applyProtection="1">
      <alignment horizontal="right" vertical="center"/>
      <protection locked="0"/>
    </xf>
    <xf numFmtId="191" fontId="154" fillId="5" borderId="8" xfId="9" applyFont="1" applyFill="1" applyBorder="1" applyAlignment="1" applyProtection="1">
      <alignment horizontal="left" vertical="center"/>
      <protection locked="0"/>
    </xf>
    <xf numFmtId="191" fontId="153" fillId="5" borderId="1" xfId="9" applyFont="1" applyFill="1" applyBorder="1" applyAlignment="1">
      <alignment horizontal="center" vertical="center"/>
    </xf>
    <xf numFmtId="191" fontId="151" fillId="0" borderId="42" xfId="9" applyFont="1" applyBorder="1" applyAlignment="1">
      <alignment horizontal="center"/>
    </xf>
    <xf numFmtId="191" fontId="151" fillId="0" borderId="1" xfId="9" applyFont="1" applyBorder="1" applyAlignment="1">
      <alignment horizontal="center"/>
    </xf>
    <xf numFmtId="191" fontId="151" fillId="0" borderId="41" xfId="9" applyFont="1" applyBorder="1" applyAlignment="1">
      <alignment horizontal="center"/>
    </xf>
    <xf numFmtId="191" fontId="155" fillId="5" borderId="9" xfId="9" applyFont="1" applyFill="1" applyBorder="1"/>
    <xf numFmtId="191" fontId="155" fillId="5" borderId="9" xfId="9" applyFont="1" applyFill="1" applyBorder="1" applyAlignment="1">
      <alignment horizontal="left"/>
    </xf>
    <xf numFmtId="38" fontId="156" fillId="5" borderId="9" xfId="1" applyFont="1" applyFill="1" applyBorder="1" applyAlignment="1">
      <alignment horizontal="right"/>
    </xf>
    <xf numFmtId="176" fontId="155" fillId="5" borderId="18" xfId="2" applyNumberFormat="1" applyFont="1" applyFill="1" applyBorder="1" applyAlignment="1" applyProtection="1">
      <alignment horizontal="center"/>
      <protection locked="0"/>
    </xf>
    <xf numFmtId="191" fontId="155" fillId="6" borderId="1" xfId="9" applyFont="1" applyFill="1" applyBorder="1" applyAlignment="1">
      <alignment horizontal="center"/>
    </xf>
    <xf numFmtId="191" fontId="155" fillId="6" borderId="9" xfId="9" applyFont="1" applyFill="1" applyBorder="1" applyAlignment="1">
      <alignment horizontal="left"/>
    </xf>
    <xf numFmtId="191" fontId="155" fillId="6" borderId="9" xfId="9" applyFont="1" applyFill="1" applyBorder="1"/>
    <xf numFmtId="38" fontId="156" fillId="6" borderId="20" xfId="1" applyFont="1" applyFill="1" applyBorder="1" applyAlignment="1">
      <alignment horizontal="right"/>
    </xf>
    <xf numFmtId="176" fontId="153" fillId="11" borderId="14" xfId="1" applyNumberFormat="1" applyFont="1" applyFill="1" applyBorder="1" applyAlignment="1" applyProtection="1">
      <alignment horizontal="center"/>
      <protection locked="0"/>
    </xf>
    <xf numFmtId="191" fontId="155" fillId="5" borderId="17" xfId="9" applyFont="1" applyFill="1" applyBorder="1" applyAlignment="1">
      <alignment horizontal="center"/>
    </xf>
    <xf numFmtId="38" fontId="157" fillId="5" borderId="18" xfId="1" applyFont="1" applyFill="1" applyBorder="1" applyAlignment="1">
      <alignment horizontal="right"/>
    </xf>
    <xf numFmtId="176" fontId="153" fillId="0" borderId="20" xfId="1" applyNumberFormat="1" applyFont="1" applyFill="1" applyBorder="1" applyAlignment="1" applyProtection="1">
      <alignment horizontal="center"/>
      <protection locked="0"/>
    </xf>
    <xf numFmtId="176" fontId="153" fillId="0" borderId="1" xfId="2" applyNumberFormat="1" applyFont="1" applyFill="1" applyBorder="1" applyAlignment="1" applyProtection="1">
      <alignment horizontal="center"/>
      <protection locked="0"/>
    </xf>
    <xf numFmtId="176" fontId="151" fillId="0" borderId="43" xfId="9" applyNumberFormat="1" applyFont="1" applyBorder="1" applyAlignment="1">
      <alignment horizontal="center"/>
    </xf>
    <xf numFmtId="176" fontId="151" fillId="0" borderId="41" xfId="9" applyNumberFormat="1" applyFont="1" applyBorder="1" applyAlignment="1">
      <alignment horizontal="center"/>
    </xf>
    <xf numFmtId="191" fontId="155" fillId="5" borderId="8" xfId="9" applyFont="1" applyFill="1" applyBorder="1"/>
    <xf numFmtId="191" fontId="158" fillId="11" borderId="30" xfId="9" applyFont="1" applyFill="1" applyBorder="1" applyAlignment="1">
      <alignment horizontal="center" vertical="center"/>
    </xf>
    <xf numFmtId="191" fontId="153" fillId="11" borderId="9" xfId="9" applyFont="1" applyFill="1" applyBorder="1" applyAlignment="1">
      <alignment horizontal="left" vertical="center"/>
    </xf>
    <xf numFmtId="191" fontId="158" fillId="11" borderId="9" xfId="9" applyFont="1" applyFill="1" applyBorder="1" applyAlignment="1">
      <alignment vertical="center"/>
    </xf>
    <xf numFmtId="191" fontId="158" fillId="11" borderId="9" xfId="9" applyFont="1" applyFill="1" applyBorder="1" applyAlignment="1">
      <alignment horizontal="left" vertical="center"/>
    </xf>
    <xf numFmtId="38" fontId="159" fillId="11" borderId="8" xfId="1" applyFont="1" applyFill="1" applyBorder="1" applyAlignment="1" applyProtection="1">
      <alignment horizontal="right" vertical="center"/>
    </xf>
    <xf numFmtId="38" fontId="159" fillId="11" borderId="18" xfId="1" applyFont="1" applyFill="1" applyBorder="1" applyAlignment="1" applyProtection="1">
      <alignment horizontal="right" vertical="center"/>
    </xf>
    <xf numFmtId="191" fontId="160" fillId="0" borderId="0" xfId="9" applyFont="1"/>
    <xf numFmtId="191" fontId="155" fillId="5" borderId="17" xfId="9" applyFont="1" applyFill="1" applyBorder="1" applyAlignment="1">
      <alignment horizontal="center" vertical="center"/>
    </xf>
    <xf numFmtId="191" fontId="155" fillId="5" borderId="9" xfId="9" applyFont="1" applyFill="1" applyBorder="1" applyAlignment="1">
      <alignment horizontal="left" vertical="center"/>
    </xf>
    <xf numFmtId="191" fontId="155" fillId="5" borderId="9" xfId="9" applyFont="1" applyFill="1" applyBorder="1" applyAlignment="1">
      <alignment vertical="center"/>
    </xf>
    <xf numFmtId="38" fontId="156" fillId="5" borderId="9" xfId="1" applyFont="1" applyFill="1" applyBorder="1" applyAlignment="1">
      <alignment horizontal="right" vertical="center"/>
    </xf>
    <xf numFmtId="38" fontId="157" fillId="5" borderId="18" xfId="1" applyFont="1" applyFill="1" applyBorder="1" applyAlignment="1">
      <alignment horizontal="right" vertical="center"/>
    </xf>
    <xf numFmtId="191" fontId="151" fillId="11" borderId="9" xfId="9" applyFont="1" applyFill="1" applyBorder="1" applyAlignment="1">
      <alignment horizontal="left" vertical="center"/>
    </xf>
    <xf numFmtId="191" fontId="151" fillId="11" borderId="9" xfId="9" applyFont="1" applyFill="1" applyBorder="1" applyAlignment="1">
      <alignment vertical="center"/>
    </xf>
    <xf numFmtId="38" fontId="161" fillId="11" borderId="9" xfId="1" applyFont="1" applyFill="1" applyBorder="1" applyAlignment="1" applyProtection="1">
      <alignment horizontal="right" vertical="center"/>
    </xf>
    <xf numFmtId="38" fontId="161" fillId="11" borderId="18" xfId="1" applyFont="1" applyFill="1" applyBorder="1" applyAlignment="1" applyProtection="1">
      <alignment horizontal="right" vertical="center"/>
    </xf>
    <xf numFmtId="176" fontId="151" fillId="11" borderId="20" xfId="1" applyNumberFormat="1" applyFont="1" applyFill="1" applyBorder="1" applyAlignment="1" applyProtection="1">
      <alignment horizontal="center" vertical="center"/>
      <protection locked="0"/>
    </xf>
    <xf numFmtId="191" fontId="151" fillId="11" borderId="17" xfId="9" applyFont="1" applyFill="1" applyBorder="1" applyAlignment="1">
      <alignment horizontal="left"/>
    </xf>
    <xf numFmtId="191" fontId="151" fillId="11" borderId="9" xfId="9" applyFont="1" applyFill="1" applyBorder="1" applyAlignment="1">
      <alignment horizontal="left"/>
    </xf>
    <xf numFmtId="191" fontId="151" fillId="11" borderId="18" xfId="9" applyFont="1" applyFill="1" applyBorder="1" applyAlignment="1">
      <alignment horizontal="left"/>
    </xf>
    <xf numFmtId="191" fontId="151" fillId="11" borderId="30" xfId="9" applyFont="1" applyFill="1" applyBorder="1"/>
    <xf numFmtId="191" fontId="151" fillId="11" borderId="8" xfId="9" applyFont="1" applyFill="1" applyBorder="1"/>
    <xf numFmtId="191" fontId="151" fillId="11" borderId="20" xfId="9" applyFont="1" applyFill="1" applyBorder="1"/>
    <xf numFmtId="191" fontId="147" fillId="5" borderId="0" xfId="9" applyFill="1" applyAlignment="1">
      <alignment horizontal="centerContinuous"/>
    </xf>
    <xf numFmtId="191" fontId="151" fillId="5" borderId="0" xfId="9" applyFont="1" applyFill="1" applyAlignment="1">
      <alignment horizontal="centerContinuous"/>
    </xf>
    <xf numFmtId="191" fontId="148" fillId="5" borderId="0" xfId="9" applyFont="1" applyFill="1" applyAlignment="1">
      <alignment horizontal="centerContinuous"/>
    </xf>
    <xf numFmtId="191" fontId="146" fillId="5" borderId="0" xfId="9" applyFont="1" applyFill="1" applyAlignment="1">
      <alignment horizontal="centerContinuous"/>
    </xf>
    <xf numFmtId="191" fontId="146" fillId="5" borderId="0" xfId="9" applyFont="1" applyFill="1" applyBorder="1" applyAlignment="1">
      <alignment horizontal="centerContinuous"/>
    </xf>
    <xf numFmtId="38" fontId="162" fillId="5" borderId="9" xfId="1" applyFont="1" applyFill="1" applyBorder="1" applyAlignment="1">
      <alignment horizontal="right"/>
    </xf>
    <xf numFmtId="191" fontId="155" fillId="5" borderId="9" xfId="9" applyFont="1" applyFill="1" applyBorder="1" applyAlignment="1">
      <alignment horizontal="right"/>
    </xf>
    <xf numFmtId="191" fontId="155" fillId="5" borderId="8" xfId="9" applyFont="1" applyFill="1" applyBorder="1" applyAlignment="1">
      <alignment horizontal="left"/>
    </xf>
    <xf numFmtId="38" fontId="156" fillId="5" borderId="8" xfId="1" applyFont="1" applyFill="1" applyBorder="1" applyAlignment="1">
      <alignment horizontal="right"/>
    </xf>
    <xf numFmtId="38" fontId="156" fillId="6" borderId="9" xfId="1" applyFont="1" applyFill="1" applyBorder="1" applyAlignment="1">
      <alignment horizontal="right"/>
    </xf>
    <xf numFmtId="191" fontId="158" fillId="11" borderId="30" xfId="9" applyFont="1" applyFill="1" applyBorder="1" applyAlignment="1">
      <alignment horizontal="left"/>
    </xf>
    <xf numFmtId="176" fontId="153" fillId="11" borderId="42" xfId="2" applyNumberFormat="1" applyFont="1" applyFill="1" applyBorder="1" applyAlignment="1" applyProtection="1">
      <alignment horizontal="center"/>
      <protection locked="0"/>
    </xf>
    <xf numFmtId="38" fontId="157" fillId="6" borderId="18" xfId="1" applyFont="1" applyFill="1" applyBorder="1" applyAlignment="1">
      <alignment horizontal="right"/>
    </xf>
    <xf numFmtId="191" fontId="155" fillId="6" borderId="9" xfId="9" applyFont="1" applyFill="1" applyBorder="1" applyAlignment="1">
      <alignment horizontal="right"/>
    </xf>
    <xf numFmtId="38" fontId="162" fillId="6" borderId="9" xfId="1" applyFont="1" applyFill="1" applyBorder="1" applyAlignment="1">
      <alignment horizontal="right"/>
    </xf>
    <xf numFmtId="6" fontId="157" fillId="6" borderId="20" xfId="1" applyNumberFormat="1" applyFont="1" applyFill="1" applyBorder="1" applyAlignment="1">
      <alignment horizontal="center"/>
    </xf>
    <xf numFmtId="38" fontId="157" fillId="6" borderId="20" xfId="1" applyFont="1" applyFill="1" applyBorder="1" applyAlignment="1">
      <alignment horizontal="right"/>
    </xf>
    <xf numFmtId="176" fontId="158" fillId="11" borderId="20" xfId="1" applyNumberFormat="1" applyFont="1" applyFill="1" applyBorder="1" applyAlignment="1" applyProtection="1">
      <alignment horizontal="center" vertical="center"/>
      <protection locked="0"/>
    </xf>
    <xf numFmtId="176" fontId="157" fillId="5" borderId="20" xfId="1" applyNumberFormat="1" applyFont="1" applyFill="1" applyBorder="1" applyAlignment="1" applyProtection="1">
      <alignment horizontal="center" vertical="center"/>
      <protection locked="0"/>
    </xf>
    <xf numFmtId="191" fontId="151" fillId="11" borderId="30" xfId="9" applyFont="1" applyFill="1" applyBorder="1" applyAlignment="1">
      <alignment horizontal="center"/>
    </xf>
    <xf numFmtId="0" fontId="60" fillId="0" borderId="9" xfId="0" applyFont="1" applyBorder="1"/>
    <xf numFmtId="0" fontId="163" fillId="0" borderId="9" xfId="0" applyFont="1" applyBorder="1"/>
    <xf numFmtId="0" fontId="41" fillId="0" borderId="0" xfId="0" applyFont="1" applyAlignment="1">
      <alignment horizontal="right"/>
    </xf>
    <xf numFmtId="0" fontId="1" fillId="0" borderId="42" xfId="0" applyFont="1" applyBorder="1" applyAlignment="1">
      <alignment vertical="center"/>
    </xf>
    <xf numFmtId="0" fontId="1" fillId="0" borderId="43" xfId="0" applyFont="1" applyBorder="1" applyAlignment="1">
      <alignment vertical="center"/>
    </xf>
    <xf numFmtId="0" fontId="130" fillId="0" borderId="41" xfId="0" applyFont="1" applyBorder="1" applyAlignment="1">
      <alignment vertical="center"/>
    </xf>
    <xf numFmtId="0" fontId="1" fillId="0" borderId="39" xfId="0" applyFont="1" applyBorder="1" applyAlignment="1">
      <alignment horizontal="left"/>
    </xf>
    <xf numFmtId="4" fontId="1" fillId="0" borderId="39" xfId="0" applyNumberFormat="1" applyFont="1" applyBorder="1" applyAlignment="1">
      <alignment horizontal="left"/>
    </xf>
    <xf numFmtId="170" fontId="11" fillId="5" borderId="11" xfId="8" applyNumberFormat="1" applyFill="1" applyBorder="1"/>
    <xf numFmtId="165" fontId="27" fillId="5" borderId="0" xfId="8" applyNumberFormat="1" applyFont="1" applyFill="1"/>
    <xf numFmtId="168" fontId="18" fillId="5" borderId="0" xfId="8" applyNumberFormat="1" applyFont="1" applyFill="1"/>
    <xf numFmtId="168" fontId="17" fillId="5" borderId="25" xfId="8" applyNumberFormat="1" applyFont="1" applyFill="1" applyBorder="1"/>
    <xf numFmtId="194" fontId="0" fillId="0" borderId="9" xfId="0" applyNumberFormat="1" applyBorder="1" applyAlignment="1">
      <alignment horizontal="center"/>
    </xf>
    <xf numFmtId="0" fontId="41" fillId="0" borderId="72" xfId="0" applyFont="1" applyBorder="1"/>
    <xf numFmtId="0" fontId="0" fillId="0" borderId="38" xfId="0" applyBorder="1"/>
    <xf numFmtId="0" fontId="41" fillId="0" borderId="16" xfId="0" applyFont="1" applyBorder="1"/>
    <xf numFmtId="0" fontId="41" fillId="0" borderId="13" xfId="0" applyFont="1" applyBorder="1"/>
    <xf numFmtId="0" fontId="0" fillId="0" borderId="13" xfId="0" applyBorder="1" applyAlignment="1">
      <alignment horizontal="right"/>
    </xf>
    <xf numFmtId="44" fontId="0" fillId="0" borderId="0" xfId="3" applyFont="1" applyBorder="1" applyAlignment="1">
      <alignment horizontal="center"/>
    </xf>
    <xf numFmtId="44" fontId="0" fillId="0" borderId="8" xfId="3" applyFont="1" applyBorder="1" applyAlignment="1">
      <alignment horizontal="center"/>
    </xf>
    <xf numFmtId="44" fontId="0" fillId="0" borderId="11" xfId="3" applyFont="1" applyBorder="1" applyAlignment="1">
      <alignment horizontal="center"/>
    </xf>
    <xf numFmtId="0" fontId="8" fillId="0" borderId="8" xfId="0" applyFont="1" applyBorder="1" applyAlignment="1">
      <alignment horizontal="left"/>
    </xf>
    <xf numFmtId="0" fontId="165" fillId="0" borderId="0" xfId="5" applyFont="1"/>
    <xf numFmtId="0" fontId="166" fillId="0" borderId="0" xfId="5" applyFont="1"/>
    <xf numFmtId="0" fontId="167" fillId="0" borderId="0" xfId="5" applyFont="1"/>
    <xf numFmtId="0" fontId="129" fillId="0" borderId="0" xfId="0" applyFont="1" applyAlignment="1">
      <alignment horizontal="center"/>
    </xf>
    <xf numFmtId="0" fontId="4" fillId="0" borderId="0" xfId="0" applyFont="1" applyAlignment="1">
      <alignment horizontal="center"/>
    </xf>
    <xf numFmtId="0" fontId="41" fillId="5" borderId="0" xfId="5" applyFont="1" applyFill="1" applyAlignment="1">
      <alignment horizontal="center"/>
    </xf>
    <xf numFmtId="0" fontId="41" fillId="5" borderId="0" xfId="5" applyFont="1" applyFill="1"/>
    <xf numFmtId="167" fontId="8" fillId="5" borderId="0" xfId="5" applyNumberFormat="1" applyFont="1" applyFill="1" applyAlignment="1">
      <alignment horizontal="center" vertical="center"/>
    </xf>
    <xf numFmtId="167" fontId="8" fillId="0" borderId="0" xfId="5" applyNumberFormat="1" applyFont="1" applyAlignment="1">
      <alignment horizontal="center" vertical="center"/>
    </xf>
    <xf numFmtId="0" fontId="8" fillId="5" borderId="0" xfId="5" applyFont="1" applyFill="1" applyAlignment="1">
      <alignment horizontal="left"/>
    </xf>
    <xf numFmtId="0" fontId="8" fillId="5" borderId="0" xfId="5" applyFont="1" applyFill="1"/>
    <xf numFmtId="0" fontId="8" fillId="5" borderId="0" xfId="5" applyFont="1" applyFill="1" applyAlignment="1">
      <alignment horizontal="center"/>
    </xf>
    <xf numFmtId="0" fontId="11" fillId="5" borderId="25" xfId="8" applyFill="1" applyBorder="1"/>
    <xf numFmtId="168" fontId="11" fillId="5" borderId="11" xfId="8" applyNumberFormat="1" applyFill="1" applyBorder="1"/>
    <xf numFmtId="2" fontId="29" fillId="5" borderId="27" xfId="0" applyNumberFormat="1" applyFont="1" applyFill="1" applyBorder="1" applyAlignment="1">
      <alignment horizontal="right"/>
    </xf>
    <xf numFmtId="2" fontId="29" fillId="0" borderId="7" xfId="0" applyNumberFormat="1" applyFont="1" applyBorder="1" applyAlignment="1">
      <alignment horizontal="right"/>
    </xf>
    <xf numFmtId="2" fontId="8" fillId="5" borderId="25" xfId="0" applyNumberFormat="1" applyFont="1" applyFill="1" applyBorder="1" applyAlignment="1">
      <alignment horizontal="right"/>
    </xf>
    <xf numFmtId="0" fontId="8" fillId="0" borderId="22" xfId="0" applyFont="1" applyBorder="1"/>
    <xf numFmtId="2" fontId="8" fillId="5" borderId="27" xfId="0" applyNumberFormat="1" applyFont="1" applyFill="1" applyBorder="1" applyAlignment="1">
      <alignment horizontal="right"/>
    </xf>
    <xf numFmtId="2" fontId="168" fillId="0" borderId="0" xfId="0" applyNumberFormat="1" applyFont="1"/>
    <xf numFmtId="0" fontId="168" fillId="0" borderId="0" xfId="0" applyFont="1"/>
    <xf numFmtId="0" fontId="169" fillId="0" borderId="0" xfId="0" applyFont="1"/>
    <xf numFmtId="3" fontId="4" fillId="0" borderId="1" xfId="0" applyNumberFormat="1" applyFont="1" applyBorder="1"/>
    <xf numFmtId="49" fontId="129" fillId="0" borderId="0" xfId="0" applyNumberFormat="1" applyFont="1"/>
    <xf numFmtId="0" fontId="41" fillId="5" borderId="0" xfId="5" applyFont="1" applyFill="1" applyAlignment="1">
      <alignment horizontal="right"/>
    </xf>
    <xf numFmtId="167" fontId="8" fillId="5" borderId="0" xfId="5" applyNumberFormat="1" applyFont="1" applyFill="1" applyAlignment="1">
      <alignment horizontal="right" vertical="center"/>
    </xf>
    <xf numFmtId="2" fontId="129" fillId="0" borderId="0" xfId="0" applyNumberFormat="1" applyFont="1"/>
    <xf numFmtId="49" fontId="25" fillId="0" borderId="0" xfId="0" applyNumberFormat="1" applyFont="1"/>
    <xf numFmtId="9" fontId="0" fillId="3" borderId="0" xfId="0" applyNumberFormat="1" applyFill="1"/>
    <xf numFmtId="1" fontId="0" fillId="3" borderId="0" xfId="0" applyNumberFormat="1" applyFill="1" applyAlignment="1">
      <alignment horizontal="left"/>
    </xf>
    <xf numFmtId="1" fontId="0" fillId="3" borderId="11" xfId="0" applyNumberFormat="1" applyFill="1" applyBorder="1" applyAlignment="1">
      <alignment horizontal="left"/>
    </xf>
    <xf numFmtId="2" fontId="0" fillId="3" borderId="19" xfId="0" applyNumberFormat="1" applyFill="1" applyBorder="1"/>
    <xf numFmtId="0" fontId="45" fillId="0" borderId="4" xfId="0" applyFont="1" applyBorder="1"/>
    <xf numFmtId="0" fontId="95" fillId="0" borderId="4" xfId="0" applyFont="1" applyBorder="1"/>
    <xf numFmtId="15" fontId="8" fillId="0" borderId="9" xfId="0" applyNumberFormat="1" applyFont="1" applyBorder="1"/>
    <xf numFmtId="9" fontId="8" fillId="0" borderId="0" xfId="0" applyNumberFormat="1" applyFont="1"/>
    <xf numFmtId="44" fontId="170" fillId="0" borderId="0" xfId="3" applyFont="1"/>
    <xf numFmtId="0" fontId="171" fillId="0" borderId="0" xfId="0" applyFont="1"/>
    <xf numFmtId="0" fontId="172" fillId="0" borderId="0" xfId="0" applyFont="1"/>
    <xf numFmtId="0" fontId="0" fillId="0" borderId="0" xfId="0" applyAlignment="1">
      <alignment horizontal="center" shrinkToFit="1"/>
    </xf>
    <xf numFmtId="44" fontId="0" fillId="0" borderId="23" xfId="3" applyFont="1" applyBorder="1" applyAlignment="1">
      <alignment horizontal="center" shrinkToFit="1"/>
    </xf>
    <xf numFmtId="44" fontId="0" fillId="0" borderId="153" xfId="3" applyFont="1" applyBorder="1" applyAlignment="1">
      <alignment horizontal="center" shrinkToFit="1"/>
    </xf>
    <xf numFmtId="44" fontId="0" fillId="0" borderId="27" xfId="3" applyFont="1" applyBorder="1" applyAlignment="1">
      <alignment horizontal="center" shrinkToFit="1"/>
    </xf>
    <xf numFmtId="44" fontId="0" fillId="0" borderId="155" xfId="3" applyFont="1" applyBorder="1" applyAlignment="1">
      <alignment horizontal="center" shrinkToFit="1"/>
    </xf>
    <xf numFmtId="0" fontId="22" fillId="0" borderId="1" xfId="0" applyFont="1" applyBorder="1" applyAlignment="1">
      <alignment horizontal="left"/>
    </xf>
    <xf numFmtId="0" fontId="129" fillId="0" borderId="1" xfId="0" applyFont="1" applyBorder="1" applyAlignment="1">
      <alignment horizontal="left"/>
    </xf>
    <xf numFmtId="0" fontId="41" fillId="0" borderId="1" xfId="0" applyFont="1" applyBorder="1" applyAlignment="1">
      <alignment shrinkToFit="1"/>
    </xf>
    <xf numFmtId="0" fontId="129" fillId="0" borderId="28" xfId="0" applyFont="1" applyBorder="1" applyAlignment="1">
      <alignment horizontal="left"/>
    </xf>
    <xf numFmtId="49" fontId="29" fillId="5" borderId="1" xfId="0" applyNumberFormat="1" applyFont="1" applyFill="1" applyBorder="1" applyAlignment="1">
      <alignment horizontal="left" shrinkToFit="1"/>
    </xf>
    <xf numFmtId="49" fontId="52" fillId="0" borderId="9" xfId="0" applyNumberFormat="1" applyFont="1" applyBorder="1" applyAlignment="1">
      <alignment horizontal="center"/>
    </xf>
    <xf numFmtId="2" fontId="8" fillId="5" borderId="0" xfId="0" applyNumberFormat="1" applyFont="1" applyFill="1" applyAlignment="1">
      <alignment horizontal="left"/>
    </xf>
    <xf numFmtId="2" fontId="8" fillId="5" borderId="16" xfId="0" applyNumberFormat="1" applyFont="1" applyFill="1" applyBorder="1" applyAlignment="1">
      <alignment horizontal="left"/>
    </xf>
    <xf numFmtId="49" fontId="45" fillId="0" borderId="0" xfId="0" applyNumberFormat="1" applyFont="1"/>
    <xf numFmtId="195" fontId="11" fillId="5" borderId="11" xfId="10" applyNumberFormat="1" applyFont="1" applyFill="1" applyBorder="1" applyAlignment="1" applyProtection="1">
      <alignment horizontal="left"/>
    </xf>
    <xf numFmtId="168" fontId="17" fillId="5" borderId="144" xfId="8" applyNumberFormat="1" applyFont="1" applyFill="1" applyBorder="1"/>
    <xf numFmtId="0" fontId="11" fillId="0" borderId="21" xfId="8" applyBorder="1"/>
    <xf numFmtId="0" fontId="11" fillId="0" borderId="11" xfId="8" applyBorder="1"/>
    <xf numFmtId="0" fontId="26" fillId="5" borderId="0" xfId="8" applyFont="1" applyFill="1" applyProtection="1">
      <protection locked="0"/>
    </xf>
    <xf numFmtId="0" fontId="27" fillId="5" borderId="0" xfId="8" applyFont="1" applyFill="1"/>
    <xf numFmtId="0" fontId="17" fillId="0" borderId="144" xfId="8" applyFont="1" applyBorder="1" applyAlignment="1">
      <alignment horizontal="center" shrinkToFit="1"/>
    </xf>
    <xf numFmtId="0" fontId="11" fillId="0" borderId="156" xfId="8" applyBorder="1"/>
    <xf numFmtId="9" fontId="11" fillId="0" borderId="157" xfId="8" applyNumberFormat="1" applyBorder="1" applyAlignment="1">
      <alignment horizontal="center" shrinkToFit="1"/>
    </xf>
    <xf numFmtId="0" fontId="11" fillId="0" borderId="121" xfId="8" applyBorder="1"/>
    <xf numFmtId="0" fontId="34" fillId="0" borderId="43" xfId="4" applyFill="1" applyBorder="1" applyAlignment="1" applyProtection="1">
      <alignment horizontal="center" shrinkToFit="1"/>
    </xf>
    <xf numFmtId="0" fontId="8" fillId="0" borderId="27" xfId="0" applyFont="1" applyBorder="1" applyAlignment="1">
      <alignment horizontal="center"/>
    </xf>
    <xf numFmtId="2" fontId="28" fillId="0" borderId="27" xfId="0" applyNumberFormat="1" applyFont="1" applyBorder="1"/>
    <xf numFmtId="2" fontId="1" fillId="0" borderId="113" xfId="0" applyNumberFormat="1" applyFont="1" applyBorder="1" applyAlignment="1">
      <alignment horizontal="center"/>
    </xf>
    <xf numFmtId="167" fontId="41" fillId="5" borderId="0" xfId="5" applyNumberFormat="1" applyFont="1" applyFill="1" applyAlignment="1">
      <alignment horizontal="center" vertical="center"/>
    </xf>
    <xf numFmtId="167" fontId="41" fillId="0" borderId="0" xfId="5" applyNumberFormat="1" applyFont="1" applyAlignment="1">
      <alignment horizontal="center" vertical="center"/>
    </xf>
    <xf numFmtId="178" fontId="25" fillId="0" borderId="0" xfId="0" applyNumberFormat="1" applyFont="1" applyAlignment="1">
      <alignment horizontal="left"/>
    </xf>
    <xf numFmtId="0" fontId="22" fillId="0" borderId="0" xfId="0" applyFont="1" applyAlignment="1">
      <alignment horizontal="right" shrinkToFit="1"/>
    </xf>
    <xf numFmtId="0" fontId="40" fillId="0" borderId="5" xfId="0" applyFont="1" applyBorder="1" applyAlignment="1">
      <alignment horizontal="center" shrinkToFit="1"/>
    </xf>
    <xf numFmtId="0" fontId="73" fillId="0" borderId="11" xfId="0" applyFont="1" applyBorder="1" applyAlignment="1">
      <alignment horizontal="center"/>
    </xf>
    <xf numFmtId="0" fontId="173" fillId="0" borderId="0" xfId="0" applyFont="1"/>
    <xf numFmtId="0" fontId="25" fillId="0" borderId="36" xfId="0" applyFont="1" applyBorder="1"/>
    <xf numFmtId="0" fontId="25" fillId="0" borderId="13" xfId="0" applyFont="1" applyBorder="1"/>
    <xf numFmtId="0" fontId="29" fillId="0" borderId="13" xfId="0" applyFont="1" applyBorder="1"/>
    <xf numFmtId="0" fontId="129" fillId="0" borderId="13" xfId="0" applyFont="1" applyBorder="1" applyAlignment="1">
      <alignment horizontal="centerContinuous"/>
    </xf>
    <xf numFmtId="0" fontId="129" fillId="0" borderId="13" xfId="0" applyFont="1" applyBorder="1"/>
    <xf numFmtId="0" fontId="8" fillId="5" borderId="13" xfId="0" applyFont="1" applyFill="1" applyBorder="1"/>
    <xf numFmtId="0" fontId="8" fillId="5" borderId="14" xfId="0" applyFont="1" applyFill="1" applyBorder="1"/>
    <xf numFmtId="0" fontId="25" fillId="0" borderId="15" xfId="0" applyFont="1" applyBorder="1"/>
    <xf numFmtId="0" fontId="129" fillId="0" borderId="15" xfId="0" applyFont="1" applyBorder="1"/>
    <xf numFmtId="0" fontId="25" fillId="0" borderId="15" xfId="0" applyFont="1" applyBorder="1" applyAlignment="1">
      <alignment horizontal="center"/>
    </xf>
    <xf numFmtId="2" fontId="8" fillId="5" borderId="9" xfId="0" applyNumberFormat="1" applyFont="1" applyFill="1" applyBorder="1"/>
    <xf numFmtId="0" fontId="8" fillId="0" borderId="1" xfId="0" applyFont="1" applyBorder="1" applyAlignment="1">
      <alignment horizontal="right"/>
    </xf>
    <xf numFmtId="187" fontId="0" fillId="0" borderId="1" xfId="0" applyNumberFormat="1" applyBorder="1" applyAlignment="1">
      <alignment horizontal="center"/>
    </xf>
    <xf numFmtId="0" fontId="110" fillId="0" borderId="1" xfId="0" applyFont="1" applyBorder="1" applyAlignment="1">
      <alignment horizontal="center"/>
    </xf>
    <xf numFmtId="0" fontId="28" fillId="0" borderId="1" xfId="0" applyFont="1" applyBorder="1" applyAlignment="1">
      <alignment horizontal="right"/>
    </xf>
    <xf numFmtId="0" fontId="41" fillId="0" borderId="0" xfId="0" applyFont="1" applyAlignment="1">
      <alignment shrinkToFit="1"/>
    </xf>
    <xf numFmtId="0" fontId="41" fillId="0" borderId="5" xfId="0" applyFont="1" applyBorder="1" applyAlignment="1">
      <alignment shrinkToFit="1"/>
    </xf>
    <xf numFmtId="0" fontId="8" fillId="0" borderId="28" xfId="0" applyFont="1" applyBorder="1" applyAlignment="1">
      <alignment horizontal="center"/>
    </xf>
    <xf numFmtId="2" fontId="0" fillId="0" borderId="1" xfId="0" applyNumberFormat="1" applyBorder="1" applyAlignment="1">
      <alignment horizontal="center"/>
    </xf>
    <xf numFmtId="2" fontId="0" fillId="0" borderId="0" xfId="0" applyNumberFormat="1" applyAlignment="1">
      <alignment shrinkToFit="1"/>
    </xf>
    <xf numFmtId="0" fontId="41" fillId="0" borderId="32" xfId="0" applyFont="1" applyBorder="1" applyAlignment="1">
      <alignment horizontal="center"/>
    </xf>
    <xf numFmtId="0" fontId="41" fillId="0" borderId="18" xfId="0" applyFont="1" applyBorder="1" applyAlignment="1">
      <alignment horizontal="center"/>
    </xf>
    <xf numFmtId="0" fontId="25" fillId="0" borderId="0" xfId="0" applyFont="1" applyAlignment="1">
      <alignment horizontal="center" vertical="center"/>
    </xf>
    <xf numFmtId="191" fontId="155" fillId="5" borderId="9" xfId="9" applyFont="1" applyFill="1" applyBorder="1" applyAlignment="1">
      <alignment horizontal="center"/>
    </xf>
    <xf numFmtId="191" fontId="155" fillId="12" borderId="9" xfId="9" applyFont="1" applyFill="1" applyBorder="1"/>
    <xf numFmtId="176" fontId="155" fillId="12" borderId="18" xfId="2" applyNumberFormat="1" applyFont="1" applyFill="1" applyBorder="1" applyAlignment="1" applyProtection="1">
      <alignment horizontal="center"/>
      <protection locked="0"/>
    </xf>
    <xf numFmtId="38" fontId="156" fillId="12" borderId="9" xfId="1" applyFont="1" applyFill="1" applyBorder="1" applyAlignment="1">
      <alignment horizontal="right"/>
    </xf>
    <xf numFmtId="191" fontId="175" fillId="5" borderId="17" xfId="9" applyFont="1" applyFill="1" applyBorder="1" applyAlignment="1" applyProtection="1">
      <alignment horizontal="left" vertical="center"/>
      <protection locked="0"/>
    </xf>
    <xf numFmtId="9" fontId="154" fillId="13" borderId="16" xfId="10" applyFont="1" applyFill="1" applyBorder="1" applyAlignment="1">
      <alignment horizontal="center" vertical="center"/>
    </xf>
    <xf numFmtId="176" fontId="157" fillId="13" borderId="18" xfId="1" applyNumberFormat="1" applyFont="1" applyFill="1" applyBorder="1" applyAlignment="1" applyProtection="1">
      <alignment horizontal="center"/>
      <protection locked="0"/>
    </xf>
    <xf numFmtId="176" fontId="155" fillId="13" borderId="20" xfId="1" applyNumberFormat="1" applyFont="1" applyFill="1" applyBorder="1" applyAlignment="1" applyProtection="1">
      <alignment horizontal="center"/>
      <protection locked="0"/>
    </xf>
    <xf numFmtId="176" fontId="155" fillId="13" borderId="18" xfId="1" applyNumberFormat="1" applyFont="1" applyFill="1" applyBorder="1" applyAlignment="1" applyProtection="1">
      <alignment horizontal="center"/>
      <protection locked="0"/>
    </xf>
    <xf numFmtId="0" fontId="41" fillId="0" borderId="56" xfId="0" applyFont="1" applyBorder="1"/>
    <xf numFmtId="176" fontId="41" fillId="0" borderId="57" xfId="0" applyNumberFormat="1" applyFont="1" applyBorder="1"/>
    <xf numFmtId="191" fontId="155" fillId="5" borderId="52" xfId="9" applyFont="1" applyFill="1" applyBorder="1" applyAlignment="1">
      <alignment horizontal="left"/>
    </xf>
    <xf numFmtId="191" fontId="155" fillId="5" borderId="51" xfId="9" applyFont="1" applyFill="1" applyBorder="1"/>
    <xf numFmtId="191" fontId="155" fillId="5" borderId="51" xfId="9" applyFont="1" applyFill="1" applyBorder="1" applyAlignment="1">
      <alignment horizontal="left"/>
    </xf>
    <xf numFmtId="38" fontId="156" fillId="5" borderId="51" xfId="1" applyFont="1" applyFill="1" applyBorder="1" applyAlignment="1">
      <alignment horizontal="right"/>
    </xf>
    <xf numFmtId="38" fontId="157" fillId="5" borderId="47" xfId="1" applyFont="1" applyFill="1" applyBorder="1" applyAlignment="1">
      <alignment horizontal="right"/>
    </xf>
    <xf numFmtId="191" fontId="155" fillId="5" borderId="32" xfId="9" applyFont="1" applyFill="1" applyBorder="1" applyAlignment="1">
      <alignment horizontal="left"/>
    </xf>
    <xf numFmtId="38" fontId="157" fillId="5" borderId="31" xfId="1" applyFont="1" applyFill="1" applyBorder="1" applyAlignment="1">
      <alignment horizontal="right"/>
    </xf>
    <xf numFmtId="191" fontId="155" fillId="5" borderId="6" xfId="9" applyFont="1" applyFill="1" applyBorder="1" applyAlignment="1">
      <alignment horizontal="left"/>
    </xf>
    <xf numFmtId="191" fontId="155" fillId="5" borderId="11" xfId="9" applyFont="1" applyFill="1" applyBorder="1"/>
    <xf numFmtId="191" fontId="155" fillId="5" borderId="11" xfId="9" applyFont="1" applyFill="1" applyBorder="1" applyAlignment="1">
      <alignment horizontal="left"/>
    </xf>
    <xf numFmtId="38" fontId="156" fillId="5" borderId="11" xfId="1" applyFont="1" applyFill="1" applyBorder="1" applyAlignment="1">
      <alignment horizontal="right"/>
    </xf>
    <xf numFmtId="38" fontId="157" fillId="5" borderId="57" xfId="1" applyFont="1" applyFill="1" applyBorder="1" applyAlignment="1">
      <alignment horizontal="right"/>
    </xf>
    <xf numFmtId="191" fontId="155" fillId="12" borderId="51" xfId="9" applyFont="1" applyFill="1" applyBorder="1"/>
    <xf numFmtId="38" fontId="156" fillId="12" borderId="51" xfId="1" applyFont="1" applyFill="1" applyBorder="1" applyAlignment="1">
      <alignment horizontal="right"/>
    </xf>
    <xf numFmtId="38" fontId="156" fillId="12" borderId="47" xfId="1" applyFont="1" applyFill="1" applyBorder="1" applyAlignment="1">
      <alignment horizontal="right"/>
    </xf>
    <xf numFmtId="38" fontId="156" fillId="12" borderId="31" xfId="1" applyFont="1" applyFill="1" applyBorder="1" applyAlignment="1">
      <alignment horizontal="right"/>
    </xf>
    <xf numFmtId="191" fontId="155" fillId="12" borderId="11" xfId="9" applyFont="1" applyFill="1" applyBorder="1"/>
    <xf numFmtId="38" fontId="156" fillId="12" borderId="11" xfId="1" applyFont="1" applyFill="1" applyBorder="1" applyAlignment="1">
      <alignment horizontal="right"/>
    </xf>
    <xf numFmtId="38" fontId="156" fillId="12" borderId="57" xfId="1" applyFont="1" applyFill="1" applyBorder="1" applyAlignment="1">
      <alignment horizontal="right"/>
    </xf>
    <xf numFmtId="6" fontId="157" fillId="5" borderId="31" xfId="1" applyNumberFormat="1" applyFont="1" applyFill="1" applyBorder="1" applyAlignment="1">
      <alignment horizontal="right"/>
    </xf>
    <xf numFmtId="38" fontId="156" fillId="12" borderId="56" xfId="1" applyFont="1" applyFill="1" applyBorder="1" applyAlignment="1">
      <alignment horizontal="right"/>
    </xf>
    <xf numFmtId="38" fontId="157" fillId="5" borderId="35" xfId="1" applyFont="1" applyFill="1" applyBorder="1" applyAlignment="1">
      <alignment horizontal="right"/>
    </xf>
    <xf numFmtId="191" fontId="155" fillId="5" borderId="154" xfId="9" applyFont="1" applyFill="1" applyBorder="1" applyAlignment="1">
      <alignment horizontal="left"/>
    </xf>
    <xf numFmtId="191" fontId="155" fillId="5" borderId="13" xfId="9" applyFont="1" applyFill="1" applyBorder="1"/>
    <xf numFmtId="191" fontId="155" fillId="5" borderId="13" xfId="9" applyFont="1" applyFill="1" applyBorder="1" applyAlignment="1">
      <alignment horizontal="left"/>
    </xf>
    <xf numFmtId="38" fontId="156" fillId="5" borderId="13" xfId="1" applyFont="1" applyFill="1" applyBorder="1" applyAlignment="1">
      <alignment horizontal="right"/>
    </xf>
    <xf numFmtId="191" fontId="158" fillId="11" borderId="9" xfId="9" applyFont="1" applyFill="1" applyBorder="1"/>
    <xf numFmtId="191" fontId="158" fillId="11" borderId="9" xfId="9" applyFont="1" applyFill="1" applyBorder="1" applyAlignment="1">
      <alignment horizontal="left"/>
    </xf>
    <xf numFmtId="38" fontId="159" fillId="11" borderId="9" xfId="1" applyFont="1" applyFill="1" applyBorder="1" applyAlignment="1" applyProtection="1">
      <alignment horizontal="right"/>
    </xf>
    <xf numFmtId="38" fontId="159" fillId="11" borderId="18" xfId="1" applyFont="1" applyFill="1" applyBorder="1" applyAlignment="1" applyProtection="1">
      <alignment horizontal="right"/>
    </xf>
    <xf numFmtId="38" fontId="157" fillId="5" borderId="3" xfId="1" applyFont="1" applyFill="1" applyBorder="1" applyAlignment="1">
      <alignment horizontal="right"/>
    </xf>
    <xf numFmtId="176" fontId="0" fillId="14" borderId="46" xfId="0" applyNumberFormat="1" applyFill="1" applyBorder="1"/>
    <xf numFmtId="176" fontId="0" fillId="14" borderId="76" xfId="0" applyNumberFormat="1" applyFill="1" applyBorder="1"/>
    <xf numFmtId="176" fontId="0" fillId="14" borderId="78" xfId="0" applyNumberFormat="1" applyFill="1" applyBorder="1"/>
    <xf numFmtId="176" fontId="73" fillId="14" borderId="79" xfId="0" applyNumberFormat="1" applyFont="1" applyFill="1" applyBorder="1"/>
    <xf numFmtId="176" fontId="0" fillId="0" borderId="61" xfId="0" applyNumberFormat="1" applyBorder="1" applyProtection="1">
      <protection locked="0"/>
    </xf>
    <xf numFmtId="176" fontId="0" fillId="0" borderId="1" xfId="0" applyNumberFormat="1" applyBorder="1" applyProtection="1">
      <protection locked="0"/>
    </xf>
    <xf numFmtId="176" fontId="0" fillId="0" borderId="30" xfId="0" applyNumberFormat="1" applyBorder="1" applyProtection="1">
      <protection locked="0"/>
    </xf>
    <xf numFmtId="176" fontId="0" fillId="0" borderId="40" xfId="0" applyNumberFormat="1" applyBorder="1" applyProtection="1">
      <protection locked="0"/>
    </xf>
    <xf numFmtId="0" fontId="4" fillId="0" borderId="2" xfId="0" applyFont="1" applyBorder="1" applyProtection="1">
      <protection locked="0"/>
    </xf>
    <xf numFmtId="0" fontId="4" fillId="0" borderId="3" xfId="0" applyFont="1" applyBorder="1" applyAlignment="1" applyProtection="1">
      <alignment horizontal="center"/>
      <protection locked="0"/>
    </xf>
    <xf numFmtId="0" fontId="4" fillId="0" borderId="0" xfId="0" applyFont="1" applyProtection="1">
      <protection locked="0"/>
    </xf>
    <xf numFmtId="0" fontId="0" fillId="0" borderId="0" xfId="0" applyProtection="1">
      <protection locked="0"/>
    </xf>
    <xf numFmtId="0" fontId="0" fillId="0" borderId="4" xfId="0" applyBorder="1" applyProtection="1">
      <protection locked="0"/>
    </xf>
    <xf numFmtId="0" fontId="4" fillId="0" borderId="5" xfId="0" applyFont="1" applyBorder="1" applyAlignment="1" applyProtection="1">
      <alignment horizontal="center"/>
      <protection locked="0"/>
    </xf>
    <xf numFmtId="0" fontId="0" fillId="0" borderId="5" xfId="0" applyBorder="1" applyAlignment="1" applyProtection="1">
      <alignment horizontal="center"/>
      <protection locked="0"/>
    </xf>
    <xf numFmtId="0" fontId="0" fillId="0" borderId="2" xfId="0" applyBorder="1" applyProtection="1">
      <protection locked="0"/>
    </xf>
    <xf numFmtId="0" fontId="0" fillId="0" borderId="3" xfId="0" applyBorder="1" applyAlignment="1" applyProtection="1">
      <alignment horizontal="center"/>
      <protection locked="0"/>
    </xf>
    <xf numFmtId="0" fontId="0" fillId="0" borderId="6" xfId="0" applyBorder="1" applyProtection="1">
      <protection locked="0"/>
    </xf>
    <xf numFmtId="0" fontId="0" fillId="0" borderId="7" xfId="0" applyBorder="1" applyAlignment="1" applyProtection="1">
      <alignment horizontal="center"/>
      <protection locked="0"/>
    </xf>
    <xf numFmtId="0" fontId="4" fillId="0" borderId="4" xfId="0" applyFont="1" applyBorder="1" applyProtection="1">
      <protection locked="0"/>
    </xf>
    <xf numFmtId="0" fontId="0" fillId="0" borderId="0" xfId="0" applyAlignment="1" applyProtection="1">
      <alignment horizontal="center"/>
      <protection locked="0"/>
    </xf>
    <xf numFmtId="0" fontId="4" fillId="0" borderId="6" xfId="0" applyFont="1" applyBorder="1" applyProtection="1">
      <protection locked="0"/>
    </xf>
    <xf numFmtId="0" fontId="4" fillId="0" borderId="12" xfId="0" applyFont="1" applyBorder="1" applyProtection="1">
      <protection locked="0"/>
    </xf>
    <xf numFmtId="0" fontId="0" fillId="0" borderId="19" xfId="0" applyBorder="1" applyAlignment="1" applyProtection="1">
      <alignment horizontal="center"/>
      <protection locked="0"/>
    </xf>
    <xf numFmtId="0" fontId="8" fillId="13" borderId="25" xfId="0" applyFont="1" applyFill="1" applyBorder="1" applyProtection="1">
      <protection locked="0"/>
    </xf>
    <xf numFmtId="167" fontId="8" fillId="15" borderId="1" xfId="0" applyNumberFormat="1" applyFont="1" applyFill="1" applyBorder="1" applyAlignment="1" applyProtection="1">
      <alignment horizontal="center"/>
      <protection locked="0"/>
    </xf>
    <xf numFmtId="167" fontId="8" fillId="13" borderId="1" xfId="0" applyNumberFormat="1" applyFont="1" applyFill="1" applyBorder="1" applyAlignment="1" applyProtection="1">
      <alignment horizontal="center"/>
      <protection locked="0"/>
    </xf>
    <xf numFmtId="0" fontId="22" fillId="0" borderId="0" xfId="0" applyFont="1" applyProtection="1">
      <protection locked="0"/>
    </xf>
    <xf numFmtId="0" fontId="8" fillId="0" borderId="0" xfId="0" applyFont="1" applyAlignment="1" applyProtection="1">
      <alignment horizontal="left"/>
      <protection locked="0"/>
    </xf>
    <xf numFmtId="0" fontId="22" fillId="0" borderId="0" xfId="0" applyFont="1" applyAlignment="1" applyProtection="1">
      <alignment horizontal="right"/>
      <protection locked="0"/>
    </xf>
    <xf numFmtId="0" fontId="41" fillId="0" borderId="1" xfId="0" applyFont="1" applyBorder="1" applyAlignment="1" applyProtection="1">
      <alignment horizontal="center"/>
      <protection locked="0"/>
    </xf>
    <xf numFmtId="0" fontId="8" fillId="0" borderId="1" xfId="0" applyFont="1" applyBorder="1" applyAlignment="1" applyProtection="1">
      <alignment horizontal="center"/>
      <protection locked="0"/>
    </xf>
    <xf numFmtId="0" fontId="41" fillId="0" borderId="0" xfId="0" applyFont="1" applyAlignment="1" applyProtection="1">
      <alignment horizontal="center"/>
      <protection locked="0"/>
    </xf>
    <xf numFmtId="0" fontId="4" fillId="0" borderId="4" xfId="0" applyFont="1" applyBorder="1" applyAlignment="1">
      <alignment horizontal="center"/>
    </xf>
    <xf numFmtId="0" fontId="129" fillId="0" borderId="4" xfId="0" applyFont="1" applyBorder="1" applyAlignment="1">
      <alignment horizontal="center"/>
    </xf>
    <xf numFmtId="0" fontId="95" fillId="0" borderId="1" xfId="0" applyFont="1" applyBorder="1" applyAlignment="1">
      <alignment horizontal="center"/>
    </xf>
    <xf numFmtId="0" fontId="0" fillId="0" borderId="4" xfId="0" applyBorder="1" applyProtection="1">
      <protection hidden="1"/>
    </xf>
    <xf numFmtId="0" fontId="0" fillId="0" borderId="5" xfId="0" applyBorder="1" applyProtection="1">
      <protection hidden="1"/>
    </xf>
    <xf numFmtId="0" fontId="40" fillId="0" borderId="4" xfId="0" applyFont="1" applyBorder="1" applyProtection="1">
      <protection hidden="1"/>
    </xf>
    <xf numFmtId="0" fontId="45" fillId="0" borderId="0" xfId="0" applyFont="1" applyAlignment="1" applyProtection="1">
      <alignment horizontal="left"/>
      <protection hidden="1"/>
    </xf>
    <xf numFmtId="0" fontId="22" fillId="0" borderId="5" xfId="0" applyFont="1" applyBorder="1" applyProtection="1">
      <protection hidden="1"/>
    </xf>
    <xf numFmtId="0" fontId="40" fillId="0" borderId="4" xfId="0" applyFont="1" applyBorder="1" applyAlignment="1" applyProtection="1">
      <alignment horizontal="center"/>
      <protection hidden="1"/>
    </xf>
    <xf numFmtId="167" fontId="45" fillId="0" borderId="0" xfId="0" applyNumberFormat="1" applyFont="1" applyAlignment="1" applyProtection="1">
      <alignment horizontal="right"/>
      <protection hidden="1"/>
    </xf>
    <xf numFmtId="167" fontId="40" fillId="0" borderId="0" xfId="0" applyNumberFormat="1" applyFont="1" applyAlignment="1" applyProtection="1">
      <alignment horizontal="right"/>
      <protection hidden="1"/>
    </xf>
    <xf numFmtId="0" fontId="95" fillId="0" borderId="0" xfId="0" applyFont="1" applyAlignment="1" applyProtection="1">
      <alignment horizontal="right"/>
      <protection hidden="1"/>
    </xf>
    <xf numFmtId="2" fontId="45" fillId="0" borderId="0" xfId="0" applyNumberFormat="1" applyFont="1" applyAlignment="1" applyProtection="1">
      <alignment horizontal="right"/>
      <protection hidden="1"/>
    </xf>
    <xf numFmtId="0" fontId="40" fillId="0" borderId="0" xfId="0" applyFont="1" applyAlignment="1" applyProtection="1">
      <alignment horizontal="right"/>
      <protection hidden="1"/>
    </xf>
    <xf numFmtId="2" fontId="45" fillId="0" borderId="0" xfId="0" applyNumberFormat="1" applyFont="1" applyAlignment="1" applyProtection="1">
      <alignment horizontal="left"/>
      <protection hidden="1"/>
    </xf>
    <xf numFmtId="0" fontId="45" fillId="0" borderId="0" xfId="0" applyFont="1" applyProtection="1">
      <protection hidden="1"/>
    </xf>
    <xf numFmtId="0" fontId="41" fillId="0" borderId="0" xfId="0" applyFont="1" applyProtection="1">
      <protection hidden="1"/>
    </xf>
    <xf numFmtId="0" fontId="25" fillId="0" borderId="0" xfId="0" applyFont="1" applyProtection="1">
      <protection hidden="1"/>
    </xf>
    <xf numFmtId="0" fontId="8" fillId="0" borderId="5" xfId="0" applyFont="1" applyBorder="1" applyProtection="1">
      <protection hidden="1"/>
    </xf>
    <xf numFmtId="0" fontId="8" fillId="0" borderId="0" xfId="0" applyFont="1" applyProtection="1">
      <protection hidden="1"/>
    </xf>
    <xf numFmtId="0" fontId="40" fillId="13" borderId="0" xfId="0" applyFont="1" applyFill="1" applyProtection="1">
      <protection locked="0"/>
    </xf>
    <xf numFmtId="0" fontId="40" fillId="13" borderId="5" xfId="0" applyFont="1" applyFill="1" applyBorder="1" applyProtection="1">
      <protection locked="0"/>
    </xf>
    <xf numFmtId="0" fontId="8" fillId="13" borderId="0" xfId="0" applyFont="1" applyFill="1" applyProtection="1">
      <protection locked="0"/>
    </xf>
    <xf numFmtId="0" fontId="8" fillId="13" borderId="21" xfId="0" applyFont="1" applyFill="1" applyBorder="1" applyProtection="1">
      <protection locked="0"/>
    </xf>
    <xf numFmtId="0" fontId="8" fillId="13" borderId="3" xfId="0" applyFont="1" applyFill="1" applyBorder="1" applyProtection="1">
      <protection locked="0"/>
    </xf>
    <xf numFmtId="0" fontId="8" fillId="13" borderId="5" xfId="0" applyFont="1" applyFill="1" applyBorder="1" applyProtection="1">
      <protection locked="0"/>
    </xf>
    <xf numFmtId="0" fontId="1" fillId="0" borderId="0" xfId="0" applyFont="1" applyProtection="1">
      <protection locked="0"/>
    </xf>
    <xf numFmtId="0" fontId="4" fillId="0" borderId="20" xfId="0" applyFont="1" applyBorder="1" applyAlignment="1">
      <alignment horizontal="center"/>
    </xf>
    <xf numFmtId="0" fontId="4" fillId="0" borderId="12" xfId="0" applyFont="1" applyBorder="1" applyAlignment="1">
      <alignment horizontal="right"/>
    </xf>
    <xf numFmtId="0" fontId="174" fillId="0" borderId="0" xfId="0" applyFont="1" applyAlignment="1" applyProtection="1">
      <alignment horizontal="center"/>
      <protection locked="0"/>
    </xf>
    <xf numFmtId="0" fontId="4" fillId="0" borderId="0" xfId="0" applyFont="1" applyAlignment="1" applyProtection="1">
      <alignment horizontal="center"/>
      <protection locked="0"/>
    </xf>
    <xf numFmtId="1" fontId="0" fillId="3" borderId="0" xfId="0" applyNumberFormat="1" applyFill="1" applyProtection="1">
      <protection hidden="1"/>
    </xf>
    <xf numFmtId="1" fontId="0" fillId="3" borderId="11" xfId="0" applyNumberFormat="1" applyFill="1" applyBorder="1" applyProtection="1">
      <protection hidden="1"/>
    </xf>
    <xf numFmtId="9" fontId="0" fillId="13" borderId="0" xfId="10" applyFont="1" applyFill="1" applyProtection="1">
      <protection locked="0"/>
    </xf>
    <xf numFmtId="9" fontId="0" fillId="13" borderId="11" xfId="10" applyFont="1" applyFill="1" applyBorder="1" applyProtection="1">
      <protection locked="0"/>
    </xf>
    <xf numFmtId="49" fontId="0" fillId="0" borderId="25" xfId="0" applyNumberFormat="1" applyBorder="1"/>
    <xf numFmtId="0" fontId="0" fillId="0" borderId="158" xfId="0" applyBorder="1" applyAlignment="1" applyProtection="1">
      <alignment horizontal="center"/>
      <protection locked="0"/>
    </xf>
    <xf numFmtId="0" fontId="0" fillId="0" borderId="42" xfId="0" applyBorder="1" applyAlignment="1" applyProtection="1">
      <alignment shrinkToFit="1"/>
      <protection locked="0"/>
    </xf>
    <xf numFmtId="0" fontId="0" fillId="0" borderId="159" xfId="0" applyBorder="1" applyAlignment="1" applyProtection="1">
      <alignment horizontal="center"/>
      <protection locked="0"/>
    </xf>
    <xf numFmtId="0" fontId="0" fillId="0" borderId="43" xfId="0" applyBorder="1" applyAlignment="1" applyProtection="1">
      <alignment shrinkToFit="1"/>
      <protection locked="0"/>
    </xf>
    <xf numFmtId="0" fontId="0" fillId="0" borderId="160" xfId="0" applyBorder="1" applyAlignment="1" applyProtection="1">
      <alignment horizontal="center"/>
      <protection locked="0"/>
    </xf>
    <xf numFmtId="0" fontId="0" fillId="0" borderId="41" xfId="0" applyBorder="1" applyAlignment="1" applyProtection="1">
      <alignment shrinkToFit="1"/>
      <protection locked="0"/>
    </xf>
    <xf numFmtId="0" fontId="0" fillId="0" borderId="42" xfId="0" applyBorder="1" applyAlignment="1" applyProtection="1">
      <alignment horizontal="center" shrinkToFit="1"/>
      <protection hidden="1"/>
    </xf>
    <xf numFmtId="2" fontId="0" fillId="0" borderId="73" xfId="0" applyNumberFormat="1" applyBorder="1" applyProtection="1">
      <protection hidden="1"/>
    </xf>
    <xf numFmtId="0" fontId="0" fillId="0" borderId="43" xfId="0" applyBorder="1" applyAlignment="1" applyProtection="1">
      <alignment horizontal="center" shrinkToFit="1"/>
      <protection hidden="1"/>
    </xf>
    <xf numFmtId="2" fontId="0" fillId="0" borderId="108" xfId="0" applyNumberFormat="1" applyBorder="1" applyProtection="1">
      <protection hidden="1"/>
    </xf>
    <xf numFmtId="0" fontId="0" fillId="0" borderId="108" xfId="0" applyBorder="1" applyProtection="1">
      <protection hidden="1"/>
    </xf>
    <xf numFmtId="0" fontId="0" fillId="0" borderId="41" xfId="0" applyBorder="1" applyAlignment="1" applyProtection="1">
      <alignment horizontal="center" shrinkToFit="1"/>
      <protection hidden="1"/>
    </xf>
    <xf numFmtId="0" fontId="0" fillId="0" borderId="75" xfId="0" applyBorder="1" applyProtection="1">
      <protection hidden="1"/>
    </xf>
    <xf numFmtId="0" fontId="177" fillId="5" borderId="0" xfId="0" applyFont="1" applyFill="1"/>
    <xf numFmtId="0" fontId="4" fillId="0" borderId="22" xfId="0" applyFont="1" applyBorder="1" applyAlignment="1" applyProtection="1">
      <alignment horizontal="center"/>
      <protection locked="0"/>
    </xf>
    <xf numFmtId="0" fontId="4" fillId="0" borderId="23" xfId="0" applyFont="1" applyBorder="1" applyAlignment="1" applyProtection="1">
      <alignment horizontal="center"/>
      <protection locked="0"/>
    </xf>
    <xf numFmtId="0" fontId="0" fillId="0" borderId="27" xfId="0" applyBorder="1" applyAlignment="1" applyProtection="1">
      <alignment horizontal="center"/>
      <protection locked="0"/>
    </xf>
    <xf numFmtId="0" fontId="4" fillId="0" borderId="4" xfId="0" applyFont="1" applyBorder="1" applyAlignment="1" applyProtection="1">
      <alignment horizontal="center"/>
      <protection locked="0"/>
    </xf>
    <xf numFmtId="0" fontId="0" fillId="0" borderId="7" xfId="0" applyBorder="1" applyProtection="1">
      <protection locked="0"/>
    </xf>
    <xf numFmtId="0" fontId="4" fillId="0" borderId="6" xfId="0" applyFont="1" applyBorder="1" applyAlignment="1" applyProtection="1">
      <alignment horizontal="center"/>
      <protection locked="0"/>
    </xf>
    <xf numFmtId="164" fontId="29" fillId="5" borderId="1" xfId="0" applyNumberFormat="1" applyFont="1" applyFill="1" applyBorder="1" applyAlignment="1" applyProtection="1">
      <alignment shrinkToFit="1"/>
      <protection hidden="1"/>
    </xf>
    <xf numFmtId="164" fontId="29" fillId="5" borderId="28" xfId="0" applyNumberFormat="1" applyFont="1" applyFill="1" applyBorder="1" applyAlignment="1" applyProtection="1">
      <alignment shrinkToFit="1"/>
      <protection hidden="1"/>
    </xf>
    <xf numFmtId="0" fontId="29" fillId="5" borderId="25" xfId="0" applyFont="1" applyFill="1" applyBorder="1" applyAlignment="1" applyProtection="1">
      <alignment horizontal="right" shrinkToFit="1"/>
      <protection hidden="1"/>
    </xf>
    <xf numFmtId="164" fontId="29" fillId="5" borderId="25" xfId="0" applyNumberFormat="1" applyFont="1" applyFill="1" applyBorder="1" applyAlignment="1" applyProtection="1">
      <alignment horizontal="right" shrinkToFit="1"/>
      <protection hidden="1"/>
    </xf>
    <xf numFmtId="176" fontId="29" fillId="5" borderId="0" xfId="0" applyNumberFormat="1" applyFont="1" applyFill="1" applyAlignment="1" applyProtection="1">
      <alignment shrinkToFit="1"/>
      <protection hidden="1"/>
    </xf>
    <xf numFmtId="0" fontId="29" fillId="5" borderId="25" xfId="0" applyFont="1" applyFill="1" applyBorder="1" applyAlignment="1" applyProtection="1">
      <alignment horizontal="center" shrinkToFit="1"/>
      <protection hidden="1"/>
    </xf>
    <xf numFmtId="0" fontId="1" fillId="5" borderId="20" xfId="0" applyFont="1" applyFill="1" applyBorder="1" applyAlignment="1" applyProtection="1">
      <alignment horizontal="center" shrinkToFit="1"/>
      <protection locked="0"/>
    </xf>
    <xf numFmtId="0" fontId="29" fillId="5" borderId="1" xfId="0" applyFont="1" applyFill="1" applyBorder="1" applyAlignment="1" applyProtection="1">
      <alignment horizontal="left" shrinkToFit="1"/>
      <protection locked="0"/>
    </xf>
    <xf numFmtId="49" fontId="29" fillId="5" borderId="1" xfId="0" applyNumberFormat="1" applyFont="1" applyFill="1" applyBorder="1" applyAlignment="1" applyProtection="1">
      <alignment horizontal="left" shrinkToFit="1"/>
      <protection locked="0"/>
    </xf>
    <xf numFmtId="0" fontId="29" fillId="5" borderId="1" xfId="0" applyFont="1" applyFill="1" applyBorder="1" applyAlignment="1" applyProtection="1">
      <alignment shrinkToFit="1"/>
      <protection locked="0"/>
    </xf>
    <xf numFmtId="164" fontId="29" fillId="5" borderId="1" xfId="0" applyNumberFormat="1" applyFont="1" applyFill="1" applyBorder="1" applyAlignment="1" applyProtection="1">
      <alignment shrinkToFit="1"/>
      <protection locked="0"/>
    </xf>
    <xf numFmtId="164" fontId="29" fillId="5" borderId="28" xfId="0" applyNumberFormat="1" applyFont="1" applyFill="1" applyBorder="1" applyAlignment="1" applyProtection="1">
      <alignment shrinkToFit="1"/>
      <protection locked="0"/>
    </xf>
    <xf numFmtId="0" fontId="1" fillId="5" borderId="1" xfId="0" applyFont="1" applyFill="1" applyBorder="1" applyAlignment="1" applyProtection="1">
      <alignment horizontal="center" shrinkToFit="1"/>
      <protection locked="0"/>
    </xf>
    <xf numFmtId="0" fontId="1" fillId="5" borderId="0" xfId="0" applyFont="1" applyFill="1" applyAlignment="1" applyProtection="1">
      <alignment horizontal="center" shrinkToFit="1"/>
      <protection hidden="1"/>
    </xf>
    <xf numFmtId="0" fontId="29" fillId="5" borderId="0" xfId="0" applyFont="1" applyFill="1" applyAlignment="1" applyProtection="1">
      <alignment horizontal="right" shrinkToFit="1"/>
      <protection hidden="1"/>
    </xf>
    <xf numFmtId="0" fontId="29" fillId="5" borderId="0" xfId="0" applyFont="1" applyFill="1" applyAlignment="1" applyProtection="1">
      <alignment shrinkToFit="1"/>
      <protection hidden="1"/>
    </xf>
    <xf numFmtId="176" fontId="29" fillId="5" borderId="0" xfId="0" applyNumberFormat="1" applyFont="1" applyFill="1" applyAlignment="1" applyProtection="1">
      <alignment horizontal="left" shrinkToFit="1"/>
      <protection hidden="1"/>
    </xf>
    <xf numFmtId="0" fontId="36" fillId="5" borderId="0" xfId="0" applyFont="1" applyFill="1" applyAlignment="1" applyProtection="1">
      <alignment horizontal="right" shrinkToFit="1"/>
      <protection hidden="1"/>
    </xf>
    <xf numFmtId="184" fontId="36" fillId="5" borderId="0" xfId="0" applyNumberFormat="1" applyFont="1" applyFill="1" applyAlignment="1" applyProtection="1">
      <alignment shrinkToFit="1"/>
      <protection hidden="1"/>
    </xf>
    <xf numFmtId="164" fontId="36" fillId="5" borderId="0" xfId="0" applyNumberFormat="1" applyFont="1" applyFill="1" applyAlignment="1" applyProtection="1">
      <alignment horizontal="center" shrinkToFit="1"/>
      <protection hidden="1"/>
    </xf>
    <xf numFmtId="0" fontId="1" fillId="5" borderId="11" xfId="0" applyFont="1" applyFill="1" applyBorder="1" applyAlignment="1" applyProtection="1">
      <alignment horizontal="center" shrinkToFit="1"/>
      <protection hidden="1"/>
    </xf>
    <xf numFmtId="0" fontId="36" fillId="5" borderId="11" xfId="0" applyFont="1" applyFill="1" applyBorder="1" applyAlignment="1" applyProtection="1">
      <alignment horizontal="center" shrinkToFit="1"/>
      <protection hidden="1"/>
    </xf>
    <xf numFmtId="0" fontId="29" fillId="5" borderId="11" xfId="0" applyFont="1" applyFill="1" applyBorder="1" applyAlignment="1" applyProtection="1">
      <alignment shrinkToFit="1"/>
      <protection hidden="1"/>
    </xf>
    <xf numFmtId="0" fontId="29" fillId="5" borderId="1" xfId="0" applyFont="1" applyFill="1" applyBorder="1" applyAlignment="1" applyProtection="1">
      <alignment horizontal="right" shrinkToFit="1"/>
      <protection hidden="1"/>
    </xf>
    <xf numFmtId="2" fontId="84" fillId="2" borderId="141" xfId="6" applyNumberFormat="1" applyFont="1" applyFill="1" applyBorder="1" applyAlignment="1" applyProtection="1">
      <alignment horizontal="center"/>
      <protection locked="0"/>
    </xf>
    <xf numFmtId="0" fontId="84" fillId="2" borderId="141" xfId="6" applyFont="1" applyFill="1" applyBorder="1" applyAlignment="1" applyProtection="1">
      <alignment horizontal="center"/>
      <protection locked="0"/>
    </xf>
    <xf numFmtId="2" fontId="84" fillId="2" borderId="98" xfId="6" applyNumberFormat="1" applyFont="1" applyFill="1" applyBorder="1" applyAlignment="1" applyProtection="1">
      <alignment horizontal="center"/>
      <protection locked="0"/>
    </xf>
    <xf numFmtId="0" fontId="84" fillId="2" borderId="98" xfId="6" applyFont="1" applyFill="1" applyBorder="1" applyAlignment="1" applyProtection="1">
      <alignment horizontal="center"/>
      <protection locked="0"/>
    </xf>
    <xf numFmtId="166" fontId="84" fillId="2" borderId="98" xfId="6" applyNumberFormat="1" applyFont="1" applyFill="1" applyBorder="1" applyAlignment="1" applyProtection="1">
      <alignment horizontal="center"/>
      <protection locked="0"/>
    </xf>
    <xf numFmtId="2" fontId="84" fillId="2" borderId="96" xfId="6" applyNumberFormat="1" applyFont="1" applyFill="1" applyBorder="1" applyAlignment="1" applyProtection="1">
      <alignment horizontal="center"/>
      <protection locked="0"/>
    </xf>
    <xf numFmtId="166" fontId="84" fillId="2" borderId="96" xfId="6" applyNumberFormat="1" applyFont="1" applyFill="1" applyBorder="1" applyAlignment="1" applyProtection="1">
      <alignment horizontal="center"/>
      <protection locked="0"/>
    </xf>
    <xf numFmtId="0" fontId="84" fillId="2" borderId="96" xfId="6" applyFont="1" applyFill="1" applyBorder="1" applyAlignment="1" applyProtection="1">
      <alignment horizontal="center"/>
      <protection locked="0"/>
    </xf>
    <xf numFmtId="0" fontId="87" fillId="13" borderId="0" xfId="6" applyFont="1" applyFill="1" applyAlignment="1" applyProtection="1">
      <alignment horizontal="center"/>
      <protection locked="0"/>
    </xf>
    <xf numFmtId="171" fontId="178" fillId="15" borderId="85" xfId="6" applyNumberFormat="1" applyFont="1" applyFill="1" applyBorder="1" applyAlignment="1">
      <alignment horizontal="center"/>
    </xf>
    <xf numFmtId="0" fontId="40" fillId="0" borderId="0" xfId="0" applyFont="1">
      <extLst>
        <ext xmlns:xfpb="http://schemas.microsoft.com/office/spreadsheetml/2022/featurepropertybag" uri="{C7286773-470A-42A8-94C5-96B5CB345126}">
          <xfpb:xfComplement i="0"/>
        </ext>
      </extLst>
    </xf>
    <xf numFmtId="2" fontId="0" fillId="0" borderId="1" xfId="0" applyNumberFormat="1" applyBorder="1" applyProtection="1">
      <protection locked="0"/>
    </xf>
    <xf numFmtId="2" fontId="0" fillId="0" borderId="42" xfId="0" applyNumberFormat="1" applyBorder="1" applyProtection="1">
      <protection locked="0"/>
    </xf>
    <xf numFmtId="0" fontId="45" fillId="0" borderId="0" xfId="0" applyFont="1" applyAlignment="1" applyProtection="1">
      <alignment horizontal="right"/>
      <protection locked="0"/>
    </xf>
    <xf numFmtId="0" fontId="45" fillId="0" borderId="0" xfId="0" applyFont="1" applyProtection="1">
      <protection locked="0"/>
    </xf>
    <xf numFmtId="0" fontId="45" fillId="0" borderId="5" xfId="0" applyFont="1" applyBorder="1" applyAlignment="1" applyProtection="1">
      <alignment horizontal="center"/>
      <protection locked="0"/>
    </xf>
    <xf numFmtId="2" fontId="8" fillId="0" borderId="1" xfId="0" applyNumberFormat="1" applyFont="1" applyBorder="1" applyAlignment="1" applyProtection="1">
      <alignment horizontal="center"/>
      <protection hidden="1"/>
    </xf>
    <xf numFmtId="0" fontId="8" fillId="0" borderId="0" xfId="0" applyFont="1" applyProtection="1">
      <protection locked="0"/>
    </xf>
    <xf numFmtId="0" fontId="41" fillId="0" borderId="42" xfId="0" applyFont="1" applyBorder="1" applyProtection="1">
      <protection locked="0"/>
    </xf>
    <xf numFmtId="0" fontId="41" fillId="0" borderId="41" xfId="0" applyFont="1" applyBorder="1" applyProtection="1">
      <protection locked="0"/>
    </xf>
    <xf numFmtId="0" fontId="73" fillId="5" borderId="0" xfId="0" applyFont="1" applyFill="1"/>
    <xf numFmtId="0" fontId="41" fillId="5" borderId="25" xfId="0" applyFont="1" applyFill="1" applyBorder="1" applyAlignment="1">
      <alignment horizontal="center"/>
    </xf>
    <xf numFmtId="0" fontId="4" fillId="5" borderId="0" xfId="0" applyFont="1" applyFill="1" applyProtection="1">
      <protection hidden="1"/>
    </xf>
    <xf numFmtId="0" fontId="129" fillId="5" borderId="0" xfId="0" applyFont="1" applyFill="1" applyProtection="1">
      <protection locked="0"/>
    </xf>
    <xf numFmtId="2" fontId="129" fillId="5" borderId="1" xfId="0" applyNumberFormat="1" applyFont="1" applyFill="1" applyBorder="1" applyAlignment="1" applyProtection="1">
      <alignment horizontal="right"/>
      <protection hidden="1"/>
    </xf>
    <xf numFmtId="0" fontId="129" fillId="5" borderId="1" xfId="0" applyFont="1" applyFill="1" applyBorder="1" applyProtection="1">
      <protection locked="0"/>
    </xf>
    <xf numFmtId="2" fontId="129" fillId="5" borderId="1" xfId="0" applyNumberFormat="1" applyFont="1" applyFill="1" applyBorder="1" applyAlignment="1" applyProtection="1">
      <alignment horizontal="right"/>
      <protection locked="0"/>
    </xf>
    <xf numFmtId="167" fontId="129" fillId="5" borderId="1" xfId="0" applyNumberFormat="1" applyFont="1" applyFill="1" applyBorder="1" applyProtection="1">
      <protection locked="0"/>
    </xf>
    <xf numFmtId="0" fontId="129" fillId="5" borderId="30" xfId="0" applyFont="1" applyFill="1" applyBorder="1" applyProtection="1">
      <protection locked="0"/>
    </xf>
    <xf numFmtId="0" fontId="129" fillId="5" borderId="8" xfId="0" applyFont="1" applyFill="1" applyBorder="1" applyProtection="1">
      <protection locked="0"/>
    </xf>
    <xf numFmtId="0" fontId="129" fillId="5" borderId="20" xfId="0" applyFont="1" applyFill="1" applyBorder="1" applyProtection="1">
      <protection locked="0"/>
    </xf>
    <xf numFmtId="0" fontId="129" fillId="5" borderId="2" xfId="0" applyFont="1" applyFill="1" applyBorder="1" applyProtection="1">
      <protection locked="0"/>
    </xf>
    <xf numFmtId="0" fontId="129" fillId="5" borderId="21" xfId="0" applyFont="1" applyFill="1" applyBorder="1" applyProtection="1">
      <protection locked="0"/>
    </xf>
    <xf numFmtId="0" fontId="129" fillId="5" borderId="3" xfId="0" applyFont="1" applyFill="1" applyBorder="1" applyProtection="1">
      <protection locked="0"/>
    </xf>
    <xf numFmtId="0" fontId="129" fillId="5" borderId="4" xfId="0" applyFont="1" applyFill="1" applyBorder="1" applyProtection="1">
      <protection locked="0"/>
    </xf>
    <xf numFmtId="0" fontId="129" fillId="5" borderId="5" xfId="0" applyFont="1" applyFill="1" applyBorder="1" applyProtection="1">
      <protection locked="0"/>
    </xf>
    <xf numFmtId="0" fontId="129" fillId="5" borderId="11" xfId="0" applyFont="1" applyFill="1" applyBorder="1" applyProtection="1">
      <protection locked="0"/>
    </xf>
    <xf numFmtId="0" fontId="129" fillId="5" borderId="6" xfId="0" applyFont="1" applyFill="1" applyBorder="1" applyProtection="1">
      <protection locked="0"/>
    </xf>
    <xf numFmtId="0" fontId="129" fillId="5" borderId="7" xfId="0" applyFont="1" applyFill="1" applyBorder="1" applyProtection="1">
      <protection locked="0"/>
    </xf>
    <xf numFmtId="0" fontId="22" fillId="5" borderId="4" xfId="0" applyFont="1" applyFill="1" applyBorder="1" applyProtection="1">
      <protection locked="0"/>
    </xf>
    <xf numFmtId="0" fontId="22" fillId="5" borderId="0" xfId="0" applyFont="1" applyFill="1" applyProtection="1">
      <protection locked="0"/>
    </xf>
    <xf numFmtId="0" fontId="22" fillId="5" borderId="5" xfId="0" applyFont="1" applyFill="1" applyBorder="1" applyProtection="1">
      <protection locked="0"/>
    </xf>
    <xf numFmtId="0" fontId="22" fillId="5" borderId="6" xfId="0" applyFont="1" applyFill="1" applyBorder="1" applyProtection="1">
      <protection locked="0"/>
    </xf>
    <xf numFmtId="0" fontId="22" fillId="5" borderId="11" xfId="0" applyFont="1" applyFill="1" applyBorder="1" applyProtection="1">
      <protection locked="0"/>
    </xf>
    <xf numFmtId="0" fontId="22" fillId="5" borderId="7" xfId="0" applyFont="1" applyFill="1" applyBorder="1" applyProtection="1">
      <protection locked="0"/>
    </xf>
    <xf numFmtId="0" fontId="41" fillId="0" borderId="41" xfId="0" applyFont="1" applyBorder="1" applyAlignment="1">
      <alignment vertical="center"/>
    </xf>
    <xf numFmtId="0" fontId="31" fillId="0" borderId="0" xfId="0" applyFont="1" applyAlignment="1">
      <alignment horizontal="center"/>
    </xf>
    <xf numFmtId="0" fontId="0" fillId="0" borderId="32" xfId="0" applyBorder="1" applyProtection="1">
      <protection locked="0"/>
    </xf>
    <xf numFmtId="0" fontId="0" fillId="0" borderId="9" xfId="0" applyBorder="1" applyProtection="1">
      <protection locked="0"/>
    </xf>
    <xf numFmtId="0" fontId="0" fillId="0" borderId="33" xfId="0" applyBorder="1" applyProtection="1">
      <protection locked="0"/>
    </xf>
    <xf numFmtId="0" fontId="0" fillId="0" borderId="11" xfId="0" applyBorder="1" applyProtection="1">
      <protection locked="0"/>
    </xf>
    <xf numFmtId="0" fontId="4" fillId="0" borderId="1" xfId="0" applyFont="1" applyBorder="1" applyAlignment="1">
      <alignment horizontal="center"/>
    </xf>
    <xf numFmtId="0" fontId="108" fillId="0" borderId="0" xfId="0" applyFont="1" applyAlignment="1">
      <alignment horizontal="center"/>
    </xf>
    <xf numFmtId="176" fontId="0" fillId="14" borderId="46" xfId="0" applyNumberFormat="1" applyFill="1" applyBorder="1" applyProtection="1">
      <protection locked="0"/>
    </xf>
    <xf numFmtId="176" fontId="0" fillId="14" borderId="76" xfId="0" applyNumberFormat="1" applyFill="1" applyBorder="1" applyProtection="1">
      <protection locked="0"/>
    </xf>
    <xf numFmtId="176" fontId="0" fillId="14" borderId="78" xfId="0" applyNumberFormat="1" applyFill="1" applyBorder="1" applyProtection="1">
      <protection locked="0"/>
    </xf>
    <xf numFmtId="0" fontId="108" fillId="0" borderId="39" xfId="0" applyFont="1" applyBorder="1" applyAlignment="1">
      <alignment horizontal="center"/>
    </xf>
    <xf numFmtId="0" fontId="0" fillId="0" borderId="0" xfId="0" applyAlignment="1">
      <alignment horizontal="right"/>
    </xf>
    <xf numFmtId="0" fontId="8" fillId="0" borderId="6" xfId="0" applyFont="1" applyBorder="1" applyAlignment="1">
      <alignment horizontal="right" shrinkToFit="1"/>
    </xf>
    <xf numFmtId="0" fontId="8" fillId="0" borderId="11" xfId="0" applyFont="1" applyBorder="1" applyAlignment="1">
      <alignment horizontal="right" shrinkToFit="1"/>
    </xf>
    <xf numFmtId="0" fontId="8" fillId="0" borderId="7" xfId="0" applyFont="1" applyBorder="1" applyAlignment="1">
      <alignment horizontal="right" shrinkToFit="1"/>
    </xf>
    <xf numFmtId="1" fontId="0" fillId="3" borderId="0" xfId="0" applyNumberFormat="1" applyFill="1" applyAlignment="1">
      <alignment horizontal="center"/>
    </xf>
    <xf numFmtId="0" fontId="0" fillId="3" borderId="0" xfId="0" applyFill="1" applyAlignment="1">
      <alignment horizontal="center"/>
    </xf>
    <xf numFmtId="0" fontId="25" fillId="0" borderId="0" xfId="0" applyFont="1" applyAlignment="1">
      <alignment horizontal="center"/>
    </xf>
    <xf numFmtId="0" fontId="43" fillId="5" borderId="12" xfId="0" applyFont="1" applyFill="1" applyBorder="1" applyAlignment="1">
      <alignment horizontal="left" shrinkToFit="1"/>
    </xf>
    <xf numFmtId="0" fontId="43" fillId="5" borderId="10" xfId="0" applyFont="1" applyFill="1" applyBorder="1" applyAlignment="1">
      <alignment horizontal="left" shrinkToFit="1"/>
    </xf>
    <xf numFmtId="0" fontId="29" fillId="0" borderId="2" xfId="0" applyFont="1" applyBorder="1" applyAlignment="1">
      <alignment horizontal="left" shrinkToFit="1"/>
    </xf>
    <xf numFmtId="0" fontId="29" fillId="0" borderId="21" xfId="0" applyFont="1" applyBorder="1" applyAlignment="1">
      <alignment horizontal="left" shrinkToFit="1"/>
    </xf>
    <xf numFmtId="0" fontId="29" fillId="0" borderId="3" xfId="0" applyFont="1" applyBorder="1" applyAlignment="1">
      <alignment horizontal="left" shrinkToFit="1"/>
    </xf>
    <xf numFmtId="0" fontId="29" fillId="5" borderId="2" xfId="0" applyFont="1" applyFill="1" applyBorder="1" applyAlignment="1">
      <alignment horizontal="left" shrinkToFit="1"/>
    </xf>
    <xf numFmtId="0" fontId="29" fillId="5" borderId="3" xfId="0" applyFont="1" applyFill="1" applyBorder="1" applyAlignment="1">
      <alignment horizontal="left" shrinkToFit="1"/>
    </xf>
    <xf numFmtId="0" fontId="29" fillId="5" borderId="4" xfId="0" applyFont="1" applyFill="1" applyBorder="1" applyAlignment="1">
      <alignment horizontal="left" shrinkToFit="1"/>
    </xf>
    <xf numFmtId="0" fontId="29" fillId="5" borderId="5" xfId="0" applyFont="1" applyFill="1" applyBorder="1" applyAlignment="1">
      <alignment horizontal="left" shrinkToFit="1"/>
    </xf>
    <xf numFmtId="0" fontId="29" fillId="5" borderId="6" xfId="0" applyFont="1" applyFill="1" applyBorder="1" applyAlignment="1">
      <alignment horizontal="left" shrinkToFit="1"/>
    </xf>
    <xf numFmtId="0" fontId="29" fillId="5" borderId="7" xfId="0" applyFont="1" applyFill="1" applyBorder="1" applyAlignment="1">
      <alignment horizontal="left" shrinkToFit="1"/>
    </xf>
    <xf numFmtId="0" fontId="29" fillId="5" borderId="12" xfId="0" applyFont="1" applyFill="1" applyBorder="1" applyAlignment="1">
      <alignment horizontal="center" shrinkToFit="1"/>
    </xf>
    <xf numFmtId="0" fontId="29" fillId="5" borderId="19" xfId="0" applyFont="1" applyFill="1" applyBorder="1" applyAlignment="1">
      <alignment horizontal="center" shrinkToFit="1"/>
    </xf>
    <xf numFmtId="0" fontId="55" fillId="0" borderId="0" xfId="0" applyFont="1" applyAlignment="1">
      <alignment horizontal="center"/>
    </xf>
    <xf numFmtId="0" fontId="1" fillId="0" borderId="0" xfId="0" applyFont="1" applyAlignment="1">
      <alignment horizontal="center"/>
    </xf>
    <xf numFmtId="15" fontId="5" fillId="0" borderId="0" xfId="0" applyNumberFormat="1" applyFont="1" applyAlignment="1">
      <alignment horizontal="center"/>
    </xf>
    <xf numFmtId="0" fontId="134" fillId="5" borderId="12" xfId="0" applyFont="1" applyFill="1" applyBorder="1" applyAlignment="1">
      <alignment horizontal="center" shrinkToFit="1"/>
    </xf>
    <xf numFmtId="0" fontId="134" fillId="5" borderId="10" xfId="0" applyFont="1" applyFill="1" applyBorder="1" applyAlignment="1">
      <alignment horizontal="center" shrinkToFit="1"/>
    </xf>
    <xf numFmtId="0" fontId="134" fillId="5" borderId="19" xfId="0" applyFont="1" applyFill="1" applyBorder="1" applyAlignment="1">
      <alignment horizontal="center" shrinkToFit="1"/>
    </xf>
    <xf numFmtId="0" fontId="8" fillId="0" borderId="0" xfId="0" applyFont="1" applyAlignment="1">
      <alignment horizontal="center"/>
    </xf>
    <xf numFmtId="0" fontId="29" fillId="0" borderId="4" xfId="0" applyFont="1" applyBorder="1" applyAlignment="1">
      <alignment horizontal="left" shrinkToFit="1"/>
    </xf>
    <xf numFmtId="0" fontId="29" fillId="0" borderId="0" xfId="0" applyFont="1" applyAlignment="1">
      <alignment horizontal="left" shrinkToFit="1"/>
    </xf>
    <xf numFmtId="0" fontId="29" fillId="0" borderId="5" xfId="0" applyFont="1" applyBorder="1" applyAlignment="1">
      <alignment horizontal="left" shrinkToFit="1"/>
    </xf>
    <xf numFmtId="0" fontId="29" fillId="5" borderId="12" xfId="0" applyFont="1" applyFill="1" applyBorder="1" applyAlignment="1">
      <alignment horizontal="left" shrinkToFit="1"/>
    </xf>
    <xf numFmtId="0" fontId="29" fillId="5" borderId="10" xfId="0" applyFont="1" applyFill="1" applyBorder="1" applyAlignment="1">
      <alignment horizontal="left" shrinkToFit="1"/>
    </xf>
    <xf numFmtId="0" fontId="1" fillId="0" borderId="0" xfId="0" applyFont="1" applyAlignment="1">
      <alignment horizontal="right"/>
    </xf>
    <xf numFmtId="0" fontId="1" fillId="0" borderId="5" xfId="0" applyFont="1" applyBorder="1" applyAlignment="1">
      <alignment horizontal="right"/>
    </xf>
    <xf numFmtId="0" fontId="1" fillId="0" borderId="4" xfId="0" applyFont="1" applyBorder="1" applyAlignment="1">
      <alignment horizontal="right" shrinkToFit="1"/>
    </xf>
    <xf numFmtId="0" fontId="1" fillId="0" borderId="0" xfId="0" applyFont="1" applyAlignment="1">
      <alignment horizontal="right" shrinkToFit="1"/>
    </xf>
    <xf numFmtId="0" fontId="1" fillId="0" borderId="5" xfId="0" applyFont="1" applyBorder="1" applyAlignment="1">
      <alignment horizontal="right" shrinkToFit="1"/>
    </xf>
    <xf numFmtId="0" fontId="1" fillId="0" borderId="11" xfId="0" applyFont="1" applyBorder="1" applyAlignment="1">
      <alignment horizontal="right" shrinkToFit="1"/>
    </xf>
    <xf numFmtId="0" fontId="1" fillId="0" borderId="7" xfId="0" applyFont="1" applyBorder="1" applyAlignment="1">
      <alignment horizontal="right" shrinkToFit="1"/>
    </xf>
    <xf numFmtId="0" fontId="8" fillId="0" borderId="0" xfId="0" applyFont="1" applyAlignment="1">
      <alignment horizontal="right"/>
    </xf>
    <xf numFmtId="0" fontId="8" fillId="0" borderId="5" xfId="0" applyFont="1" applyBorder="1" applyAlignment="1">
      <alignment horizontal="right"/>
    </xf>
    <xf numFmtId="0" fontId="176" fillId="0" borderId="4" xfId="0" applyFont="1" applyBorder="1" applyAlignment="1">
      <alignment horizontal="center" shrinkToFit="1"/>
    </xf>
    <xf numFmtId="0" fontId="176" fillId="0" borderId="0" xfId="0" applyFont="1" applyAlignment="1">
      <alignment horizontal="center" shrinkToFit="1"/>
    </xf>
    <xf numFmtId="0" fontId="176" fillId="0" borderId="5" xfId="0" applyFont="1" applyBorder="1" applyAlignment="1">
      <alignment horizontal="center" shrinkToFit="1"/>
    </xf>
    <xf numFmtId="0" fontId="29" fillId="5" borderId="10" xfId="0" applyFont="1" applyFill="1" applyBorder="1" applyAlignment="1">
      <alignment horizontal="center" shrinkToFit="1"/>
    </xf>
    <xf numFmtId="0" fontId="8" fillId="4" borderId="2" xfId="0" applyFont="1" applyFill="1" applyBorder="1" applyAlignment="1">
      <alignment horizontal="center"/>
    </xf>
    <xf numFmtId="0" fontId="8" fillId="4" borderId="21" xfId="0" applyFont="1" applyFill="1" applyBorder="1" applyAlignment="1">
      <alignment horizontal="center"/>
    </xf>
    <xf numFmtId="0" fontId="8" fillId="4" borderId="3" xfId="0" applyFont="1" applyFill="1" applyBorder="1" applyAlignment="1">
      <alignment horizontal="center"/>
    </xf>
    <xf numFmtId="0" fontId="8" fillId="4" borderId="4" xfId="0" applyFont="1" applyFill="1" applyBorder="1" applyAlignment="1">
      <alignment horizontal="center"/>
    </xf>
    <xf numFmtId="0" fontId="8" fillId="4" borderId="0" xfId="0" applyFont="1" applyFill="1" applyAlignment="1">
      <alignment horizontal="center"/>
    </xf>
    <xf numFmtId="0" fontId="8" fillId="4" borderId="5" xfId="0" applyFont="1" applyFill="1" applyBorder="1" applyAlignment="1">
      <alignment horizontal="center"/>
    </xf>
    <xf numFmtId="0" fontId="76" fillId="0" borderId="30" xfId="0" applyFont="1" applyBorder="1" applyAlignment="1">
      <alignment horizontal="center"/>
    </xf>
    <xf numFmtId="0" fontId="76" fillId="0" borderId="8" xfId="0" applyFont="1" applyBorder="1" applyAlignment="1">
      <alignment horizontal="center"/>
    </xf>
    <xf numFmtId="0" fontId="76" fillId="0" borderId="20" xfId="0" applyFont="1" applyBorder="1" applyAlignment="1">
      <alignment horizontal="center"/>
    </xf>
    <xf numFmtId="0" fontId="75" fillId="0" borderId="30" xfId="0" applyFont="1" applyBorder="1" applyAlignment="1">
      <alignment horizontal="center"/>
    </xf>
    <xf numFmtId="0" fontId="75" fillId="0" borderId="8" xfId="0" applyFont="1" applyBorder="1" applyAlignment="1">
      <alignment horizontal="center"/>
    </xf>
    <xf numFmtId="0" fontId="75" fillId="0" borderId="20" xfId="0" applyFont="1" applyBorder="1" applyAlignment="1">
      <alignment horizontal="center"/>
    </xf>
    <xf numFmtId="0" fontId="71" fillId="0" borderId="30" xfId="0" applyFont="1" applyBorder="1" applyAlignment="1">
      <alignment horizontal="center"/>
    </xf>
    <xf numFmtId="0" fontId="71" fillId="0" borderId="8" xfId="0" applyFont="1" applyBorder="1" applyAlignment="1">
      <alignment horizontal="center"/>
    </xf>
    <xf numFmtId="0" fontId="71" fillId="0" borderId="20" xfId="0" applyFont="1" applyBorder="1" applyAlignment="1">
      <alignment horizontal="center"/>
    </xf>
    <xf numFmtId="0" fontId="71" fillId="0" borderId="1" xfId="0" applyFont="1" applyBorder="1" applyAlignment="1">
      <alignment horizontal="center" vertical="center" shrinkToFit="1"/>
    </xf>
    <xf numFmtId="0" fontId="108" fillId="0" borderId="0" xfId="0" applyFont="1" applyAlignment="1">
      <alignment horizontal="center"/>
    </xf>
    <xf numFmtId="0" fontId="127" fillId="0" borderId="36" xfId="0" applyFont="1" applyBorder="1" applyAlignment="1">
      <alignment horizontal="center"/>
    </xf>
    <xf numFmtId="0" fontId="127" fillId="0" borderId="13" xfId="0" applyFont="1" applyBorder="1" applyAlignment="1">
      <alignment horizontal="center"/>
    </xf>
    <xf numFmtId="0" fontId="127" fillId="0" borderId="14" xfId="0" applyFont="1" applyBorder="1" applyAlignment="1">
      <alignment horizontal="center"/>
    </xf>
    <xf numFmtId="0" fontId="71" fillId="0" borderId="13" xfId="0" applyFont="1" applyBorder="1" applyAlignment="1">
      <alignment horizontal="center"/>
    </xf>
    <xf numFmtId="0" fontId="76" fillId="0" borderId="36" xfId="0" applyFont="1" applyBorder="1" applyAlignment="1">
      <alignment horizontal="center"/>
    </xf>
    <xf numFmtId="0" fontId="76" fillId="0" borderId="13" xfId="0" applyFont="1" applyBorder="1" applyAlignment="1">
      <alignment horizontal="center"/>
    </xf>
    <xf numFmtId="0" fontId="76" fillId="0" borderId="14" xfId="0" applyFont="1" applyBorder="1" applyAlignment="1">
      <alignment horizontal="center"/>
    </xf>
    <xf numFmtId="0" fontId="76" fillId="0" borderId="17" xfId="0" applyFont="1" applyBorder="1" applyAlignment="1">
      <alignment horizontal="center"/>
    </xf>
    <xf numFmtId="0" fontId="76" fillId="0" borderId="9" xfId="0" applyFont="1" applyBorder="1" applyAlignment="1">
      <alignment horizontal="center"/>
    </xf>
    <xf numFmtId="0" fontId="76" fillId="0" borderId="18" xfId="0" applyFont="1" applyBorder="1" applyAlignment="1">
      <alignment horizontal="center"/>
    </xf>
    <xf numFmtId="0" fontId="61" fillId="0" borderId="9" xfId="0" applyFont="1" applyBorder="1" applyAlignment="1" applyProtection="1">
      <alignment horizontal="center"/>
      <protection locked="0"/>
    </xf>
    <xf numFmtId="0" fontId="95" fillId="0" borderId="30" xfId="0" applyFont="1" applyBorder="1" applyAlignment="1" applyProtection="1">
      <alignment horizontal="center"/>
      <protection hidden="1"/>
    </xf>
    <xf numFmtId="0" fontId="95" fillId="0" borderId="8" xfId="0" applyFont="1" applyBorder="1" applyAlignment="1" applyProtection="1">
      <alignment horizontal="center"/>
      <protection hidden="1"/>
    </xf>
    <xf numFmtId="0" fontId="95" fillId="0" borderId="20" xfId="0" applyFont="1" applyBorder="1" applyAlignment="1" applyProtection="1">
      <alignment horizontal="center"/>
      <protection hidden="1"/>
    </xf>
    <xf numFmtId="0" fontId="95" fillId="0" borderId="30" xfId="0" applyFont="1" applyBorder="1" applyAlignment="1" applyProtection="1">
      <alignment horizontal="center"/>
      <protection locked="0"/>
    </xf>
    <xf numFmtId="0" fontId="95" fillId="0" borderId="8" xfId="0" applyFont="1" applyBorder="1" applyAlignment="1" applyProtection="1">
      <alignment horizontal="center"/>
      <protection locked="0"/>
    </xf>
    <xf numFmtId="0" fontId="95" fillId="0" borderId="20" xfId="0" applyFont="1" applyBorder="1" applyAlignment="1" applyProtection="1">
      <alignment horizontal="center"/>
      <protection locked="0"/>
    </xf>
    <xf numFmtId="49" fontId="61" fillId="0" borderId="30" xfId="0" applyNumberFormat="1" applyFont="1" applyBorder="1" applyAlignment="1" applyProtection="1">
      <alignment horizontal="center"/>
      <protection locked="0"/>
    </xf>
    <xf numFmtId="49" fontId="61" fillId="0" borderId="8" xfId="0" applyNumberFormat="1" applyFont="1" applyBorder="1" applyAlignment="1" applyProtection="1">
      <alignment horizontal="center"/>
      <protection locked="0"/>
    </xf>
    <xf numFmtId="49" fontId="61" fillId="0" borderId="20" xfId="0" applyNumberFormat="1" applyFont="1" applyBorder="1" applyAlignment="1" applyProtection="1">
      <alignment horizontal="center"/>
      <protection locked="0"/>
    </xf>
    <xf numFmtId="178" fontId="121" fillId="0" borderId="9" xfId="0" applyNumberFormat="1" applyFont="1" applyBorder="1" applyAlignment="1" applyProtection="1">
      <alignment horizontal="left"/>
      <protection locked="0"/>
    </xf>
    <xf numFmtId="0" fontId="121" fillId="0" borderId="8" xfId="0" applyFont="1" applyBorder="1" applyAlignment="1">
      <alignment horizontal="left"/>
    </xf>
    <xf numFmtId="0" fontId="61" fillId="0" borderId="9" xfId="0" applyFont="1" applyBorder="1" applyAlignment="1" applyProtection="1">
      <alignment horizontal="center"/>
      <protection hidden="1"/>
    </xf>
    <xf numFmtId="0" fontId="61" fillId="0" borderId="30" xfId="0" applyFont="1" applyBorder="1" applyAlignment="1" applyProtection="1">
      <alignment horizontal="center" wrapText="1"/>
      <protection hidden="1"/>
    </xf>
    <xf numFmtId="0" fontId="61" fillId="0" borderId="8" xfId="0" applyFont="1" applyBorder="1" applyAlignment="1" applyProtection="1">
      <alignment horizontal="center" wrapText="1"/>
      <protection hidden="1"/>
    </xf>
    <xf numFmtId="0" fontId="61" fillId="0" borderId="20" xfId="0" applyFont="1" applyBorder="1" applyAlignment="1" applyProtection="1">
      <alignment horizontal="center" wrapText="1"/>
      <protection hidden="1"/>
    </xf>
    <xf numFmtId="0" fontId="95" fillId="0" borderId="30" xfId="0" applyFont="1" applyBorder="1" applyAlignment="1">
      <alignment horizontal="center"/>
    </xf>
    <xf numFmtId="0" fontId="95" fillId="0" borderId="8" xfId="0" applyFont="1" applyBorder="1" applyAlignment="1">
      <alignment horizontal="center"/>
    </xf>
    <xf numFmtId="0" fontId="95" fillId="0" borderId="20" xfId="0" applyFont="1" applyBorder="1" applyAlignment="1">
      <alignment horizontal="center"/>
    </xf>
    <xf numFmtId="49" fontId="61" fillId="0" borderId="30" xfId="0" applyNumberFormat="1" applyFont="1" applyBorder="1" applyAlignment="1">
      <alignment horizontal="center"/>
    </xf>
    <xf numFmtId="49" fontId="61" fillId="0" borderId="8" xfId="0" applyNumberFormat="1" applyFont="1" applyBorder="1" applyAlignment="1">
      <alignment horizontal="center"/>
    </xf>
    <xf numFmtId="49" fontId="61" fillId="0" borderId="20" xfId="0" applyNumberFormat="1" applyFont="1" applyBorder="1" applyAlignment="1">
      <alignment horizontal="center"/>
    </xf>
    <xf numFmtId="0" fontId="41" fillId="0" borderId="0" xfId="0" applyFont="1" applyAlignment="1" applyProtection="1">
      <alignment horizontal="left"/>
      <protection hidden="1"/>
    </xf>
    <xf numFmtId="0" fontId="41" fillId="0" borderId="0" xfId="0" applyFont="1" applyAlignment="1" applyProtection="1">
      <alignment horizontal="left" shrinkToFit="1"/>
      <protection hidden="1"/>
    </xf>
    <xf numFmtId="0" fontId="41" fillId="0" borderId="0" xfId="0" applyFont="1" applyAlignment="1" applyProtection="1">
      <alignment horizontal="right"/>
      <protection hidden="1"/>
    </xf>
    <xf numFmtId="0" fontId="121" fillId="0" borderId="9" xfId="0" applyFont="1" applyBorder="1" applyAlignment="1" applyProtection="1">
      <alignment horizontal="left"/>
      <protection hidden="1"/>
    </xf>
    <xf numFmtId="0" fontId="121" fillId="0" borderId="8" xfId="0" applyFont="1" applyBorder="1" applyAlignment="1">
      <alignment horizontal="center"/>
    </xf>
    <xf numFmtId="0" fontId="0" fillId="0" borderId="9" xfId="0" applyBorder="1" applyAlignment="1">
      <alignment horizontal="center" shrinkToFit="1"/>
    </xf>
    <xf numFmtId="0" fontId="8" fillId="0" borderId="9" xfId="0" applyFont="1" applyBorder="1" applyAlignment="1">
      <alignment horizontal="center"/>
    </xf>
    <xf numFmtId="187" fontId="8" fillId="0" borderId="9" xfId="0" applyNumberFormat="1" applyFont="1" applyBorder="1" applyAlignment="1">
      <alignment horizontal="center" shrinkToFit="1"/>
    </xf>
    <xf numFmtId="189" fontId="8" fillId="0" borderId="9" xfId="0" applyNumberFormat="1" applyFont="1" applyBorder="1" applyAlignment="1">
      <alignment horizontal="center"/>
    </xf>
    <xf numFmtId="49" fontId="8" fillId="0" borderId="9" xfId="0" applyNumberFormat="1" applyFont="1" applyBorder="1" applyAlignment="1">
      <alignment horizontal="center"/>
    </xf>
    <xf numFmtId="0" fontId="0" fillId="0" borderId="0" xfId="0" applyAlignment="1">
      <alignment horizontal="center"/>
    </xf>
    <xf numFmtId="0" fontId="52" fillId="0" borderId="0" xfId="0" applyFont="1" applyAlignment="1">
      <alignment horizontal="center"/>
    </xf>
    <xf numFmtId="167" fontId="49" fillId="0" borderId="0" xfId="0" applyNumberFormat="1" applyFont="1" applyAlignment="1">
      <alignment horizontal="center" wrapText="1"/>
    </xf>
    <xf numFmtId="167" fontId="25" fillId="0" borderId="0" xfId="0" applyNumberFormat="1" applyFont="1" applyAlignment="1">
      <alignment horizontal="center"/>
    </xf>
    <xf numFmtId="0" fontId="0" fillId="0" borderId="0" xfId="0" applyAlignment="1">
      <alignment horizontal="left"/>
    </xf>
    <xf numFmtId="178" fontId="0" fillId="0" borderId="0" xfId="0" applyNumberFormat="1" applyAlignment="1">
      <alignment horizontal="left"/>
    </xf>
    <xf numFmtId="49" fontId="104" fillId="0" borderId="9" xfId="0" applyNumberFormat="1" applyFont="1" applyBorder="1" applyAlignment="1">
      <alignment horizontal="center"/>
    </xf>
    <xf numFmtId="0" fontId="104" fillId="0" borderId="9" xfId="0" applyFont="1" applyBorder="1" applyAlignment="1">
      <alignment horizontal="center"/>
    </xf>
    <xf numFmtId="49" fontId="104" fillId="0" borderId="9" xfId="0" applyNumberFormat="1" applyFont="1" applyBorder="1" applyAlignment="1">
      <alignment horizontal="center" shrinkToFit="1"/>
    </xf>
    <xf numFmtId="0" fontId="104" fillId="0" borderId="9" xfId="0" applyFont="1" applyBorder="1" applyAlignment="1">
      <alignment horizontal="center" shrinkToFit="1"/>
    </xf>
    <xf numFmtId="14" fontId="104" fillId="0" borderId="9" xfId="0" applyNumberFormat="1" applyFont="1" applyBorder="1" applyAlignment="1">
      <alignment horizontal="center"/>
    </xf>
    <xf numFmtId="0" fontId="104" fillId="0" borderId="138" xfId="0" applyFont="1" applyBorder="1" applyAlignment="1">
      <alignment horizontal="left"/>
    </xf>
    <xf numFmtId="0" fontId="22" fillId="0" borderId="138" xfId="0" applyFont="1" applyBorder="1" applyAlignment="1">
      <alignment horizontal="left"/>
    </xf>
    <xf numFmtId="0" fontId="0" fillId="0" borderId="138" xfId="0" applyBorder="1" applyAlignment="1">
      <alignment horizontal="left"/>
    </xf>
    <xf numFmtId="0" fontId="0" fillId="0" borderId="9" xfId="0" applyBorder="1" applyAlignment="1" applyProtection="1">
      <alignment horizontal="center"/>
      <protection hidden="1"/>
    </xf>
    <xf numFmtId="0" fontId="0" fillId="0" borderId="138" xfId="0" applyBorder="1" applyAlignment="1">
      <alignment horizontal="center"/>
    </xf>
    <xf numFmtId="0" fontId="40" fillId="0" borderId="163" xfId="0" applyFont="1" applyBorder="1" applyAlignment="1" applyProtection="1">
      <alignment horizontal="left"/>
      <protection hidden="1"/>
    </xf>
    <xf numFmtId="0" fontId="123" fillId="0" borderId="0" xfId="0" applyFont="1" applyAlignment="1" applyProtection="1">
      <alignment horizontal="left"/>
      <protection hidden="1"/>
    </xf>
    <xf numFmtId="0" fontId="40" fillId="0" borderId="0" xfId="0" applyFont="1" applyAlignment="1" applyProtection="1">
      <alignment horizontal="center"/>
      <protection hidden="1"/>
    </xf>
    <xf numFmtId="0" fontId="40" fillId="0" borderId="0" xfId="0" applyFont="1" applyAlignment="1" applyProtection="1">
      <alignment horizontal="left"/>
      <protection hidden="1"/>
    </xf>
    <xf numFmtId="49" fontId="0" fillId="0" borderId="161" xfId="0" applyNumberFormat="1" applyBorder="1" applyAlignment="1" applyProtection="1">
      <alignment horizontal="center"/>
      <protection locked="0"/>
    </xf>
    <xf numFmtId="49" fontId="0" fillId="0" borderId="162" xfId="0" applyNumberFormat="1" applyBorder="1" applyAlignment="1" applyProtection="1">
      <alignment horizontal="center"/>
      <protection locked="0"/>
    </xf>
    <xf numFmtId="44" fontId="0" fillId="0" borderId="9" xfId="3" applyFont="1" applyBorder="1" applyAlignment="1">
      <alignment horizontal="left"/>
    </xf>
    <xf numFmtId="192" fontId="0" fillId="0" borderId="13" xfId="0" applyNumberFormat="1" applyBorder="1" applyAlignment="1">
      <alignment horizontal="center"/>
    </xf>
    <xf numFmtId="0" fontId="118" fillId="0" borderId="8" xfId="0" applyFont="1" applyBorder="1" applyAlignment="1">
      <alignment horizontal="center"/>
    </xf>
    <xf numFmtId="0" fontId="0" fillId="0" borderId="9" xfId="0" applyBorder="1" applyAlignment="1">
      <alignment horizontal="left"/>
    </xf>
    <xf numFmtId="0" fontId="118" fillId="0" borderId="51" xfId="0" applyFont="1" applyBorder="1" applyAlignment="1">
      <alignment horizontal="center"/>
    </xf>
    <xf numFmtId="0" fontId="0" fillId="0" borderId="51" xfId="0" applyBorder="1" applyAlignment="1">
      <alignment horizontal="center"/>
    </xf>
    <xf numFmtId="192" fontId="0" fillId="0" borderId="8" xfId="0" applyNumberFormat="1" applyBorder="1" applyAlignment="1">
      <alignment horizontal="center"/>
    </xf>
    <xf numFmtId="0" fontId="0" fillId="0" borderId="51" xfId="0" applyBorder="1" applyAlignment="1">
      <alignment horizontal="left"/>
    </xf>
    <xf numFmtId="0" fontId="8" fillId="0" borderId="36" xfId="0" applyFont="1" applyBorder="1" applyAlignment="1">
      <alignment horizontal="center"/>
    </xf>
    <xf numFmtId="0" fontId="8" fillId="0" borderId="13" xfId="0" applyFont="1" applyBorder="1" applyAlignment="1">
      <alignment horizontal="center"/>
    </xf>
    <xf numFmtId="0" fontId="8" fillId="0" borderId="14" xfId="0" applyFont="1" applyBorder="1" applyAlignment="1">
      <alignment horizontal="center"/>
    </xf>
    <xf numFmtId="194" fontId="0" fillId="0" borderId="9" xfId="0" applyNumberFormat="1" applyBorder="1" applyAlignment="1">
      <alignment horizontal="center"/>
    </xf>
    <xf numFmtId="193" fontId="0" fillId="0" borderId="9" xfId="0" applyNumberFormat="1" applyBorder="1" applyAlignment="1">
      <alignment horizontal="left"/>
    </xf>
    <xf numFmtId="0" fontId="8" fillId="0" borderId="154" xfId="0" applyFont="1" applyBorder="1" applyAlignment="1">
      <alignment horizontal="center"/>
    </xf>
    <xf numFmtId="0" fontId="1" fillId="0" borderId="5" xfId="0" applyFont="1" applyBorder="1" applyAlignment="1">
      <alignment horizontal="center"/>
    </xf>
    <xf numFmtId="0" fontId="8" fillId="6" borderId="0" xfId="0" applyFont="1" applyFill="1" applyAlignment="1">
      <alignment horizontal="center"/>
    </xf>
    <xf numFmtId="0" fontId="33" fillId="6" borderId="0" xfId="0" applyFont="1" applyFill="1" applyAlignment="1">
      <alignment horizontal="center"/>
    </xf>
    <xf numFmtId="177" fontId="1" fillId="0" borderId="4" xfId="0" applyNumberFormat="1" applyFont="1" applyBorder="1" applyAlignment="1">
      <alignment horizontal="center"/>
    </xf>
    <xf numFmtId="177" fontId="1" fillId="0" borderId="0" xfId="0" applyNumberFormat="1" applyFont="1" applyAlignment="1">
      <alignment horizontal="center"/>
    </xf>
    <xf numFmtId="177" fontId="25" fillId="0" borderId="2" xfId="0" applyNumberFormat="1" applyFont="1" applyBorder="1" applyAlignment="1">
      <alignment horizontal="center"/>
    </xf>
    <xf numFmtId="177" fontId="25" fillId="0" borderId="21" xfId="0" applyNumberFormat="1" applyFont="1" applyBorder="1" applyAlignment="1">
      <alignment horizontal="center"/>
    </xf>
    <xf numFmtId="177" fontId="25" fillId="0" borderId="3" xfId="0" applyNumberFormat="1" applyFont="1" applyBorder="1" applyAlignment="1">
      <alignment horizontal="center"/>
    </xf>
    <xf numFmtId="177" fontId="45" fillId="0" borderId="4" xfId="0" applyNumberFormat="1" applyFont="1" applyBorder="1" applyAlignment="1">
      <alignment horizontal="center"/>
    </xf>
    <xf numFmtId="177" fontId="45" fillId="0" borderId="0" xfId="0" applyNumberFormat="1" applyFont="1" applyAlignment="1">
      <alignment horizontal="center"/>
    </xf>
    <xf numFmtId="0" fontId="45" fillId="0" borderId="0" xfId="0" applyFont="1" applyAlignment="1">
      <alignment horizontal="center"/>
    </xf>
    <xf numFmtId="0" fontId="45" fillId="0" borderId="5" xfId="0" applyFont="1" applyBorder="1" applyAlignment="1">
      <alignment horizontal="center"/>
    </xf>
    <xf numFmtId="0" fontId="1" fillId="0" borderId="4" xfId="0" applyFont="1" applyBorder="1" applyAlignment="1">
      <alignment horizontal="center"/>
    </xf>
    <xf numFmtId="0" fontId="0" fillId="0" borderId="33" xfId="0" applyBorder="1" applyAlignment="1">
      <alignment horizontal="center" shrinkToFit="1"/>
    </xf>
    <xf numFmtId="0" fontId="0" fillId="0" borderId="21" xfId="0"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73" fillId="0" borderId="11" xfId="0" applyFont="1" applyBorder="1" applyAlignment="1">
      <alignment horizontal="center"/>
    </xf>
    <xf numFmtId="0" fontId="73" fillId="0" borderId="7" xfId="0" applyFont="1" applyBorder="1" applyAlignment="1">
      <alignment horizontal="center"/>
    </xf>
    <xf numFmtId="178" fontId="73" fillId="0" borderId="11" xfId="0" applyNumberFormat="1" applyFont="1" applyBorder="1" applyAlignment="1">
      <alignment horizontal="center" shrinkToFit="1"/>
    </xf>
    <xf numFmtId="49" fontId="73" fillId="0" borderId="11" xfId="0" applyNumberFormat="1" applyFont="1" applyBorder="1" applyAlignment="1">
      <alignment horizontal="center" shrinkToFit="1"/>
    </xf>
    <xf numFmtId="0" fontId="73" fillId="0" borderId="11" xfId="0" applyFont="1" applyBorder="1" applyAlignment="1">
      <alignment horizontal="center" shrinkToFit="1"/>
    </xf>
    <xf numFmtId="178" fontId="73" fillId="0" borderId="7" xfId="0" applyNumberFormat="1" applyFont="1" applyBorder="1" applyAlignment="1">
      <alignment horizontal="center" shrinkToFit="1"/>
    </xf>
    <xf numFmtId="0" fontId="73" fillId="0" borderId="9" xfId="0" applyFont="1" applyBorder="1" applyAlignment="1">
      <alignment horizontal="center" shrinkToFit="1"/>
    </xf>
    <xf numFmtId="0" fontId="0" fillId="0" borderId="32" xfId="0" applyBorder="1" applyAlignment="1">
      <alignment horizontal="center" shrinkToFit="1"/>
    </xf>
    <xf numFmtId="0" fontId="73" fillId="0" borderId="33" xfId="0" applyFont="1" applyBorder="1" applyAlignment="1">
      <alignment horizontal="center" shrinkToFit="1"/>
    </xf>
    <xf numFmtId="0" fontId="0" fillId="0" borderId="30" xfId="0" applyBorder="1" applyAlignment="1">
      <alignment horizontal="center"/>
    </xf>
    <xf numFmtId="0" fontId="0" fillId="0" borderId="8" xfId="0" applyBorder="1" applyAlignment="1">
      <alignment horizontal="center"/>
    </xf>
    <xf numFmtId="0" fontId="0" fillId="0" borderId="20" xfId="0" applyBorder="1" applyAlignment="1">
      <alignment horizontal="center"/>
    </xf>
    <xf numFmtId="0" fontId="8" fillId="0" borderId="42" xfId="0" applyFont="1" applyBorder="1" applyAlignment="1">
      <alignment horizontal="center"/>
    </xf>
    <xf numFmtId="0" fontId="8" fillId="0" borderId="41" xfId="0" applyFont="1" applyBorder="1" applyAlignment="1">
      <alignment horizontal="center"/>
    </xf>
    <xf numFmtId="0" fontId="0" fillId="0" borderId="42" xfId="0" applyBorder="1" applyAlignment="1">
      <alignment horizontal="center"/>
    </xf>
    <xf numFmtId="0" fontId="0" fillId="0" borderId="41" xfId="0" applyBorder="1" applyAlignment="1">
      <alignment horizontal="center"/>
    </xf>
    <xf numFmtId="0" fontId="8" fillId="0" borderId="21" xfId="0" applyFont="1" applyBorder="1" applyAlignment="1">
      <alignment horizontal="left"/>
    </xf>
    <xf numFmtId="0" fontId="8" fillId="0" borderId="3" xfId="0" applyFont="1" applyBorder="1" applyAlignment="1">
      <alignment horizontal="left"/>
    </xf>
    <xf numFmtId="0" fontId="49" fillId="0" borderId="4" xfId="0" applyFont="1" applyBorder="1" applyAlignment="1">
      <alignment horizontal="center"/>
    </xf>
    <xf numFmtId="0" fontId="49" fillId="0" borderId="0" xfId="0" applyFont="1" applyAlignment="1">
      <alignment horizontal="center"/>
    </xf>
    <xf numFmtId="0" fontId="49" fillId="0" borderId="5" xfId="0" applyFont="1" applyBorder="1" applyAlignment="1">
      <alignment horizontal="center"/>
    </xf>
    <xf numFmtId="0" fontId="5" fillId="0" borderId="4" xfId="0" applyFont="1" applyBorder="1" applyAlignment="1">
      <alignment horizontal="center" shrinkToFit="1"/>
    </xf>
    <xf numFmtId="0" fontId="5" fillId="0" borderId="0" xfId="0" applyFont="1" applyAlignment="1">
      <alignment horizontal="center" shrinkToFit="1"/>
    </xf>
    <xf numFmtId="0" fontId="8" fillId="0" borderId="0" xfId="0" applyFont="1" applyAlignment="1">
      <alignment horizontal="left"/>
    </xf>
    <xf numFmtId="0" fontId="8" fillId="0" borderId="0" xfId="0" applyFont="1" applyAlignment="1">
      <alignment horizontal="center" shrinkToFit="1"/>
    </xf>
    <xf numFmtId="0" fontId="8" fillId="0" borderId="5" xfId="0" applyFont="1" applyBorder="1" applyAlignment="1">
      <alignment horizontal="center" shrinkToFit="1"/>
    </xf>
    <xf numFmtId="0" fontId="8" fillId="4" borderId="12" xfId="0" applyFont="1" applyFill="1" applyBorder="1" applyAlignment="1">
      <alignment horizontal="center"/>
    </xf>
    <xf numFmtId="0" fontId="8" fillId="4" borderId="19" xfId="0" applyFont="1" applyFill="1" applyBorder="1" applyAlignment="1">
      <alignment horizontal="center"/>
    </xf>
    <xf numFmtId="0" fontId="23" fillId="0" borderId="0" xfId="0" applyFont="1" applyAlignment="1">
      <alignment horizontal="left" shrinkToFit="1"/>
    </xf>
    <xf numFmtId="0" fontId="8" fillId="0" borderId="4" xfId="0" applyFont="1" applyBorder="1" applyAlignment="1">
      <alignment horizontal="left" shrinkToFit="1"/>
    </xf>
    <xf numFmtId="0" fontId="8" fillId="0" borderId="0" xfId="0" applyFont="1" applyAlignment="1">
      <alignment horizontal="left" shrinkToFit="1"/>
    </xf>
    <xf numFmtId="0" fontId="29" fillId="0" borderId="15" xfId="0" applyFont="1" applyBorder="1" applyAlignment="1">
      <alignment horizontal="left"/>
    </xf>
    <xf numFmtId="0" fontId="29" fillId="0" borderId="16" xfId="0" applyFont="1" applyBorder="1" applyAlignment="1">
      <alignment horizontal="left"/>
    </xf>
    <xf numFmtId="16" fontId="29" fillId="0" borderId="17" xfId="0" applyNumberFormat="1" applyFont="1" applyBorder="1" applyAlignment="1">
      <alignment horizontal="left"/>
    </xf>
    <xf numFmtId="0" fontId="29" fillId="0" borderId="9" xfId="0" applyFont="1" applyBorder="1" applyAlignment="1">
      <alignment horizontal="left"/>
    </xf>
    <xf numFmtId="0" fontId="29" fillId="0" borderId="18" xfId="0" applyFont="1" applyBorder="1" applyAlignment="1">
      <alignment horizontal="left"/>
    </xf>
    <xf numFmtId="0" fontId="41" fillId="0" borderId="30" xfId="0" applyFont="1" applyBorder="1" applyAlignment="1">
      <alignment horizontal="left" shrinkToFit="1"/>
    </xf>
    <xf numFmtId="0" fontId="41" fillId="0" borderId="8" xfId="0" applyFont="1" applyBorder="1" applyAlignment="1">
      <alignment horizontal="left" shrinkToFit="1"/>
    </xf>
    <xf numFmtId="0" fontId="41" fillId="0" borderId="31" xfId="0" applyFont="1" applyBorder="1" applyAlignment="1">
      <alignment horizontal="left" shrinkToFit="1"/>
    </xf>
    <xf numFmtId="0" fontId="22" fillId="0" borderId="6" xfId="0" applyFont="1" applyBorder="1" applyAlignment="1">
      <alignment horizontal="right" shrinkToFit="1"/>
    </xf>
    <xf numFmtId="0" fontId="22" fillId="0" borderId="11" xfId="0" applyFont="1" applyBorder="1" applyAlignment="1">
      <alignment horizontal="right" shrinkToFit="1"/>
    </xf>
    <xf numFmtId="0" fontId="29" fillId="0" borderId="5" xfId="0" applyFont="1" applyBorder="1" applyAlignment="1">
      <alignment horizontal="left"/>
    </xf>
    <xf numFmtId="0" fontId="41" fillId="0" borderId="20" xfId="0" applyFont="1" applyBorder="1" applyAlignment="1">
      <alignment horizontal="left" shrinkToFit="1"/>
    </xf>
    <xf numFmtId="0" fontId="129" fillId="0" borderId="0" xfId="0" applyFont="1" applyAlignment="1">
      <alignment horizontal="left" shrinkToFit="1"/>
    </xf>
    <xf numFmtId="0" fontId="129" fillId="0" borderId="5" xfId="0" applyFont="1" applyBorder="1" applyAlignment="1">
      <alignment horizontal="left" shrinkToFit="1"/>
    </xf>
    <xf numFmtId="0" fontId="41" fillId="0" borderId="1" xfId="0" applyFont="1" applyBorder="1" applyAlignment="1">
      <alignment horizontal="right"/>
    </xf>
    <xf numFmtId="0" fontId="29" fillId="0" borderId="0" xfId="0" applyFont="1" applyAlignment="1">
      <alignment horizontal="center"/>
    </xf>
    <xf numFmtId="0" fontId="29" fillId="0" borderId="5" xfId="0" applyFont="1" applyBorder="1" applyAlignment="1">
      <alignment horizontal="center"/>
    </xf>
    <xf numFmtId="178" fontId="25" fillId="0" borderId="30" xfId="0" applyNumberFormat="1" applyFont="1" applyBorder="1" applyAlignment="1">
      <alignment horizontal="left"/>
    </xf>
    <xf numFmtId="178" fontId="25" fillId="0" borderId="20" xfId="0" applyNumberFormat="1" applyFont="1" applyBorder="1" applyAlignment="1">
      <alignment horizontal="left"/>
    </xf>
    <xf numFmtId="0" fontId="8" fillId="4" borderId="21" xfId="0" applyFont="1" applyFill="1" applyBorder="1" applyAlignment="1">
      <alignment horizontal="left" shrinkToFit="1"/>
    </xf>
    <xf numFmtId="0" fontId="8" fillId="4" borderId="3" xfId="0" applyFont="1" applyFill="1" applyBorder="1" applyAlignment="1">
      <alignment horizontal="left" shrinkToFit="1"/>
    </xf>
    <xf numFmtId="0" fontId="8" fillId="4" borderId="0" xfId="0" applyFont="1" applyFill="1" applyAlignment="1">
      <alignment horizontal="left" shrinkToFit="1"/>
    </xf>
    <xf numFmtId="0" fontId="8" fillId="4" borderId="5" xfId="0" applyFont="1" applyFill="1" applyBorder="1" applyAlignment="1">
      <alignment horizontal="left" shrinkToFit="1"/>
    </xf>
    <xf numFmtId="0" fontId="8" fillId="0" borderId="4" xfId="0" applyFont="1" applyBorder="1" applyAlignment="1">
      <alignment horizontal="left"/>
    </xf>
    <xf numFmtId="178" fontId="8" fillId="0" borderId="0" xfId="0" applyNumberFormat="1" applyFont="1" applyAlignment="1">
      <alignment horizontal="center"/>
    </xf>
    <xf numFmtId="178" fontId="8" fillId="0" borderId="0" xfId="0" applyNumberFormat="1" applyFont="1" applyAlignment="1" applyProtection="1">
      <alignment horizontal="center"/>
      <protection locked="0"/>
    </xf>
    <xf numFmtId="16" fontId="29" fillId="0" borderId="15" xfId="0" applyNumberFormat="1" applyFont="1" applyBorder="1" applyAlignment="1">
      <alignment horizontal="left"/>
    </xf>
    <xf numFmtId="0" fontId="29" fillId="0" borderId="0" xfId="0" applyFont="1" applyAlignment="1">
      <alignment horizontal="left"/>
    </xf>
    <xf numFmtId="0" fontId="8" fillId="0" borderId="16" xfId="0" applyFont="1" applyBorder="1" applyAlignment="1">
      <alignment horizontal="right"/>
    </xf>
    <xf numFmtId="0" fontId="8" fillId="0" borderId="15" xfId="0" applyFont="1" applyBorder="1" applyAlignment="1">
      <alignment horizontal="right"/>
    </xf>
    <xf numFmtId="0" fontId="8" fillId="4" borderId="12" xfId="0" applyFont="1" applyFill="1" applyBorder="1" applyAlignment="1">
      <alignment horizontal="center" shrinkToFit="1"/>
    </xf>
    <xf numFmtId="0" fontId="8" fillId="4" borderId="10" xfId="0" applyFont="1" applyFill="1" applyBorder="1" applyAlignment="1">
      <alignment horizontal="center" shrinkToFit="1"/>
    </xf>
    <xf numFmtId="0" fontId="8" fillId="4" borderId="19" xfId="0" applyFont="1" applyFill="1" applyBorder="1" applyAlignment="1">
      <alignment horizontal="center" shrinkToFit="1"/>
    </xf>
    <xf numFmtId="0" fontId="22" fillId="0" borderId="2" xfId="0" applyFont="1" applyBorder="1" applyAlignment="1">
      <alignment horizontal="right"/>
    </xf>
    <xf numFmtId="0" fontId="22" fillId="0" borderId="3" xfId="0" applyFont="1" applyBorder="1" applyAlignment="1">
      <alignment horizontal="right"/>
    </xf>
    <xf numFmtId="2" fontId="8" fillId="4" borderId="11" xfId="0" applyNumberFormat="1" applyFont="1" applyFill="1" applyBorder="1" applyAlignment="1">
      <alignment horizontal="left" shrinkToFit="1"/>
    </xf>
    <xf numFmtId="2" fontId="8" fillId="4" borderId="0" xfId="0" applyNumberFormat="1" applyFont="1" applyFill="1" applyAlignment="1">
      <alignment horizontal="left" shrinkToFit="1"/>
    </xf>
    <xf numFmtId="2" fontId="22" fillId="4" borderId="11" xfId="0" applyNumberFormat="1" applyFont="1" applyFill="1" applyBorder="1" applyAlignment="1">
      <alignment horizontal="left" shrinkToFit="1"/>
    </xf>
    <xf numFmtId="2" fontId="22" fillId="4" borderId="7" xfId="0" applyNumberFormat="1" applyFont="1" applyFill="1" applyBorder="1" applyAlignment="1">
      <alignment horizontal="left" shrinkToFit="1"/>
    </xf>
    <xf numFmtId="0" fontId="52" fillId="0" borderId="4" xfId="0" applyFont="1" applyBorder="1" applyAlignment="1">
      <alignment horizontal="center" shrinkToFit="1"/>
    </xf>
    <xf numFmtId="0" fontId="52" fillId="0" borderId="0" xfId="0" applyFont="1" applyAlignment="1">
      <alignment horizontal="center" shrinkToFit="1"/>
    </xf>
    <xf numFmtId="0" fontId="22" fillId="0" borderId="4" xfId="0" applyFont="1" applyBorder="1" applyAlignment="1">
      <alignment horizontal="right" shrinkToFit="1"/>
    </xf>
    <xf numFmtId="0" fontId="22" fillId="0" borderId="0" xfId="0" applyFont="1" applyAlignment="1">
      <alignment horizontal="right" shrinkToFit="1"/>
    </xf>
    <xf numFmtId="0" fontId="41" fillId="4" borderId="12" xfId="0" applyFont="1" applyFill="1" applyBorder="1" applyAlignment="1">
      <alignment horizontal="center" shrinkToFit="1"/>
    </xf>
    <xf numFmtId="0" fontId="41" fillId="4" borderId="10" xfId="0" applyFont="1" applyFill="1" applyBorder="1" applyAlignment="1">
      <alignment horizontal="center" shrinkToFit="1"/>
    </xf>
    <xf numFmtId="0" fontId="41" fillId="0" borderId="0" xfId="0" applyFont="1" applyAlignment="1">
      <alignment horizontal="center" shrinkToFit="1"/>
    </xf>
    <xf numFmtId="0" fontId="8" fillId="0" borderId="30" xfId="0" applyFont="1" applyBorder="1" applyAlignment="1">
      <alignment horizontal="center"/>
    </xf>
    <xf numFmtId="0" fontId="8" fillId="0" borderId="8" xfId="0" applyFont="1" applyBorder="1" applyAlignment="1">
      <alignment horizontal="center"/>
    </xf>
    <xf numFmtId="0" fontId="8" fillId="0" borderId="31" xfId="0" applyFont="1" applyBorder="1" applyAlignment="1">
      <alignment horizontal="center"/>
    </xf>
    <xf numFmtId="0" fontId="8" fillId="0" borderId="30" xfId="0" applyFont="1" applyBorder="1" applyAlignment="1">
      <alignment horizontal="center" shrinkToFit="1"/>
    </xf>
    <xf numFmtId="0" fontId="8" fillId="0" borderId="8" xfId="0" applyFont="1" applyBorder="1" applyAlignment="1">
      <alignment horizontal="center" shrinkToFit="1"/>
    </xf>
    <xf numFmtId="0" fontId="8" fillId="0" borderId="31" xfId="0" applyFont="1" applyBorder="1" applyAlignment="1">
      <alignment horizontal="center" shrinkToFit="1"/>
    </xf>
    <xf numFmtId="0" fontId="29" fillId="0" borderId="13" xfId="0" applyFont="1" applyBorder="1" applyAlignment="1">
      <alignment horizontal="center"/>
    </xf>
    <xf numFmtId="0" fontId="29" fillId="0" borderId="35" xfId="0" applyFont="1" applyBorder="1" applyAlignment="1">
      <alignment horizontal="center"/>
    </xf>
    <xf numFmtId="0" fontId="29" fillId="0" borderId="17" xfId="0" applyFont="1" applyBorder="1" applyAlignment="1">
      <alignment horizontal="left"/>
    </xf>
    <xf numFmtId="0" fontId="43" fillId="4" borderId="12" xfId="0" applyFont="1" applyFill="1" applyBorder="1" applyAlignment="1">
      <alignment horizontal="center" shrinkToFit="1"/>
    </xf>
    <xf numFmtId="0" fontId="43" fillId="4" borderId="19" xfId="0" applyFont="1" applyFill="1" applyBorder="1" applyAlignment="1">
      <alignment horizontal="center" shrinkToFit="1"/>
    </xf>
    <xf numFmtId="0" fontId="41" fillId="0" borderId="0" xfId="0" applyFont="1" applyAlignment="1">
      <alignment horizontal="left" shrinkToFit="1"/>
    </xf>
    <xf numFmtId="0" fontId="41" fillId="0" borderId="5" xfId="0" applyFont="1" applyBorder="1" applyAlignment="1">
      <alignment horizontal="left" shrinkToFit="1"/>
    </xf>
    <xf numFmtId="0" fontId="29" fillId="0" borderId="33" xfId="0" applyFont="1" applyBorder="1" applyAlignment="1">
      <alignment horizontal="left"/>
    </xf>
    <xf numFmtId="187" fontId="71" fillId="0" borderId="4" xfId="0" applyNumberFormat="1" applyFont="1" applyBorder="1" applyAlignment="1">
      <alignment horizontal="center"/>
    </xf>
    <xf numFmtId="187" fontId="71" fillId="0" borderId="0" xfId="0" applyNumberFormat="1" applyFont="1" applyAlignment="1">
      <alignment horizontal="center"/>
    </xf>
    <xf numFmtId="187" fontId="71" fillId="0" borderId="5" xfId="0" applyNumberFormat="1" applyFont="1" applyBorder="1" applyAlignment="1">
      <alignment horizontal="center"/>
    </xf>
    <xf numFmtId="0" fontId="76" fillId="0" borderId="4" xfId="0" applyFont="1" applyBorder="1" applyAlignment="1">
      <alignment horizontal="center"/>
    </xf>
    <xf numFmtId="0" fontId="76" fillId="0" borderId="0" xfId="0" applyFont="1" applyAlignment="1">
      <alignment horizontal="center"/>
    </xf>
    <xf numFmtId="0" fontId="76" fillId="0" borderId="5" xfId="0" applyFont="1" applyBorder="1" applyAlignment="1">
      <alignment horizontal="center"/>
    </xf>
    <xf numFmtId="187" fontId="76" fillId="0" borderId="4" xfId="0" applyNumberFormat="1" applyFont="1" applyBorder="1" applyAlignment="1">
      <alignment horizontal="center"/>
    </xf>
    <xf numFmtId="187" fontId="76" fillId="0" borderId="0" xfId="0" applyNumberFormat="1" applyFont="1" applyAlignment="1">
      <alignment horizontal="center"/>
    </xf>
    <xf numFmtId="187" fontId="76" fillId="0" borderId="5" xfId="0" applyNumberFormat="1" applyFont="1" applyBorder="1" applyAlignment="1">
      <alignment horizontal="center"/>
    </xf>
    <xf numFmtId="0" fontId="95" fillId="0" borderId="36" xfId="0" applyFont="1" applyBorder="1" applyAlignment="1">
      <alignment horizontal="left" shrinkToFit="1"/>
    </xf>
    <xf numFmtId="0" fontId="95" fillId="0" borderId="13" xfId="0" applyFont="1" applyBorder="1" applyAlignment="1">
      <alignment horizontal="left" shrinkToFit="1"/>
    </xf>
    <xf numFmtId="0" fontId="95" fillId="0" borderId="14" xfId="0" applyFont="1" applyBorder="1" applyAlignment="1">
      <alignment horizontal="left" shrinkToFit="1"/>
    </xf>
    <xf numFmtId="0" fontId="95" fillId="0" borderId="15" xfId="0" applyFont="1" applyBorder="1" applyAlignment="1">
      <alignment horizontal="left" shrinkToFit="1"/>
    </xf>
    <xf numFmtId="0" fontId="95" fillId="0" borderId="0" xfId="0" applyFont="1" applyAlignment="1">
      <alignment horizontal="left" shrinkToFit="1"/>
    </xf>
    <xf numFmtId="0" fontId="95" fillId="0" borderId="16" xfId="0" applyFont="1" applyBorder="1" applyAlignment="1">
      <alignment horizontal="left" shrinkToFit="1"/>
    </xf>
    <xf numFmtId="0" fontId="40" fillId="0" borderId="36" xfId="0" applyFont="1" applyBorder="1" applyAlignment="1" applyProtection="1">
      <alignment horizontal="left" shrinkToFit="1"/>
      <protection locked="0"/>
    </xf>
    <xf numFmtId="0" fontId="40" fillId="0" borderId="13" xfId="0" applyFont="1" applyBorder="1" applyAlignment="1" applyProtection="1">
      <alignment horizontal="left" shrinkToFit="1"/>
      <protection locked="0"/>
    </xf>
    <xf numFmtId="0" fontId="40" fillId="0" borderId="14" xfId="0" applyFont="1" applyBorder="1" applyAlignment="1" applyProtection="1">
      <alignment horizontal="left" shrinkToFit="1"/>
      <protection locked="0"/>
    </xf>
    <xf numFmtId="0" fontId="40" fillId="0" borderId="15" xfId="0" applyFont="1" applyBorder="1" applyAlignment="1" applyProtection="1">
      <alignment horizontal="left" shrinkToFit="1"/>
      <protection locked="0"/>
    </xf>
    <xf numFmtId="0" fontId="40" fillId="0" borderId="0" xfId="0" applyFont="1" applyAlignment="1" applyProtection="1">
      <alignment horizontal="left" shrinkToFit="1"/>
      <protection locked="0"/>
    </xf>
    <xf numFmtId="0" fontId="40" fillId="0" borderId="16" xfId="0" applyFont="1" applyBorder="1" applyAlignment="1" applyProtection="1">
      <alignment horizontal="left" shrinkToFit="1"/>
      <protection locked="0"/>
    </xf>
    <xf numFmtId="178" fontId="45" fillId="0" borderId="0" xfId="0" applyNumberFormat="1" applyFont="1" applyAlignment="1" applyProtection="1">
      <alignment horizontal="center"/>
      <protection hidden="1"/>
    </xf>
    <xf numFmtId="0" fontId="40" fillId="0" borderId="30" xfId="0" applyFont="1" applyBorder="1" applyAlignment="1">
      <alignment horizontal="center"/>
    </xf>
    <xf numFmtId="0" fontId="40" fillId="0" borderId="8" xfId="0" applyFont="1" applyBorder="1" applyAlignment="1">
      <alignment horizontal="center"/>
    </xf>
    <xf numFmtId="0" fontId="40" fillId="0" borderId="20" xfId="0" applyFont="1" applyBorder="1" applyAlignment="1">
      <alignment horizontal="center"/>
    </xf>
    <xf numFmtId="0" fontId="8" fillId="0" borderId="30" xfId="0" applyFont="1" applyBorder="1" applyAlignment="1">
      <alignment horizontal="center" vertical="center"/>
    </xf>
    <xf numFmtId="0" fontId="8" fillId="0" borderId="8" xfId="0" applyFont="1" applyBorder="1" applyAlignment="1">
      <alignment horizontal="center" vertical="center"/>
    </xf>
    <xf numFmtId="0" fontId="8" fillId="0" borderId="20" xfId="0" applyFont="1" applyBorder="1" applyAlignment="1">
      <alignment horizontal="center" vertical="center"/>
    </xf>
    <xf numFmtId="0" fontId="40" fillId="0" borderId="5" xfId="0" applyFont="1" applyBorder="1" applyAlignment="1" applyProtection="1">
      <alignment horizontal="center"/>
      <protection hidden="1"/>
    </xf>
    <xf numFmtId="0" fontId="8" fillId="0" borderId="6" xfId="0" applyFont="1" applyBorder="1" applyAlignment="1">
      <alignment horizontal="center" shrinkToFit="1"/>
    </xf>
    <xf numFmtId="0" fontId="8" fillId="0" borderId="11" xfId="0" applyFont="1" applyBorder="1" applyAlignment="1">
      <alignment horizontal="center" shrinkToFit="1"/>
    </xf>
    <xf numFmtId="0" fontId="8" fillId="0" borderId="5" xfId="0" applyFont="1" applyBorder="1" applyAlignment="1">
      <alignment horizontal="left" shrinkToFit="1"/>
    </xf>
    <xf numFmtId="0" fontId="25" fillId="0" borderId="4" xfId="0" applyFont="1" applyBorder="1" applyAlignment="1">
      <alignment horizontal="left" shrinkToFit="1"/>
    </xf>
    <xf numFmtId="0" fontId="25" fillId="0" borderId="0" xfId="0" applyFont="1" applyAlignment="1">
      <alignment horizontal="left" shrinkToFit="1"/>
    </xf>
    <xf numFmtId="0" fontId="0" fillId="0" borderId="2"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0" fontId="0" fillId="0" borderId="0" xfId="0" applyAlignment="1" applyProtection="1">
      <alignment horizontal="center"/>
      <protection hidden="1"/>
    </xf>
    <xf numFmtId="0" fontId="0" fillId="0" borderId="5" xfId="0" applyBorder="1" applyAlignment="1" applyProtection="1">
      <alignment horizontal="center"/>
      <protection hidden="1"/>
    </xf>
    <xf numFmtId="0" fontId="8" fillId="0" borderId="5" xfId="0" applyFont="1" applyBorder="1" applyAlignment="1">
      <alignment horizontal="left"/>
    </xf>
    <xf numFmtId="0" fontId="136" fillId="0" borderId="0" xfId="0" applyFont="1" applyAlignment="1">
      <alignment horizontal="left" shrinkToFit="1"/>
    </xf>
    <xf numFmtId="0" fontId="136" fillId="0" borderId="5" xfId="0" applyFont="1" applyBorder="1" applyAlignment="1">
      <alignment horizontal="left" shrinkToFit="1"/>
    </xf>
    <xf numFmtId="0" fontId="41" fillId="0" borderId="15" xfId="0" applyFont="1" applyBorder="1" applyAlignment="1">
      <alignment horizontal="center" vertical="center" shrinkToFit="1"/>
    </xf>
    <xf numFmtId="0" fontId="41" fillId="0" borderId="0" xfId="0" applyFont="1" applyAlignment="1">
      <alignment horizontal="center" vertical="center" shrinkToFit="1"/>
    </xf>
    <xf numFmtId="0" fontId="40" fillId="0" borderId="17" xfId="0" applyFont="1" applyBorder="1" applyAlignment="1" applyProtection="1">
      <alignment horizontal="left" shrinkToFit="1"/>
      <protection locked="0"/>
    </xf>
    <xf numFmtId="0" fontId="40" fillId="0" borderId="9" xfId="0" applyFont="1" applyBorder="1" applyAlignment="1" applyProtection="1">
      <alignment horizontal="left" shrinkToFit="1"/>
      <protection locked="0"/>
    </xf>
    <xf numFmtId="0" fontId="40" fillId="0" borderId="18" xfId="0" applyFont="1" applyBorder="1" applyAlignment="1" applyProtection="1">
      <alignment horizontal="left" shrinkToFit="1"/>
      <protection locked="0"/>
    </xf>
    <xf numFmtId="0" fontId="25" fillId="0" borderId="4" xfId="0" applyFont="1" applyBorder="1" applyAlignment="1">
      <alignment horizontal="center"/>
    </xf>
    <xf numFmtId="0" fontId="25" fillId="0" borderId="5" xfId="0" applyFont="1" applyBorder="1" applyAlignment="1">
      <alignment horizontal="center"/>
    </xf>
    <xf numFmtId="0" fontId="41" fillId="0" borderId="36" xfId="0" applyFont="1" applyBorder="1" applyAlignment="1">
      <alignment horizontal="center"/>
    </xf>
    <xf numFmtId="0" fontId="41" fillId="0" borderId="13" xfId="0" applyFont="1" applyBorder="1" applyAlignment="1">
      <alignment horizontal="center"/>
    </xf>
    <xf numFmtId="0" fontId="95" fillId="0" borderId="17" xfId="0" applyFont="1" applyBorder="1" applyAlignment="1">
      <alignment horizontal="left" shrinkToFit="1"/>
    </xf>
    <xf numFmtId="0" fontId="95" fillId="0" borderId="9" xfId="0" applyFont="1" applyBorder="1" applyAlignment="1">
      <alignment horizontal="left" shrinkToFit="1"/>
    </xf>
    <xf numFmtId="0" fontId="95" fillId="0" borderId="18" xfId="0" applyFont="1" applyBorder="1" applyAlignment="1">
      <alignment horizontal="left" shrinkToFit="1"/>
    </xf>
    <xf numFmtId="0" fontId="45" fillId="13" borderId="0" xfId="0" applyFont="1" applyFill="1" applyAlignment="1" applyProtection="1">
      <alignment horizontal="center"/>
      <protection locked="0"/>
    </xf>
    <xf numFmtId="0" fontId="45" fillId="13" borderId="5" xfId="0" applyFont="1" applyFill="1" applyBorder="1" applyAlignment="1" applyProtection="1">
      <alignment horizontal="center"/>
      <protection locked="0"/>
    </xf>
    <xf numFmtId="0" fontId="8" fillId="0" borderId="4" xfId="0" applyFont="1" applyBorder="1" applyAlignment="1">
      <alignment horizontal="center" shrinkToFit="1"/>
    </xf>
    <xf numFmtId="0" fontId="0" fillId="0" borderId="15" xfId="0" applyBorder="1" applyAlignment="1" applyProtection="1">
      <alignment horizontal="left" shrinkToFit="1"/>
      <protection hidden="1"/>
    </xf>
    <xf numFmtId="0" fontId="0" fillId="0" borderId="0" xfId="0" applyAlignment="1" applyProtection="1">
      <alignment horizontal="left" shrinkToFit="1"/>
      <protection hidden="1"/>
    </xf>
    <xf numFmtId="0" fontId="0" fillId="0" borderId="16" xfId="0" applyBorder="1" applyAlignment="1" applyProtection="1">
      <alignment horizontal="left" shrinkToFit="1"/>
      <protection hidden="1"/>
    </xf>
    <xf numFmtId="187" fontId="8" fillId="0" borderId="0" xfId="0" applyNumberFormat="1" applyFont="1" applyAlignment="1">
      <alignment horizontal="center"/>
    </xf>
    <xf numFmtId="0" fontId="0" fillId="0" borderId="36"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7"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8" xfId="0" applyBorder="1" applyAlignment="1" applyProtection="1">
      <alignment horizontal="left" shrinkToFit="1"/>
      <protection hidden="1"/>
    </xf>
    <xf numFmtId="0" fontId="0" fillId="0" borderId="36" xfId="0" applyBorder="1" applyAlignment="1" applyProtection="1">
      <alignment horizontal="left" shrinkToFit="1"/>
      <protection locked="0"/>
    </xf>
    <xf numFmtId="0" fontId="0" fillId="0" borderId="13" xfId="0" applyBorder="1" applyAlignment="1" applyProtection="1">
      <alignment horizontal="left" shrinkToFit="1"/>
      <protection locked="0"/>
    </xf>
    <xf numFmtId="0" fontId="0" fillId="0" borderId="14" xfId="0" applyBorder="1" applyAlignment="1" applyProtection="1">
      <alignment horizontal="left" shrinkToFit="1"/>
      <protection locked="0"/>
    </xf>
    <xf numFmtId="0" fontId="0" fillId="0" borderId="15" xfId="0" applyBorder="1" applyAlignment="1" applyProtection="1">
      <alignment horizontal="left" shrinkToFit="1"/>
      <protection locked="0"/>
    </xf>
    <xf numFmtId="0" fontId="0" fillId="0" borderId="0" xfId="0" applyAlignment="1" applyProtection="1">
      <alignment horizontal="left" shrinkToFit="1"/>
      <protection locked="0"/>
    </xf>
    <xf numFmtId="0" fontId="0" fillId="0" borderId="16" xfId="0" applyBorder="1" applyAlignment="1" applyProtection="1">
      <alignment horizontal="left" shrinkToFit="1"/>
      <protection locked="0"/>
    </xf>
    <xf numFmtId="0" fontId="0" fillId="0" borderId="17" xfId="0" applyBorder="1" applyAlignment="1" applyProtection="1">
      <alignment horizontal="left" shrinkToFit="1"/>
      <protection locked="0"/>
    </xf>
    <xf numFmtId="0" fontId="0" fillId="0" borderId="9" xfId="0" applyBorder="1" applyAlignment="1" applyProtection="1">
      <alignment horizontal="left" shrinkToFit="1"/>
      <protection locked="0"/>
    </xf>
    <xf numFmtId="0" fontId="0" fillId="0" borderId="18" xfId="0" applyBorder="1" applyAlignment="1" applyProtection="1">
      <alignment horizontal="left" shrinkToFit="1"/>
      <protection locked="0"/>
    </xf>
    <xf numFmtId="0" fontId="8" fillId="0" borderId="21" xfId="0" applyFont="1" applyBorder="1" applyAlignment="1">
      <alignment horizontal="center"/>
    </xf>
    <xf numFmtId="0" fontId="138" fillId="0" borderId="0" xfId="0" applyFont="1" applyAlignment="1">
      <alignment horizontal="left" shrinkToFit="1"/>
    </xf>
    <xf numFmtId="0" fontId="138" fillId="0" borderId="0" xfId="0" applyFont="1" applyAlignment="1">
      <alignment shrinkToFit="1"/>
    </xf>
    <xf numFmtId="0" fontId="138" fillId="0" borderId="5" xfId="0" applyFont="1" applyBorder="1" applyAlignment="1">
      <alignment shrinkToFit="1"/>
    </xf>
    <xf numFmtId="0" fontId="4" fillId="0" borderId="15" xfId="0" applyFont="1" applyBorder="1" applyAlignment="1">
      <alignment horizontal="center"/>
    </xf>
    <xf numFmtId="0" fontId="22" fillId="0" borderId="15" xfId="0" applyFont="1" applyBorder="1" applyAlignment="1">
      <alignment horizontal="center"/>
    </xf>
    <xf numFmtId="191" fontId="151" fillId="0" borderId="8" xfId="9" applyFont="1" applyBorder="1" applyAlignment="1">
      <alignment horizontal="center"/>
    </xf>
    <xf numFmtId="191" fontId="151" fillId="0" borderId="20" xfId="9" applyFont="1" applyBorder="1" applyAlignment="1">
      <alignment horizontal="center"/>
    </xf>
    <xf numFmtId="191" fontId="149" fillId="5" borderId="0" xfId="9" applyFont="1" applyFill="1" applyBorder="1" applyAlignment="1">
      <alignment horizontal="center" vertical="top"/>
    </xf>
    <xf numFmtId="191" fontId="154" fillId="5" borderId="30" xfId="9" applyFont="1" applyFill="1" applyBorder="1" applyAlignment="1" applyProtection="1">
      <alignment horizontal="center" vertical="center"/>
      <protection locked="0"/>
    </xf>
    <xf numFmtId="191" fontId="154" fillId="5" borderId="20" xfId="9" applyFont="1" applyFill="1" applyBorder="1" applyAlignment="1" applyProtection="1">
      <alignment horizontal="center" vertical="center"/>
      <protection locked="0"/>
    </xf>
    <xf numFmtId="191" fontId="153" fillId="5" borderId="30" xfId="9" applyFont="1" applyFill="1" applyBorder="1" applyAlignment="1" applyProtection="1">
      <alignment horizontal="left" vertical="center"/>
      <protection locked="0"/>
    </xf>
    <xf numFmtId="191" fontId="153" fillId="5" borderId="8" xfId="9" applyFont="1" applyFill="1" applyBorder="1" applyAlignment="1" applyProtection="1">
      <alignment horizontal="left" vertical="center"/>
      <protection locked="0"/>
    </xf>
    <xf numFmtId="191" fontId="154" fillId="5" borderId="30" xfId="9" applyFont="1" applyFill="1" applyBorder="1" applyAlignment="1">
      <alignment horizontal="center" vertical="center"/>
    </xf>
    <xf numFmtId="191" fontId="154" fillId="5" borderId="20" xfId="9" applyFont="1" applyFill="1" applyBorder="1" applyAlignment="1">
      <alignment horizontal="center" vertical="center"/>
    </xf>
    <xf numFmtId="15" fontId="154" fillId="5" borderId="30" xfId="9" quotePrefix="1" applyNumberFormat="1" applyFont="1" applyFill="1" applyBorder="1" applyAlignment="1" applyProtection="1">
      <alignment horizontal="center" vertical="center"/>
      <protection locked="0"/>
    </xf>
    <xf numFmtId="15" fontId="154" fillId="5" borderId="20" xfId="9" quotePrefix="1" applyNumberFormat="1" applyFont="1" applyFill="1" applyBorder="1" applyAlignment="1" applyProtection="1">
      <alignment horizontal="center" vertical="center"/>
      <protection locked="0"/>
    </xf>
    <xf numFmtId="191" fontId="153" fillId="5" borderId="30" xfId="9" applyFont="1" applyFill="1" applyBorder="1" applyAlignment="1">
      <alignment horizontal="left" vertical="center"/>
    </xf>
    <xf numFmtId="191" fontId="153" fillId="5" borderId="20" xfId="9" applyFont="1" applyFill="1" applyBorder="1" applyAlignment="1">
      <alignment horizontal="left" vertical="center"/>
    </xf>
    <xf numFmtId="191" fontId="153" fillId="5" borderId="30" xfId="9" quotePrefix="1" applyFont="1" applyFill="1" applyBorder="1" applyAlignment="1">
      <alignment horizontal="left" vertical="center"/>
    </xf>
    <xf numFmtId="191" fontId="153" fillId="5" borderId="20" xfId="9" quotePrefix="1" applyFont="1" applyFill="1" applyBorder="1" applyAlignment="1">
      <alignment horizontal="left" vertical="center"/>
    </xf>
    <xf numFmtId="191" fontId="151" fillId="11" borderId="30" xfId="9" applyFont="1" applyFill="1" applyBorder="1" applyAlignment="1">
      <alignment horizontal="left"/>
    </xf>
    <xf numFmtId="191" fontId="151" fillId="11" borderId="8" xfId="9" applyFont="1" applyFill="1" applyBorder="1" applyAlignment="1">
      <alignment horizontal="left"/>
    </xf>
    <xf numFmtId="191" fontId="151" fillId="11" borderId="20" xfId="9" applyFont="1" applyFill="1" applyBorder="1" applyAlignment="1">
      <alignment horizontal="left"/>
    </xf>
    <xf numFmtId="191" fontId="151" fillId="0" borderId="13" xfId="9" applyFont="1" applyBorder="1" applyAlignment="1">
      <alignment horizontal="center"/>
    </xf>
    <xf numFmtId="191" fontId="151" fillId="0" borderId="14" xfId="9" applyFont="1" applyBorder="1" applyAlignment="1">
      <alignment horizontal="center"/>
    </xf>
    <xf numFmtId="0" fontId="0" fillId="0" borderId="107" xfId="0" applyBorder="1" applyAlignment="1" applyProtection="1">
      <alignment horizontal="center"/>
      <protection locked="0"/>
    </xf>
    <xf numFmtId="0" fontId="0" fillId="0" borderId="1" xfId="0" applyBorder="1" applyAlignment="1" applyProtection="1">
      <alignment horizontal="center"/>
      <protection locked="0"/>
    </xf>
    <xf numFmtId="0" fontId="0" fillId="0" borderId="30" xfId="0" applyBorder="1" applyAlignment="1" applyProtection="1">
      <alignment horizontal="center"/>
      <protection locked="0"/>
    </xf>
    <xf numFmtId="0" fontId="4" fillId="0" borderId="2" xfId="0" applyFont="1" applyBorder="1" applyAlignment="1" applyProtection="1">
      <alignment horizontal="center"/>
      <protection locked="0"/>
    </xf>
    <xf numFmtId="0" fontId="0" fillId="0" borderId="3" xfId="0" applyBorder="1" applyAlignment="1" applyProtection="1">
      <alignment horizontal="center"/>
      <protection locked="0"/>
    </xf>
    <xf numFmtId="0" fontId="4" fillId="0" borderId="4" xfId="0" applyFont="1" applyBorder="1" applyAlignment="1" applyProtection="1">
      <alignment horizontal="center"/>
      <protection locked="0"/>
    </xf>
    <xf numFmtId="0" fontId="0" fillId="0" borderId="0" xfId="0" applyAlignment="1" applyProtection="1">
      <alignment horizontal="center"/>
      <protection locked="0"/>
    </xf>
    <xf numFmtId="0" fontId="0" fillId="0" borderId="174" xfId="0" applyBorder="1" applyAlignment="1" applyProtection="1">
      <alignment horizontal="center"/>
      <protection locked="0"/>
    </xf>
    <xf numFmtId="0" fontId="0" fillId="0" borderId="62" xfId="0" applyBorder="1" applyAlignment="1" applyProtection="1">
      <alignment horizontal="center"/>
      <protection locked="0"/>
    </xf>
    <xf numFmtId="0" fontId="0" fillId="0" borderId="175" xfId="0" applyBorder="1" applyAlignment="1" applyProtection="1">
      <alignment horizontal="center"/>
      <protection locked="0"/>
    </xf>
    <xf numFmtId="0" fontId="41" fillId="0" borderId="0" xfId="0" applyFont="1" applyAlignment="1">
      <alignment horizontal="center"/>
    </xf>
    <xf numFmtId="0" fontId="41" fillId="0" borderId="0" xfId="0" applyFont="1" applyAlignment="1">
      <alignment horizontal="right"/>
    </xf>
    <xf numFmtId="44" fontId="41" fillId="0" borderId="1" xfId="3" applyFont="1" applyBorder="1" applyAlignment="1" applyProtection="1">
      <alignment horizontal="center"/>
    </xf>
    <xf numFmtId="0" fontId="41" fillId="0" borderId="32" xfId="0" applyFont="1" applyBorder="1" applyAlignment="1">
      <alignment horizontal="center"/>
    </xf>
    <xf numFmtId="0" fontId="41" fillId="0" borderId="18" xfId="0" applyFont="1" applyBorder="1" applyAlignment="1">
      <alignment horizontal="center"/>
    </xf>
    <xf numFmtId="176" fontId="59" fillId="0" borderId="164" xfId="0" applyNumberFormat="1" applyFont="1" applyBorder="1" applyAlignment="1">
      <alignment horizontal="center"/>
    </xf>
    <xf numFmtId="176" fontId="59" fillId="0" borderId="21" xfId="0" quotePrefix="1" applyNumberFormat="1" applyFont="1" applyBorder="1" applyAlignment="1">
      <alignment horizontal="center"/>
    </xf>
    <xf numFmtId="176" fontId="59" fillId="0" borderId="37" xfId="0" quotePrefix="1" applyNumberFormat="1" applyFont="1" applyBorder="1" applyAlignment="1">
      <alignment horizontal="center"/>
    </xf>
    <xf numFmtId="44" fontId="41" fillId="0" borderId="41" xfId="3" applyFont="1" applyBorder="1" applyAlignment="1" applyProtection="1">
      <alignment horizontal="center"/>
    </xf>
    <xf numFmtId="2" fontId="44" fillId="0" borderId="165" xfId="0" applyNumberFormat="1" applyFont="1" applyBorder="1" applyAlignment="1">
      <alignment horizontal="center"/>
    </xf>
    <xf numFmtId="2" fontId="44" fillId="0" borderId="166" xfId="0" applyNumberFormat="1" applyFont="1" applyBorder="1" applyAlignment="1">
      <alignment horizontal="center"/>
    </xf>
    <xf numFmtId="0" fontId="44" fillId="0" borderId="72" xfId="0" applyFont="1" applyBorder="1" applyAlignment="1">
      <alignment horizontal="center"/>
    </xf>
    <xf numFmtId="0" fontId="44" fillId="0" borderId="11" xfId="0" applyFont="1" applyBorder="1" applyAlignment="1">
      <alignment horizontal="center"/>
    </xf>
    <xf numFmtId="44" fontId="44" fillId="0" borderId="0" xfId="3" applyFont="1" applyAlignment="1">
      <alignment horizontal="center"/>
    </xf>
    <xf numFmtId="178" fontId="44" fillId="0" borderId="0" xfId="0" applyNumberFormat="1" applyFont="1" applyAlignment="1">
      <alignment horizontal="center"/>
    </xf>
    <xf numFmtId="0" fontId="41" fillId="0" borderId="16" xfId="0" applyFont="1" applyBorder="1" applyAlignment="1">
      <alignment horizontal="right"/>
    </xf>
    <xf numFmtId="44" fontId="41" fillId="0" borderId="43" xfId="3" applyFont="1" applyBorder="1" applyAlignment="1" applyProtection="1">
      <alignment horizontal="center"/>
    </xf>
    <xf numFmtId="44" fontId="41" fillId="0" borderId="30" xfId="3" applyFont="1" applyBorder="1" applyAlignment="1" applyProtection="1">
      <alignment horizontal="center"/>
    </xf>
    <xf numFmtId="44" fontId="41" fillId="0" borderId="20" xfId="3" applyFont="1" applyBorder="1" applyAlignment="1" applyProtection="1">
      <alignment horizontal="center"/>
    </xf>
    <xf numFmtId="0" fontId="41" fillId="0" borderId="152" xfId="0" applyFont="1" applyBorder="1" applyAlignment="1">
      <alignment horizontal="center"/>
    </xf>
    <xf numFmtId="0" fontId="41" fillId="0" borderId="56" xfId="0" applyFont="1" applyBorder="1" applyAlignment="1">
      <alignment horizontal="center"/>
    </xf>
    <xf numFmtId="0" fontId="41" fillId="0" borderId="166" xfId="0" applyFont="1" applyBorder="1" applyAlignment="1">
      <alignment horizontal="center"/>
    </xf>
    <xf numFmtId="0" fontId="41" fillId="0" borderId="21" xfId="0" applyFont="1" applyBorder="1" applyAlignment="1">
      <alignment horizontal="right"/>
    </xf>
    <xf numFmtId="0" fontId="44" fillId="0" borderId="2" xfId="0" applyFont="1" applyBorder="1" applyAlignment="1">
      <alignment horizontal="center"/>
    </xf>
    <xf numFmtId="0" fontId="44" fillId="0" borderId="37" xfId="0" applyFont="1" applyBorder="1" applyAlignment="1">
      <alignment horizontal="center"/>
    </xf>
    <xf numFmtId="0" fontId="44" fillId="0" borderId="6" xfId="0" applyFont="1" applyBorder="1" applyAlignment="1">
      <alignment horizontal="center"/>
    </xf>
    <xf numFmtId="0" fontId="44" fillId="0" borderId="38" xfId="0" applyFont="1" applyBorder="1" applyAlignment="1">
      <alignment horizontal="center"/>
    </xf>
    <xf numFmtId="174" fontId="0" fillId="0" borderId="172" xfId="0" applyNumberFormat="1" applyBorder="1" applyAlignment="1">
      <alignment horizontal="center" vertical="center"/>
    </xf>
    <xf numFmtId="174" fontId="0" fillId="0" borderId="173" xfId="0" applyNumberFormat="1" applyBorder="1" applyAlignment="1">
      <alignment horizontal="center" vertical="center"/>
    </xf>
    <xf numFmtId="0" fontId="0" fillId="0" borderId="109" xfId="0" applyBorder="1" applyAlignment="1">
      <alignment horizontal="left"/>
    </xf>
    <xf numFmtId="0" fontId="0" fillId="0" borderId="21" xfId="0" applyBorder="1" applyAlignment="1">
      <alignment horizontal="left"/>
    </xf>
    <xf numFmtId="0" fontId="0" fillId="0" borderId="3" xfId="0" applyBorder="1" applyAlignment="1">
      <alignment horizontal="left"/>
    </xf>
    <xf numFmtId="0" fontId="0" fillId="0" borderId="176" xfId="0" applyBorder="1" applyAlignment="1">
      <alignment horizontal="center"/>
    </xf>
    <xf numFmtId="0" fontId="0" fillId="0" borderId="11" xfId="0" applyBorder="1" applyAlignment="1">
      <alignment horizontal="center"/>
    </xf>
    <xf numFmtId="0" fontId="0" fillId="0" borderId="7" xfId="0" applyBorder="1" applyAlignment="1">
      <alignment horizontal="center"/>
    </xf>
    <xf numFmtId="174" fontId="0" fillId="0" borderId="62" xfId="0" applyNumberFormat="1" applyBorder="1" applyAlignment="1">
      <alignment horizontal="center"/>
    </xf>
    <xf numFmtId="174" fontId="0" fillId="0" borderId="39" xfId="0" applyNumberFormat="1" applyBorder="1" applyAlignment="1">
      <alignment horizontal="center"/>
    </xf>
    <xf numFmtId="174" fontId="0" fillId="0" borderId="58" xfId="0" applyNumberFormat="1" applyBorder="1" applyAlignment="1">
      <alignment horizontal="center"/>
    </xf>
    <xf numFmtId="174" fontId="0" fillId="0" borderId="166" xfId="0" applyNumberFormat="1" applyBorder="1" applyAlignment="1">
      <alignment horizontal="center"/>
    </xf>
    <xf numFmtId="0" fontId="0" fillId="0" borderId="174" xfId="0" applyBorder="1" applyAlignment="1">
      <alignment horizontal="center"/>
    </xf>
    <xf numFmtId="0" fontId="0" fillId="0" borderId="62" xfId="0" applyBorder="1" applyAlignment="1">
      <alignment horizontal="center"/>
    </xf>
    <xf numFmtId="0" fontId="0" fillId="0" borderId="175" xfId="0" applyBorder="1" applyAlignment="1">
      <alignment horizontal="center"/>
    </xf>
    <xf numFmtId="0" fontId="0" fillId="0" borderId="53" xfId="0" applyBorder="1" applyAlignment="1">
      <alignment horizontal="center"/>
    </xf>
    <xf numFmtId="0" fontId="0" fillId="0" borderId="54" xfId="0" applyBorder="1" applyAlignment="1">
      <alignment horizontal="center"/>
    </xf>
    <xf numFmtId="0" fontId="0" fillId="0" borderId="110" xfId="0" applyBorder="1" applyAlignment="1">
      <alignment horizontal="center"/>
    </xf>
    <xf numFmtId="0" fontId="0" fillId="0" borderId="169" xfId="0" applyBorder="1" applyAlignment="1">
      <alignment horizontal="center"/>
    </xf>
    <xf numFmtId="0" fontId="0" fillId="0" borderId="171" xfId="0" applyBorder="1" applyAlignment="1">
      <alignment horizontal="center"/>
    </xf>
    <xf numFmtId="0" fontId="0" fillId="0" borderId="39" xfId="0" applyBorder="1" applyAlignment="1">
      <alignment horizontal="center"/>
    </xf>
    <xf numFmtId="0" fontId="0" fillId="0" borderId="165" xfId="0" applyBorder="1" applyAlignment="1">
      <alignment horizontal="center"/>
    </xf>
    <xf numFmtId="0" fontId="0" fillId="0" borderId="168" xfId="0" applyBorder="1" applyAlignment="1">
      <alignment horizontal="left"/>
    </xf>
    <xf numFmtId="0" fontId="0" fillId="0" borderId="10" xfId="0" applyBorder="1" applyAlignment="1">
      <alignment horizontal="left"/>
    </xf>
    <xf numFmtId="174" fontId="0" fillId="0" borderId="175" xfId="0" applyNumberFormat="1" applyBorder="1" applyAlignment="1">
      <alignment horizontal="center"/>
    </xf>
    <xf numFmtId="174" fontId="0" fillId="0" borderId="165" xfId="0" applyNumberFormat="1" applyBorder="1" applyAlignment="1">
      <alignment horizontal="center"/>
    </xf>
    <xf numFmtId="0" fontId="75" fillId="0" borderId="0" xfId="0" applyFont="1" applyAlignment="1">
      <alignment horizontal="center"/>
    </xf>
    <xf numFmtId="0" fontId="0" fillId="0" borderId="107" xfId="0" applyBorder="1" applyAlignment="1">
      <alignment horizontal="center"/>
    </xf>
    <xf numFmtId="0" fontId="0" fillId="0" borderId="1" xfId="0" applyBorder="1" applyAlignment="1">
      <alignment horizontal="center"/>
    </xf>
    <xf numFmtId="0" fontId="0" fillId="0" borderId="111" xfId="0" applyBorder="1" applyAlignment="1">
      <alignment horizontal="center"/>
    </xf>
    <xf numFmtId="0" fontId="0" fillId="0" borderId="167" xfId="0" applyBorder="1" applyAlignment="1">
      <alignment horizontal="center"/>
    </xf>
    <xf numFmtId="0" fontId="0" fillId="0" borderId="56" xfId="0" applyBorder="1" applyAlignment="1">
      <alignment horizontal="center"/>
    </xf>
    <xf numFmtId="0" fontId="0" fillId="0" borderId="170" xfId="0" applyBorder="1" applyAlignment="1">
      <alignment horizontal="center"/>
    </xf>
    <xf numFmtId="0" fontId="0" fillId="0" borderId="13" xfId="0" applyBorder="1" applyAlignment="1">
      <alignment horizontal="center"/>
    </xf>
    <xf numFmtId="0" fontId="0" fillId="0" borderId="109" xfId="0" applyBorder="1" applyAlignment="1">
      <alignment horizontal="center"/>
    </xf>
    <xf numFmtId="0" fontId="0" fillId="0" borderId="3" xfId="0" applyBorder="1" applyAlignment="1">
      <alignment horizontal="center"/>
    </xf>
    <xf numFmtId="176" fontId="62" fillId="0" borderId="175" xfId="0" applyNumberFormat="1" applyFont="1" applyBorder="1" applyAlignment="1">
      <alignment horizontal="center"/>
    </xf>
    <xf numFmtId="176" fontId="62" fillId="0" borderId="58" xfId="0" applyNumberFormat="1" applyFont="1" applyBorder="1" applyAlignment="1">
      <alignment horizontal="center"/>
    </xf>
    <xf numFmtId="0" fontId="8" fillId="0" borderId="6" xfId="0" applyFont="1" applyBorder="1" applyAlignment="1">
      <alignment horizontal="center"/>
    </xf>
    <xf numFmtId="0" fontId="8" fillId="0" borderId="11" xfId="0" applyFont="1" applyBorder="1" applyAlignment="1">
      <alignment horizontal="center"/>
    </xf>
    <xf numFmtId="0" fontId="8" fillId="0" borderId="7" xfId="0" applyFont="1" applyBorder="1" applyAlignment="1">
      <alignment horizontal="center"/>
    </xf>
    <xf numFmtId="0" fontId="63" fillId="0" borderId="167" xfId="0" applyFont="1" applyBorder="1" applyAlignment="1" applyProtection="1">
      <alignment horizontal="center"/>
      <protection locked="0"/>
    </xf>
    <xf numFmtId="0" fontId="63" fillId="0" borderId="166" xfId="0" applyFont="1" applyBorder="1" applyAlignment="1" applyProtection="1">
      <alignment horizontal="center"/>
      <protection locked="0"/>
    </xf>
    <xf numFmtId="0" fontId="63" fillId="0" borderId="165" xfId="0" applyFont="1" applyBorder="1" applyAlignment="1">
      <alignment horizontal="center"/>
    </xf>
    <xf numFmtId="0" fontId="63" fillId="0" borderId="166" xfId="0" applyFont="1" applyBorder="1" applyAlignment="1">
      <alignment horizontal="center"/>
    </xf>
    <xf numFmtId="2" fontId="64" fillId="0" borderId="1" xfId="0" applyNumberFormat="1" applyFont="1" applyBorder="1" applyAlignment="1">
      <alignment horizontal="center"/>
    </xf>
    <xf numFmtId="2" fontId="64" fillId="0" borderId="28" xfId="0" applyNumberFormat="1" applyFont="1" applyBorder="1" applyAlignment="1">
      <alignment horizontal="center"/>
    </xf>
    <xf numFmtId="2" fontId="64" fillId="0" borderId="112" xfId="0" applyNumberFormat="1" applyFont="1" applyBorder="1" applyAlignment="1">
      <alignment horizontal="center"/>
    </xf>
    <xf numFmtId="2" fontId="64" fillId="0" borderId="20" xfId="0" applyNumberFormat="1" applyFont="1" applyBorder="1" applyAlignment="1">
      <alignment horizontal="center"/>
    </xf>
    <xf numFmtId="2" fontId="64" fillId="0" borderId="30" xfId="0" applyNumberFormat="1" applyFont="1" applyBorder="1" applyAlignment="1">
      <alignment horizontal="center"/>
    </xf>
    <xf numFmtId="2" fontId="64" fillId="0" borderId="31" xfId="0" applyNumberFormat="1" applyFont="1" applyBorder="1" applyAlignment="1">
      <alignment horizontal="center"/>
    </xf>
    <xf numFmtId="2" fontId="64" fillId="0" borderId="112" xfId="0" applyNumberFormat="1" applyFont="1" applyBorder="1" applyAlignment="1" applyProtection="1">
      <alignment horizontal="center"/>
      <protection hidden="1"/>
    </xf>
    <xf numFmtId="2" fontId="64" fillId="0" borderId="20" xfId="0" applyNumberFormat="1" applyFont="1" applyBorder="1" applyAlignment="1" applyProtection="1">
      <alignment horizontal="center"/>
      <protection hidden="1"/>
    </xf>
    <xf numFmtId="2" fontId="64" fillId="0" borderId="30" xfId="0" applyNumberFormat="1" applyFont="1" applyBorder="1" applyAlignment="1" applyProtection="1">
      <alignment horizontal="center"/>
      <protection hidden="1"/>
    </xf>
    <xf numFmtId="2" fontId="64" fillId="0" borderId="31" xfId="0" applyNumberFormat="1" applyFont="1" applyBorder="1" applyAlignment="1" applyProtection="1">
      <alignment horizontal="center"/>
      <protection hidden="1"/>
    </xf>
    <xf numFmtId="2" fontId="64" fillId="0" borderId="40" xfId="0" applyNumberFormat="1" applyFont="1" applyBorder="1" applyAlignment="1">
      <alignment horizontal="center"/>
    </xf>
    <xf numFmtId="173" fontId="63" fillId="0" borderId="165" xfId="0" applyNumberFormat="1" applyFont="1" applyBorder="1" applyAlignment="1">
      <alignment horizontal="center"/>
    </xf>
    <xf numFmtId="173" fontId="63" fillId="0" borderId="57" xfId="0" applyNumberFormat="1" applyFont="1" applyBorder="1" applyAlignment="1">
      <alignment horizontal="center"/>
    </xf>
    <xf numFmtId="2" fontId="64" fillId="0" borderId="21" xfId="0" applyNumberFormat="1" applyFont="1" applyBorder="1" applyAlignment="1" applyProtection="1">
      <alignment horizontal="center"/>
      <protection hidden="1"/>
    </xf>
    <xf numFmtId="2" fontId="64" fillId="0" borderId="175" xfId="0" applyNumberFormat="1" applyFont="1" applyBorder="1" applyAlignment="1" applyProtection="1">
      <alignment horizontal="center"/>
      <protection hidden="1"/>
    </xf>
    <xf numFmtId="2" fontId="64" fillId="0" borderId="58" xfId="0" applyNumberFormat="1" applyFont="1" applyBorder="1" applyAlignment="1" applyProtection="1">
      <alignment horizontal="center"/>
      <protection hidden="1"/>
    </xf>
    <xf numFmtId="2" fontId="64" fillId="0" borderId="47" xfId="0" applyNumberFormat="1" applyFont="1" applyBorder="1" applyAlignment="1" applyProtection="1">
      <alignment horizontal="center"/>
      <protection hidden="1"/>
    </xf>
    <xf numFmtId="2" fontId="64" fillId="0" borderId="61" xfId="0" applyNumberFormat="1" applyFont="1" applyBorder="1" applyAlignment="1">
      <alignment horizontal="center"/>
    </xf>
    <xf numFmtId="2" fontId="64" fillId="0" borderId="62" xfId="0" applyNumberFormat="1" applyFont="1" applyBorder="1" applyAlignment="1">
      <alignment horizontal="center"/>
    </xf>
    <xf numFmtId="2" fontId="64" fillId="0" borderId="151" xfId="0" applyNumberFormat="1" applyFont="1" applyBorder="1" applyAlignment="1">
      <alignment horizontal="center"/>
    </xf>
    <xf numFmtId="0" fontId="63" fillId="0" borderId="57" xfId="0" applyFont="1" applyBorder="1" applyAlignment="1">
      <alignment horizontal="center"/>
    </xf>
    <xf numFmtId="0" fontId="63" fillId="0" borderId="152" xfId="0" applyFont="1" applyBorder="1" applyAlignment="1">
      <alignment horizontal="center"/>
    </xf>
    <xf numFmtId="0" fontId="66" fillId="0" borderId="12" xfId="0" applyFont="1" applyBorder="1" applyAlignment="1">
      <alignment horizontal="center"/>
    </xf>
    <xf numFmtId="0" fontId="66" fillId="0" borderId="10" xfId="0" applyFont="1" applyBorder="1" applyAlignment="1">
      <alignment horizontal="center"/>
    </xf>
    <xf numFmtId="0" fontId="66" fillId="0" borderId="19" xfId="0" applyFont="1" applyBorder="1" applyAlignment="1">
      <alignment horizontal="center"/>
    </xf>
    <xf numFmtId="2" fontId="64" fillId="0" borderId="6" xfId="0" applyNumberFormat="1" applyFont="1" applyBorder="1" applyAlignment="1">
      <alignment horizontal="center"/>
    </xf>
    <xf numFmtId="2" fontId="64" fillId="0" borderId="38" xfId="0" applyNumberFormat="1" applyFont="1" applyBorder="1" applyAlignment="1">
      <alignment horizontal="center"/>
    </xf>
    <xf numFmtId="2" fontId="64" fillId="0" borderId="72" xfId="0" applyNumberFormat="1" applyFont="1" applyBorder="1" applyAlignment="1">
      <alignment horizontal="center"/>
    </xf>
    <xf numFmtId="2" fontId="64" fillId="0" borderId="112" xfId="0" applyNumberFormat="1" applyFont="1" applyBorder="1" applyAlignment="1" applyProtection="1">
      <alignment horizontal="center"/>
      <protection locked="0"/>
    </xf>
    <xf numFmtId="2" fontId="64" fillId="0" borderId="20" xfId="0" applyNumberFormat="1" applyFont="1" applyBorder="1" applyAlignment="1" applyProtection="1">
      <alignment horizontal="center"/>
      <protection locked="0"/>
    </xf>
    <xf numFmtId="2" fontId="64" fillId="0" borderId="30" xfId="0" applyNumberFormat="1" applyFont="1" applyBorder="1" applyAlignment="1" applyProtection="1">
      <alignment horizontal="center"/>
      <protection locked="0"/>
    </xf>
    <xf numFmtId="2" fontId="64" fillId="0" borderId="31" xfId="0" applyNumberFormat="1" applyFont="1" applyBorder="1" applyAlignment="1" applyProtection="1">
      <alignment horizontal="center"/>
      <protection locked="0"/>
    </xf>
    <xf numFmtId="2" fontId="64" fillId="0" borderId="72" xfId="0" applyNumberFormat="1" applyFont="1" applyBorder="1" applyAlignment="1" applyProtection="1">
      <alignment horizontal="center"/>
      <protection locked="0"/>
    </xf>
    <xf numFmtId="2" fontId="64" fillId="0" borderId="7" xfId="0" applyNumberFormat="1" applyFont="1" applyBorder="1" applyAlignment="1" applyProtection="1">
      <alignment horizontal="center"/>
      <protection locked="0"/>
    </xf>
    <xf numFmtId="2" fontId="64" fillId="0" borderId="8" xfId="0" applyNumberFormat="1" applyFont="1" applyBorder="1" applyAlignment="1" applyProtection="1">
      <alignment horizontal="center"/>
      <protection locked="0"/>
    </xf>
    <xf numFmtId="0" fontId="67" fillId="0" borderId="12" xfId="0" applyFont="1" applyBorder="1" applyAlignment="1">
      <alignment horizontal="center"/>
    </xf>
    <xf numFmtId="0" fontId="67" fillId="0" borderId="19" xfId="0" applyFont="1" applyBorder="1" applyAlignment="1">
      <alignment horizontal="center"/>
    </xf>
    <xf numFmtId="175" fontId="65" fillId="4" borderId="165" xfId="0" applyNumberFormat="1" applyFont="1" applyFill="1" applyBorder="1" applyAlignment="1">
      <alignment horizontal="center"/>
    </xf>
    <xf numFmtId="175" fontId="65" fillId="4" borderId="166" xfId="0" applyNumberFormat="1" applyFont="1" applyFill="1" applyBorder="1" applyAlignment="1">
      <alignment horizontal="center"/>
    </xf>
    <xf numFmtId="175" fontId="71" fillId="4" borderId="112" xfId="0" applyNumberFormat="1" applyFont="1" applyFill="1" applyBorder="1" applyAlignment="1">
      <alignment horizontal="center"/>
    </xf>
    <xf numFmtId="175" fontId="71" fillId="4" borderId="8" xfId="0" applyNumberFormat="1" applyFont="1" applyFill="1" applyBorder="1" applyAlignment="1">
      <alignment horizontal="center"/>
    </xf>
    <xf numFmtId="175" fontId="71" fillId="4" borderId="31" xfId="0" applyNumberFormat="1" applyFont="1" applyFill="1" applyBorder="1" applyAlignment="1">
      <alignment horizontal="center"/>
    </xf>
    <xf numFmtId="2" fontId="64" fillId="0" borderId="36" xfId="0" applyNumberFormat="1" applyFont="1" applyBorder="1" applyAlignment="1" applyProtection="1">
      <alignment horizontal="center"/>
      <protection hidden="1"/>
    </xf>
    <xf numFmtId="2" fontId="64" fillId="0" borderId="14" xfId="0" applyNumberFormat="1" applyFont="1" applyBorder="1" applyAlignment="1" applyProtection="1">
      <alignment horizontal="center"/>
      <protection hidden="1"/>
    </xf>
    <xf numFmtId="2" fontId="64" fillId="0" borderId="52" xfId="0" applyNumberFormat="1" applyFont="1" applyBorder="1" applyAlignment="1">
      <alignment horizontal="center"/>
    </xf>
    <xf numFmtId="2" fontId="64" fillId="0" borderId="58" xfId="0" applyNumberFormat="1" applyFont="1" applyBorder="1" applyAlignment="1">
      <alignment horizontal="center"/>
    </xf>
    <xf numFmtId="2" fontId="64" fillId="0" borderId="175" xfId="0" applyNumberFormat="1" applyFont="1" applyBorder="1" applyAlignment="1">
      <alignment horizontal="center"/>
    </xf>
    <xf numFmtId="2" fontId="64" fillId="0" borderId="47" xfId="0" applyNumberFormat="1" applyFont="1" applyBorder="1" applyAlignment="1">
      <alignment horizontal="center"/>
    </xf>
    <xf numFmtId="0" fontId="66" fillId="0" borderId="12" xfId="0" applyFont="1" applyBorder="1" applyAlignment="1" applyProtection="1">
      <alignment horizontal="center"/>
      <protection locked="0"/>
    </xf>
    <xf numFmtId="0" fontId="66" fillId="0" borderId="19" xfId="0" applyFont="1" applyBorder="1" applyAlignment="1" applyProtection="1">
      <alignment horizontal="center"/>
      <protection locked="0"/>
    </xf>
    <xf numFmtId="2" fontId="66" fillId="0" borderId="12" xfId="0" applyNumberFormat="1" applyFont="1" applyBorder="1" applyAlignment="1">
      <alignment horizontal="center"/>
    </xf>
    <xf numFmtId="2" fontId="66" fillId="0" borderId="19" xfId="0" applyNumberFormat="1" applyFont="1" applyBorder="1" applyAlignment="1">
      <alignment horizontal="center"/>
    </xf>
    <xf numFmtId="0" fontId="70" fillId="0" borderId="12" xfId="0" applyFont="1" applyBorder="1" applyAlignment="1" applyProtection="1">
      <alignment horizontal="center"/>
      <protection locked="0"/>
    </xf>
    <xf numFmtId="0" fontId="70" fillId="0" borderId="19" xfId="0" applyFont="1" applyBorder="1" applyAlignment="1" applyProtection="1">
      <alignment horizontal="center"/>
      <protection locked="0"/>
    </xf>
    <xf numFmtId="2" fontId="66" fillId="0" borderId="12" xfId="0" applyNumberFormat="1" applyFont="1" applyBorder="1" applyAlignment="1" applyProtection="1">
      <alignment horizontal="center"/>
      <protection locked="0"/>
    </xf>
    <xf numFmtId="2" fontId="66" fillId="0" borderId="19" xfId="0" applyNumberFormat="1" applyFont="1" applyBorder="1" applyAlignment="1" applyProtection="1">
      <alignment horizontal="center"/>
      <protection locked="0"/>
    </xf>
    <xf numFmtId="2" fontId="64" fillId="0" borderId="13" xfId="0" applyNumberFormat="1" applyFont="1" applyBorder="1" applyAlignment="1" applyProtection="1">
      <alignment horizontal="center"/>
      <protection hidden="1"/>
    </xf>
    <xf numFmtId="180" fontId="64" fillId="0" borderId="1" xfId="0" applyNumberFormat="1" applyFont="1" applyBorder="1" applyAlignment="1">
      <alignment horizontal="center"/>
    </xf>
    <xf numFmtId="180" fontId="64" fillId="0" borderId="28" xfId="0" applyNumberFormat="1" applyFont="1" applyBorder="1" applyAlignment="1">
      <alignment horizontal="center"/>
    </xf>
    <xf numFmtId="178" fontId="0" fillId="0" borderId="0" xfId="0" applyNumberFormat="1" applyAlignment="1">
      <alignment horizontal="center"/>
    </xf>
    <xf numFmtId="2" fontId="64" fillId="0" borderId="1" xfId="0" applyNumberFormat="1" applyFont="1" applyBorder="1" applyAlignment="1" applyProtection="1">
      <alignment horizontal="center"/>
      <protection hidden="1"/>
    </xf>
    <xf numFmtId="2" fontId="64" fillId="0" borderId="28" xfId="0" applyNumberFormat="1" applyFont="1" applyBorder="1" applyAlignment="1" applyProtection="1">
      <alignment horizontal="center"/>
      <protection hidden="1"/>
    </xf>
    <xf numFmtId="175" fontId="65" fillId="4" borderId="57" xfId="0" applyNumberFormat="1" applyFont="1" applyFill="1" applyBorder="1" applyAlignment="1">
      <alignment horizontal="center"/>
    </xf>
    <xf numFmtId="2" fontId="64" fillId="0" borderId="40" xfId="0" applyNumberFormat="1" applyFont="1" applyBorder="1" applyAlignment="1" applyProtection="1">
      <alignment horizontal="center"/>
      <protection hidden="1"/>
    </xf>
    <xf numFmtId="0" fontId="52" fillId="0" borderId="51" xfId="0" applyFont="1" applyBorder="1" applyAlignment="1">
      <alignment horizontal="center" shrinkToFit="1"/>
    </xf>
    <xf numFmtId="0" fontId="0" fillId="0" borderId="0" xfId="0" applyAlignment="1">
      <alignment vertical="center" wrapText="1"/>
    </xf>
    <xf numFmtId="0" fontId="0" fillId="0" borderId="13" xfId="0" applyBorder="1" applyAlignment="1">
      <alignment horizontal="center" shrinkToFit="1"/>
    </xf>
    <xf numFmtId="0" fontId="108" fillId="0" borderId="12" xfId="0" applyFont="1" applyBorder="1" applyAlignment="1">
      <alignment horizontal="center"/>
    </xf>
    <xf numFmtId="0" fontId="108" fillId="0" borderId="10" xfId="0" applyFont="1" applyBorder="1" applyAlignment="1">
      <alignment horizontal="center"/>
    </xf>
    <xf numFmtId="0" fontId="108" fillId="0" borderId="19" xfId="0" applyFont="1" applyBorder="1" applyAlignment="1">
      <alignment horizontal="center"/>
    </xf>
    <xf numFmtId="0" fontId="108" fillId="0" borderId="25" xfId="0" applyFont="1" applyBorder="1" applyAlignment="1">
      <alignment horizontal="center"/>
    </xf>
    <xf numFmtId="49" fontId="0" fillId="0" borderId="9" xfId="0" applyNumberFormat="1" applyBorder="1" applyAlignment="1">
      <alignment horizontal="center"/>
    </xf>
    <xf numFmtId="0" fontId="0" fillId="0" borderId="9" xfId="0" applyBorder="1" applyAlignment="1">
      <alignment horizontal="center"/>
    </xf>
    <xf numFmtId="44" fontId="108" fillId="0" borderId="25" xfId="3" applyFont="1" applyBorder="1" applyAlignment="1">
      <alignment horizontal="center"/>
    </xf>
    <xf numFmtId="0" fontId="105" fillId="0" borderId="61" xfId="0" applyFont="1" applyBorder="1" applyAlignment="1">
      <alignment horizontal="left" shrinkToFit="1"/>
    </xf>
    <xf numFmtId="0" fontId="108" fillId="0" borderId="62" xfId="0" applyFont="1" applyBorder="1" applyAlignment="1">
      <alignment horizontal="left" shrinkToFit="1"/>
    </xf>
    <xf numFmtId="0" fontId="0" fillId="0" borderId="0" xfId="0" applyAlignment="1">
      <alignment horizontal="center" shrinkToFit="1"/>
    </xf>
    <xf numFmtId="0" fontId="108" fillId="0" borderId="40" xfId="0" applyFont="1" applyBorder="1" applyAlignment="1">
      <alignment horizontal="left" shrinkToFit="1"/>
    </xf>
    <xf numFmtId="0" fontId="108" fillId="0" borderId="1" xfId="0" applyFont="1" applyBorder="1" applyAlignment="1">
      <alignment horizontal="left" shrinkToFit="1"/>
    </xf>
    <xf numFmtId="178" fontId="0" fillId="0" borderId="21" xfId="0" applyNumberFormat="1" applyBorder="1" applyAlignment="1">
      <alignment horizontal="center"/>
    </xf>
    <xf numFmtId="44" fontId="108" fillId="0" borderId="1" xfId="3" applyFont="1" applyBorder="1" applyAlignment="1">
      <alignment horizontal="center"/>
    </xf>
    <xf numFmtId="44" fontId="108" fillId="0" borderId="28" xfId="3" applyFont="1" applyBorder="1" applyAlignment="1">
      <alignment horizontal="center"/>
    </xf>
    <xf numFmtId="0" fontId="0" fillId="0" borderId="9" xfId="0" applyBorder="1" applyAlignment="1">
      <alignment horizontal="left" shrinkToFit="1"/>
    </xf>
    <xf numFmtId="0" fontId="0" fillId="0" borderId="5" xfId="0" applyBorder="1" applyAlignment="1">
      <alignment horizontal="center" shrinkToFit="1"/>
    </xf>
    <xf numFmtId="0" fontId="0" fillId="0" borderId="35" xfId="0" applyBorder="1" applyAlignment="1">
      <alignment horizontal="center" shrinkToFit="1"/>
    </xf>
    <xf numFmtId="44" fontId="108" fillId="0" borderId="62" xfId="3" applyFont="1" applyBorder="1" applyAlignment="1">
      <alignment horizontal="center"/>
    </xf>
    <xf numFmtId="44" fontId="108" fillId="0" borderId="151" xfId="3" applyFont="1" applyBorder="1" applyAlignment="1">
      <alignment horizontal="center"/>
    </xf>
    <xf numFmtId="185" fontId="0" fillId="0" borderId="0" xfId="0" applyNumberFormat="1" applyAlignment="1">
      <alignment horizontal="center"/>
    </xf>
    <xf numFmtId="185" fontId="0" fillId="0" borderId="5" xfId="0" applyNumberFormat="1" applyBorder="1" applyAlignment="1">
      <alignment horizontal="center"/>
    </xf>
    <xf numFmtId="0" fontId="0" fillId="0" borderId="36" xfId="0" applyBorder="1" applyAlignment="1">
      <alignment horizontal="center"/>
    </xf>
    <xf numFmtId="0" fontId="0" fillId="0" borderId="14" xfId="0" applyBorder="1" applyAlignment="1">
      <alignment horizontal="center"/>
    </xf>
    <xf numFmtId="0" fontId="0" fillId="0" borderId="36" xfId="0" applyBorder="1" applyAlignment="1">
      <alignment horizontal="center" shrinkToFit="1"/>
    </xf>
    <xf numFmtId="186" fontId="4" fillId="0" borderId="177" xfId="3" applyNumberFormat="1" applyBorder="1" applyAlignment="1">
      <alignment horizontal="center"/>
    </xf>
    <xf numFmtId="186" fontId="4" fillId="0" borderId="178" xfId="3" applyNumberFormat="1" applyBorder="1" applyAlignment="1">
      <alignment horizontal="center"/>
    </xf>
    <xf numFmtId="186" fontId="4" fillId="0" borderId="9" xfId="3" applyNumberFormat="1" applyBorder="1" applyAlignment="1">
      <alignment horizontal="center"/>
    </xf>
    <xf numFmtId="186" fontId="4" fillId="0" borderId="33" xfId="3" applyNumberFormat="1" applyBorder="1" applyAlignment="1">
      <alignment horizontal="center"/>
    </xf>
    <xf numFmtId="0" fontId="40" fillId="0" borderId="72" xfId="0" applyFont="1" applyBorder="1" applyAlignment="1">
      <alignment horizontal="center"/>
    </xf>
    <xf numFmtId="0" fontId="40" fillId="0" borderId="11" xfId="0" applyFont="1" applyBorder="1" applyAlignment="1">
      <alignment horizontal="center"/>
    </xf>
    <xf numFmtId="0" fontId="40" fillId="0" borderId="38" xfId="0" applyFont="1" applyBorder="1" applyAlignment="1">
      <alignment horizontal="center"/>
    </xf>
    <xf numFmtId="186" fontId="4" fillId="0" borderId="8" xfId="3" applyNumberFormat="1" applyBorder="1" applyAlignment="1">
      <alignment horizontal="center"/>
    </xf>
    <xf numFmtId="186" fontId="4" fillId="0" borderId="31" xfId="3" applyNumberFormat="1" applyBorder="1" applyAlignment="1">
      <alignment horizontal="center"/>
    </xf>
    <xf numFmtId="0" fontId="40" fillId="0" borderId="7" xfId="0" applyFont="1" applyBorder="1" applyAlignment="1">
      <alignment horizontal="center"/>
    </xf>
    <xf numFmtId="0" fontId="41" fillId="0" borderId="9" xfId="0" applyFont="1" applyBorder="1" applyAlignment="1">
      <alignment horizontal="center"/>
    </xf>
    <xf numFmtId="0" fontId="40" fillId="0" borderId="36" xfId="0" applyFont="1" applyBorder="1" applyAlignment="1">
      <alignment horizontal="center"/>
    </xf>
    <xf numFmtId="0" fontId="40" fillId="0" borderId="35" xfId="0" applyFont="1" applyBorder="1" applyAlignment="1">
      <alignment horizontal="center"/>
    </xf>
    <xf numFmtId="0" fontId="0" fillId="0" borderId="2" xfId="0" applyBorder="1" applyAlignment="1">
      <alignment horizontal="center"/>
    </xf>
    <xf numFmtId="16" fontId="0" fillId="0" borderId="0" xfId="0" applyNumberFormat="1" applyAlignment="1">
      <alignment horizontal="center" shrinkToFit="1"/>
    </xf>
    <xf numFmtId="0" fontId="108" fillId="0" borderId="61" xfId="0" applyFont="1" applyBorder="1" applyAlignment="1">
      <alignment horizontal="left" shrinkToFit="1"/>
    </xf>
    <xf numFmtId="0" fontId="108" fillId="0" borderId="64" xfId="0" applyFont="1" applyBorder="1" applyAlignment="1">
      <alignment horizontal="left"/>
    </xf>
    <xf numFmtId="0" fontId="108" fillId="0" borderId="39" xfId="0" applyFont="1" applyBorder="1" applyAlignment="1">
      <alignment horizontal="left"/>
    </xf>
    <xf numFmtId="0" fontId="77" fillId="0" borderId="1" xfId="0" applyFont="1" applyBorder="1" applyAlignment="1">
      <alignment horizontal="center"/>
    </xf>
    <xf numFmtId="2" fontId="77" fillId="0" borderId="1" xfId="0" applyNumberFormat="1" applyFont="1" applyBorder="1" applyAlignment="1">
      <alignment horizontal="center"/>
    </xf>
    <xf numFmtId="0" fontId="77" fillId="0" borderId="30" xfId="0" applyFont="1" applyBorder="1" applyAlignment="1">
      <alignment horizontal="center"/>
    </xf>
    <xf numFmtId="0" fontId="8" fillId="4" borderId="36" xfId="0" applyFont="1" applyFill="1" applyBorder="1" applyAlignment="1">
      <alignment horizontal="center" vertical="center"/>
    </xf>
    <xf numFmtId="0" fontId="8" fillId="4" borderId="13" xfId="0" applyFont="1" applyFill="1" applyBorder="1" applyAlignment="1">
      <alignment horizontal="center" vertical="center"/>
    </xf>
    <xf numFmtId="0" fontId="8" fillId="4" borderId="17"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54" xfId="0" applyFont="1" applyFill="1" applyBorder="1" applyAlignment="1">
      <alignment horizontal="center" vertical="center"/>
    </xf>
    <xf numFmtId="0" fontId="8" fillId="4" borderId="14" xfId="0" applyFont="1" applyFill="1" applyBorder="1" applyAlignment="1">
      <alignment horizontal="center" vertical="center"/>
    </xf>
    <xf numFmtId="0" fontId="8" fillId="4" borderId="32" xfId="0" applyFont="1" applyFill="1" applyBorder="1" applyAlignment="1">
      <alignment horizontal="center" vertical="center"/>
    </xf>
    <xf numFmtId="0" fontId="8" fillId="4" borderId="18" xfId="0" applyFont="1" applyFill="1" applyBorder="1" applyAlignment="1">
      <alignment horizontal="center" vertical="center"/>
    </xf>
    <xf numFmtId="0" fontId="8" fillId="0" borderId="1" xfId="0" applyFont="1" applyBorder="1" applyAlignment="1">
      <alignment horizontal="center" vertical="center"/>
    </xf>
    <xf numFmtId="0" fontId="8" fillId="0" borderId="40" xfId="0" applyFont="1" applyBorder="1" applyAlignment="1">
      <alignment horizontal="center" vertical="center"/>
    </xf>
    <xf numFmtId="0" fontId="77" fillId="0" borderId="8" xfId="0" applyFont="1" applyBorder="1" applyAlignment="1">
      <alignment horizontal="center"/>
    </xf>
    <xf numFmtId="0" fontId="77" fillId="0" borderId="20" xfId="0" applyFont="1" applyBorder="1" applyAlignment="1">
      <alignment horizontal="center"/>
    </xf>
    <xf numFmtId="178" fontId="8" fillId="0" borderId="0" xfId="0" applyNumberFormat="1" applyFont="1" applyAlignment="1">
      <alignment horizontal="center" shrinkToFit="1"/>
    </xf>
    <xf numFmtId="178" fontId="8" fillId="0" borderId="5" xfId="0" applyNumberFormat="1" applyFont="1" applyBorder="1" applyAlignment="1">
      <alignment horizontal="center" shrinkToFit="1"/>
    </xf>
    <xf numFmtId="0" fontId="8" fillId="4" borderId="0" xfId="0" applyFont="1" applyFill="1" applyAlignment="1">
      <alignment horizontal="center" vertical="center"/>
    </xf>
    <xf numFmtId="2" fontId="8" fillId="0" borderId="13" xfId="0" applyNumberFormat="1" applyFont="1" applyBorder="1" applyAlignment="1">
      <alignment horizontal="center" vertical="center"/>
    </xf>
    <xf numFmtId="2" fontId="8" fillId="0" borderId="0" xfId="0" applyNumberFormat="1" applyFont="1" applyAlignment="1">
      <alignment horizontal="center" vertical="center"/>
    </xf>
    <xf numFmtId="0" fontId="28" fillId="0" borderId="13" xfId="0" applyFont="1" applyBorder="1" applyAlignment="1">
      <alignment horizontal="center"/>
    </xf>
    <xf numFmtId="0" fontId="28" fillId="0" borderId="9" xfId="0" applyFont="1" applyBorder="1" applyAlignment="1">
      <alignment horizontal="center"/>
    </xf>
    <xf numFmtId="0" fontId="8" fillId="0" borderId="36" xfId="0" applyFont="1" applyBorder="1" applyAlignment="1">
      <alignment horizontal="center" vertical="center"/>
    </xf>
    <xf numFmtId="0" fontId="8" fillId="0" borderId="14" xfId="0" applyFont="1" applyBorder="1" applyAlignment="1">
      <alignment horizontal="center"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13" xfId="0" applyFont="1" applyBorder="1" applyAlignment="1">
      <alignment horizontal="center" vertical="center"/>
    </xf>
    <xf numFmtId="0" fontId="8" fillId="0" borderId="9" xfId="0" applyFont="1" applyBorder="1" applyAlignment="1">
      <alignment horizontal="center" vertical="center"/>
    </xf>
    <xf numFmtId="0" fontId="25" fillId="0" borderId="21" xfId="0" applyFont="1" applyBorder="1" applyAlignment="1">
      <alignment horizontal="center" vertical="center"/>
    </xf>
    <xf numFmtId="0" fontId="25" fillId="0" borderId="0" xfId="0" applyFont="1" applyAlignment="1">
      <alignment horizontal="center" vertical="center"/>
    </xf>
    <xf numFmtId="0" fontId="42" fillId="5" borderId="1" xfId="0" applyFont="1" applyFill="1" applyBorder="1" applyAlignment="1">
      <alignment horizontal="center"/>
    </xf>
    <xf numFmtId="0" fontId="42" fillId="5" borderId="39" xfId="0" applyFont="1" applyFill="1" applyBorder="1" applyAlignment="1">
      <alignment horizontal="center"/>
    </xf>
    <xf numFmtId="0" fontId="43" fillId="5" borderId="30" xfId="0" applyFont="1" applyFill="1" applyBorder="1" applyAlignment="1">
      <alignment horizontal="left"/>
    </xf>
    <xf numFmtId="0" fontId="43" fillId="5" borderId="8" xfId="0" applyFont="1" applyFill="1" applyBorder="1" applyAlignment="1">
      <alignment horizontal="left"/>
    </xf>
    <xf numFmtId="0" fontId="43" fillId="5" borderId="20" xfId="0" applyFont="1" applyFill="1" applyBorder="1" applyAlignment="1">
      <alignment horizontal="left"/>
    </xf>
    <xf numFmtId="0" fontId="42" fillId="5" borderId="14" xfId="0" applyFont="1" applyFill="1" applyBorder="1" applyAlignment="1">
      <alignment horizontal="center"/>
    </xf>
    <xf numFmtId="0" fontId="42" fillId="5" borderId="38" xfId="0" applyFont="1" applyFill="1" applyBorder="1" applyAlignment="1">
      <alignment horizontal="center"/>
    </xf>
    <xf numFmtId="0" fontId="43" fillId="5" borderId="165" xfId="0" applyFont="1" applyFill="1" applyBorder="1" applyAlignment="1">
      <alignment horizontal="left"/>
    </xf>
    <xf numFmtId="0" fontId="43" fillId="5" borderId="56" xfId="0" applyFont="1" applyFill="1" applyBorder="1" applyAlignment="1">
      <alignment horizontal="left"/>
    </xf>
    <xf numFmtId="0" fontId="43" fillId="5" borderId="166" xfId="0" applyFont="1" applyFill="1" applyBorder="1" applyAlignment="1">
      <alignment horizontal="left"/>
    </xf>
    <xf numFmtId="0" fontId="42" fillId="5" borderId="15" xfId="0" applyFont="1" applyFill="1" applyBorder="1" applyAlignment="1">
      <alignment horizontal="center"/>
    </xf>
    <xf numFmtId="0" fontId="42" fillId="5" borderId="0" xfId="0" applyFont="1" applyFill="1" applyAlignment="1">
      <alignment horizontal="center"/>
    </xf>
    <xf numFmtId="0" fontId="42" fillId="5" borderId="16" xfId="0" applyFont="1" applyFill="1" applyBorder="1" applyAlignment="1">
      <alignment horizontal="center"/>
    </xf>
    <xf numFmtId="0" fontId="43" fillId="5" borderId="175" xfId="0" applyFont="1" applyFill="1" applyBorder="1" applyAlignment="1">
      <alignment horizontal="left"/>
    </xf>
    <xf numFmtId="0" fontId="43" fillId="5" borderId="51" xfId="0" applyFont="1" applyFill="1" applyBorder="1" applyAlignment="1">
      <alignment horizontal="left"/>
    </xf>
    <xf numFmtId="0" fontId="43" fillId="5" borderId="58" xfId="0" applyFont="1" applyFill="1" applyBorder="1" applyAlignment="1">
      <alignment horizontal="left"/>
    </xf>
    <xf numFmtId="0" fontId="42" fillId="5" borderId="2" xfId="0" applyFont="1" applyFill="1" applyBorder="1" applyAlignment="1">
      <alignment horizontal="center"/>
    </xf>
    <xf numFmtId="0" fontId="42" fillId="5" borderId="21" xfId="0" applyFont="1" applyFill="1" applyBorder="1" applyAlignment="1">
      <alignment horizontal="center"/>
    </xf>
    <xf numFmtId="0" fontId="42" fillId="5" borderId="3" xfId="0" applyFont="1" applyFill="1" applyBorder="1" applyAlignment="1">
      <alignment horizontal="center"/>
    </xf>
    <xf numFmtId="0" fontId="42" fillId="5" borderId="4" xfId="0" applyFont="1" applyFill="1" applyBorder="1" applyAlignment="1">
      <alignment horizontal="center"/>
    </xf>
    <xf numFmtId="0" fontId="42" fillId="5" borderId="5" xfId="0" applyFont="1" applyFill="1" applyBorder="1" applyAlignment="1">
      <alignment horizontal="center"/>
    </xf>
    <xf numFmtId="0" fontId="43" fillId="5" borderId="1" xfId="0" applyFont="1" applyFill="1" applyBorder="1" applyAlignment="1">
      <alignment horizontal="right"/>
    </xf>
    <xf numFmtId="0" fontId="43" fillId="5" borderId="1" xfId="0" applyFont="1" applyFill="1" applyBorder="1" applyAlignment="1">
      <alignment horizontal="left"/>
    </xf>
    <xf numFmtId="0" fontId="42" fillId="5" borderId="36" xfId="0" applyFont="1" applyFill="1" applyBorder="1" applyAlignment="1">
      <alignment horizontal="center"/>
    </xf>
    <xf numFmtId="0" fontId="42" fillId="5" borderId="13" xfId="0" applyFont="1" applyFill="1" applyBorder="1" applyAlignment="1">
      <alignment horizontal="center"/>
    </xf>
    <xf numFmtId="1" fontId="43" fillId="5" borderId="112" xfId="0" applyNumberFormat="1" applyFont="1" applyFill="1" applyBorder="1" applyAlignment="1">
      <alignment horizontal="right"/>
    </xf>
    <xf numFmtId="1" fontId="43" fillId="5" borderId="8" xfId="0" applyNumberFormat="1" applyFont="1" applyFill="1" applyBorder="1" applyAlignment="1">
      <alignment horizontal="right"/>
    </xf>
    <xf numFmtId="1" fontId="43" fillId="5" borderId="20" xfId="0" applyNumberFormat="1" applyFont="1" applyFill="1" applyBorder="1" applyAlignment="1">
      <alignment horizontal="right"/>
    </xf>
    <xf numFmtId="0" fontId="43" fillId="5" borderId="40" xfId="0" applyFont="1" applyFill="1" applyBorder="1" applyAlignment="1">
      <alignment horizontal="right"/>
    </xf>
    <xf numFmtId="0" fontId="43" fillId="5" borderId="4" xfId="0" applyFont="1" applyFill="1" applyBorder="1" applyAlignment="1">
      <alignment horizontal="center"/>
    </xf>
    <xf numFmtId="0" fontId="43" fillId="5" borderId="0" xfId="0" applyFont="1" applyFill="1" applyAlignment="1">
      <alignment horizontal="center"/>
    </xf>
    <xf numFmtId="0" fontId="43" fillId="5" borderId="5" xfId="0" applyFont="1" applyFill="1" applyBorder="1" applyAlignment="1">
      <alignment horizontal="center"/>
    </xf>
    <xf numFmtId="0" fontId="43" fillId="5" borderId="152" xfId="0" applyFont="1" applyFill="1" applyBorder="1" applyAlignment="1">
      <alignment horizontal="right"/>
    </xf>
    <xf numFmtId="0" fontId="43" fillId="5" borderId="56" xfId="0" applyFont="1" applyFill="1" applyBorder="1" applyAlignment="1">
      <alignment horizontal="right"/>
    </xf>
    <xf numFmtId="0" fontId="43" fillId="5" borderId="57" xfId="0" applyFont="1" applyFill="1" applyBorder="1" applyAlignment="1">
      <alignment horizontal="right"/>
    </xf>
    <xf numFmtId="0" fontId="1" fillId="5" borderId="0" xfId="0" applyFont="1" applyFill="1" applyAlignment="1">
      <alignment horizontal="center" shrinkToFit="1"/>
    </xf>
    <xf numFmtId="0" fontId="1" fillId="5" borderId="5" xfId="0" applyFont="1" applyFill="1" applyBorder="1" applyAlignment="1">
      <alignment horizontal="center" shrinkToFit="1"/>
    </xf>
    <xf numFmtId="0" fontId="8" fillId="5" borderId="30" xfId="0" applyFont="1" applyFill="1" applyBorder="1" applyAlignment="1">
      <alignment horizontal="center" shrinkToFit="1"/>
    </xf>
    <xf numFmtId="0" fontId="8" fillId="5" borderId="20" xfId="0" applyFont="1" applyFill="1" applyBorder="1" applyAlignment="1">
      <alignment horizontal="center" shrinkToFit="1"/>
    </xf>
    <xf numFmtId="0" fontId="5" fillId="5" borderId="0" xfId="0" applyFont="1" applyFill="1" applyAlignment="1">
      <alignment horizontal="center" shrinkToFit="1"/>
    </xf>
    <xf numFmtId="0" fontId="5" fillId="5" borderId="5" xfId="0" applyFont="1" applyFill="1" applyBorder="1" applyAlignment="1">
      <alignment horizontal="center" shrinkToFit="1"/>
    </xf>
    <xf numFmtId="0" fontId="82" fillId="2" borderId="30" xfId="6" applyFont="1" applyFill="1" applyBorder="1" applyAlignment="1">
      <alignment horizontal="center" shrinkToFit="1"/>
    </xf>
    <xf numFmtId="0" fontId="82" fillId="2" borderId="8" xfId="6" applyFont="1" applyFill="1" applyBorder="1" applyAlignment="1">
      <alignment horizontal="center" shrinkToFit="1"/>
    </xf>
    <xf numFmtId="0" fontId="82" fillId="2" borderId="20" xfId="6" applyFont="1" applyFill="1" applyBorder="1" applyAlignment="1">
      <alignment horizontal="center" shrinkToFit="1"/>
    </xf>
    <xf numFmtId="0" fontId="88" fillId="0" borderId="184" xfId="6" applyFont="1" applyBorder="1" applyAlignment="1">
      <alignment horizontal="center"/>
    </xf>
    <xf numFmtId="0" fontId="84" fillId="2" borderId="86" xfId="6" applyFont="1" applyFill="1" applyBorder="1" applyAlignment="1" applyProtection="1">
      <alignment horizontal="center"/>
      <protection locked="0"/>
    </xf>
    <xf numFmtId="0" fontId="84" fillId="2" borderId="88" xfId="6" applyFont="1" applyFill="1" applyBorder="1" applyAlignment="1" applyProtection="1">
      <alignment horizontal="center"/>
      <protection locked="0"/>
    </xf>
    <xf numFmtId="0" fontId="84" fillId="2" borderId="185" xfId="6" applyFont="1" applyFill="1" applyBorder="1" applyAlignment="1" applyProtection="1">
      <alignment horizontal="center"/>
      <protection locked="0"/>
    </xf>
    <xf numFmtId="0" fontId="84" fillId="2" borderId="188" xfId="6" applyFont="1" applyFill="1" applyBorder="1" applyAlignment="1" applyProtection="1">
      <alignment horizontal="center"/>
      <protection locked="0"/>
    </xf>
    <xf numFmtId="0" fontId="86" fillId="0" borderId="189" xfId="6" applyFont="1" applyBorder="1" applyAlignment="1">
      <alignment horizontal="center"/>
    </xf>
    <xf numFmtId="0" fontId="84" fillId="2" borderId="83" xfId="6" applyFont="1" applyFill="1" applyBorder="1" applyAlignment="1" applyProtection="1">
      <alignment horizontal="center"/>
      <protection locked="0"/>
    </xf>
    <xf numFmtId="0" fontId="84" fillId="2" borderId="181" xfId="6" applyFont="1" applyFill="1" applyBorder="1" applyAlignment="1" applyProtection="1">
      <alignment horizontal="center"/>
      <protection locked="0"/>
    </xf>
    <xf numFmtId="0" fontId="84" fillId="2" borderId="186" xfId="6" applyFont="1" applyFill="1" applyBorder="1" applyAlignment="1" applyProtection="1">
      <alignment horizontal="center"/>
      <protection locked="0"/>
    </xf>
    <xf numFmtId="0" fontId="84" fillId="2" borderId="80" xfId="6" applyFont="1" applyFill="1" applyBorder="1" applyAlignment="1" applyProtection="1">
      <alignment horizontal="center"/>
      <protection locked="0"/>
    </xf>
    <xf numFmtId="0" fontId="84" fillId="2" borderId="81" xfId="6" applyFont="1" applyFill="1" applyBorder="1" applyAlignment="1" applyProtection="1">
      <alignment horizontal="center"/>
      <protection locked="0"/>
    </xf>
    <xf numFmtId="166" fontId="84" fillId="2" borderId="185" xfId="6" applyNumberFormat="1" applyFont="1" applyFill="1" applyBorder="1" applyAlignment="1" applyProtection="1">
      <alignment horizontal="center"/>
      <protection locked="0"/>
    </xf>
    <xf numFmtId="166" fontId="84" fillId="2" borderId="187" xfId="6" applyNumberFormat="1" applyFont="1" applyFill="1" applyBorder="1" applyAlignment="1" applyProtection="1">
      <alignment horizontal="center"/>
      <protection locked="0"/>
    </xf>
    <xf numFmtId="166" fontId="84" fillId="2" borderId="188" xfId="6" applyNumberFormat="1" applyFont="1" applyFill="1" applyBorder="1" applyAlignment="1" applyProtection="1">
      <alignment horizontal="center"/>
      <protection locked="0"/>
    </xf>
    <xf numFmtId="0" fontId="84" fillId="2" borderId="179" xfId="6" applyFont="1" applyFill="1" applyBorder="1" applyAlignment="1" applyProtection="1">
      <alignment horizontal="center"/>
      <protection locked="0"/>
    </xf>
    <xf numFmtId="0" fontId="84" fillId="2" borderId="141" xfId="6" applyFont="1" applyFill="1" applyBorder="1" applyAlignment="1" applyProtection="1">
      <alignment horizontal="center"/>
      <protection locked="0"/>
    </xf>
    <xf numFmtId="0" fontId="84" fillId="2" borderId="182" xfId="6" applyFont="1" applyFill="1" applyBorder="1" applyAlignment="1" applyProtection="1">
      <alignment horizontal="center"/>
      <protection locked="0"/>
    </xf>
    <xf numFmtId="0" fontId="78" fillId="0" borderId="1" xfId="6" applyBorder="1" applyAlignment="1">
      <alignment horizontal="center"/>
    </xf>
    <xf numFmtId="0" fontId="78" fillId="6" borderId="0" xfId="6" applyFill="1" applyAlignment="1">
      <alignment horizontal="center"/>
    </xf>
    <xf numFmtId="0" fontId="78" fillId="6" borderId="179" xfId="6" applyFill="1" applyBorder="1" applyAlignment="1">
      <alignment horizontal="center"/>
    </xf>
    <xf numFmtId="0" fontId="78" fillId="6" borderId="182" xfId="6" applyFill="1" applyBorder="1" applyAlignment="1">
      <alignment horizontal="center"/>
    </xf>
    <xf numFmtId="0" fontId="78" fillId="6" borderId="141" xfId="6" applyFill="1" applyBorder="1" applyAlignment="1">
      <alignment horizontal="center"/>
    </xf>
    <xf numFmtId="0" fontId="91" fillId="0" borderId="183" xfId="6" applyFont="1" applyBorder="1" applyAlignment="1">
      <alignment horizontal="center"/>
    </xf>
    <xf numFmtId="0" fontId="91" fillId="0" borderId="105" xfId="6" applyFont="1" applyBorder="1" applyAlignment="1">
      <alignment horizontal="center"/>
    </xf>
    <xf numFmtId="171" fontId="87" fillId="13" borderId="184" xfId="6" applyNumberFormat="1" applyFont="1" applyFill="1" applyBorder="1" applyAlignment="1" applyProtection="1">
      <alignment horizontal="center"/>
      <protection locked="0"/>
    </xf>
    <xf numFmtId="0" fontId="80" fillId="4" borderId="99" xfId="6" applyFont="1" applyFill="1" applyBorder="1" applyAlignment="1">
      <alignment horizontal="center"/>
    </xf>
    <xf numFmtId="0" fontId="80" fillId="4" borderId="196" xfId="6" applyFont="1" applyFill="1" applyBorder="1" applyAlignment="1">
      <alignment horizontal="center"/>
    </xf>
    <xf numFmtId="0" fontId="80" fillId="4" borderId="83" xfId="6" applyFont="1" applyFill="1" applyBorder="1" applyAlignment="1">
      <alignment horizontal="center" shrinkToFit="1"/>
    </xf>
    <xf numFmtId="0" fontId="80" fillId="4" borderId="81" xfId="6" applyFont="1" applyFill="1" applyBorder="1" applyAlignment="1">
      <alignment horizontal="center" shrinkToFit="1"/>
    </xf>
    <xf numFmtId="0" fontId="82" fillId="2" borderId="83" xfId="6" applyFont="1" applyFill="1" applyBorder="1" applyAlignment="1">
      <alignment horizontal="center"/>
    </xf>
    <xf numFmtId="0" fontId="82" fillId="2" borderId="80" xfId="6" applyFont="1" applyFill="1" applyBorder="1" applyAlignment="1">
      <alignment horizontal="center"/>
    </xf>
    <xf numFmtId="0" fontId="82" fillId="2" borderId="81" xfId="6" applyFont="1" applyFill="1" applyBorder="1" applyAlignment="1">
      <alignment horizontal="center"/>
    </xf>
    <xf numFmtId="167" fontId="84" fillId="2" borderId="179" xfId="6" applyNumberFormat="1" applyFont="1" applyFill="1" applyBorder="1" applyAlignment="1" applyProtection="1">
      <alignment horizontal="center"/>
      <protection locked="0"/>
    </xf>
    <xf numFmtId="167" fontId="84" fillId="2" borderId="180" xfId="6" applyNumberFormat="1" applyFont="1" applyFill="1" applyBorder="1" applyAlignment="1" applyProtection="1">
      <alignment horizontal="center"/>
      <protection locked="0"/>
    </xf>
    <xf numFmtId="0" fontId="8" fillId="0" borderId="21" xfId="0" applyFont="1" applyBorder="1" applyAlignment="1">
      <alignment horizontal="center" shrinkToFit="1"/>
    </xf>
    <xf numFmtId="0" fontId="40" fillId="0" borderId="0" xfId="0" applyFont="1" applyAlignment="1">
      <alignment horizontal="right"/>
    </xf>
    <xf numFmtId="0" fontId="41" fillId="0" borderId="0" xfId="0" applyFont="1" applyAlignment="1" applyProtection="1">
      <alignment horizontal="center"/>
      <protection locked="0"/>
    </xf>
    <xf numFmtId="0" fontId="41" fillId="0" borderId="0" xfId="0" applyFont="1" applyAlignment="1" applyProtection="1">
      <alignment horizontal="center" shrinkToFit="1"/>
      <protection hidden="1"/>
    </xf>
    <xf numFmtId="15" fontId="36" fillId="2" borderId="12" xfId="0" applyNumberFormat="1" applyFont="1" applyFill="1" applyBorder="1" applyAlignment="1">
      <alignment horizontal="center"/>
    </xf>
    <xf numFmtId="15" fontId="36" fillId="2" borderId="10" xfId="0" applyNumberFormat="1" applyFont="1" applyFill="1" applyBorder="1" applyAlignment="1">
      <alignment horizontal="center"/>
    </xf>
    <xf numFmtId="15" fontId="36" fillId="2" borderId="19" xfId="0" applyNumberFormat="1" applyFont="1" applyFill="1" applyBorder="1" applyAlignment="1">
      <alignment horizontal="center"/>
    </xf>
    <xf numFmtId="0" fontId="28" fillId="0" borderId="1" xfId="0" applyFont="1" applyBorder="1" applyAlignment="1">
      <alignment horizontal="center"/>
    </xf>
    <xf numFmtId="0" fontId="33" fillId="0" borderId="2" xfId="0" applyFont="1" applyBorder="1" applyAlignment="1">
      <alignment horizontal="center"/>
    </xf>
    <xf numFmtId="0" fontId="33" fillId="0" borderId="21" xfId="0" applyFont="1" applyBorder="1" applyAlignment="1">
      <alignment horizontal="center"/>
    </xf>
    <xf numFmtId="0" fontId="33" fillId="0" borderId="3" xfId="0" applyFont="1" applyBorder="1" applyAlignment="1">
      <alignment horizontal="center"/>
    </xf>
    <xf numFmtId="0" fontId="8" fillId="0" borderId="30" xfId="0" applyFont="1" applyBorder="1" applyAlignment="1">
      <alignment horizontal="left"/>
    </xf>
    <xf numFmtId="0" fontId="8" fillId="0" borderId="8" xfId="0" applyFont="1" applyBorder="1" applyAlignment="1">
      <alignment horizontal="left"/>
    </xf>
    <xf numFmtId="0" fontId="8" fillId="0" borderId="31" xfId="0" applyFont="1" applyBorder="1" applyAlignment="1">
      <alignment horizontal="left"/>
    </xf>
    <xf numFmtId="2" fontId="28" fillId="0" borderId="17" xfId="0" applyNumberFormat="1" applyFont="1" applyBorder="1" applyAlignment="1">
      <alignment horizontal="center"/>
    </xf>
    <xf numFmtId="2" fontId="28" fillId="0" borderId="18" xfId="0" applyNumberFormat="1" applyFont="1" applyBorder="1" applyAlignment="1">
      <alignment horizontal="center"/>
    </xf>
    <xf numFmtId="178" fontId="28" fillId="0" borderId="30" xfId="0" applyNumberFormat="1" applyFont="1" applyBorder="1" applyAlignment="1">
      <alignment horizontal="center"/>
    </xf>
    <xf numFmtId="178" fontId="28" fillId="0" borderId="20" xfId="0" applyNumberFormat="1" applyFont="1" applyBorder="1" applyAlignment="1">
      <alignment horizontal="center"/>
    </xf>
    <xf numFmtId="0" fontId="44" fillId="0" borderId="1" xfId="0" applyFont="1" applyBorder="1" applyAlignment="1">
      <alignment horizontal="center"/>
    </xf>
    <xf numFmtId="0" fontId="50" fillId="0" borderId="1" xfId="0" applyFont="1" applyBorder="1" applyAlignment="1">
      <alignment horizontal="left"/>
    </xf>
    <xf numFmtId="0" fontId="50" fillId="0" borderId="28" xfId="0" applyFont="1" applyBorder="1" applyAlignment="1">
      <alignment horizontal="left"/>
    </xf>
    <xf numFmtId="0" fontId="44" fillId="0" borderId="1" xfId="0" applyFont="1" applyBorder="1" applyAlignment="1">
      <alignment horizontal="left"/>
    </xf>
    <xf numFmtId="0" fontId="44" fillId="0" borderId="28" xfId="0" applyFont="1" applyBorder="1" applyAlignment="1">
      <alignment horizontal="left"/>
    </xf>
    <xf numFmtId="0" fontId="33" fillId="5" borderId="15" xfId="0" applyFont="1" applyFill="1" applyBorder="1" applyAlignment="1">
      <alignment horizontal="right"/>
    </xf>
    <xf numFmtId="0" fontId="33" fillId="5" borderId="0" xfId="0" applyFont="1" applyFill="1" applyAlignment="1">
      <alignment horizontal="right"/>
    </xf>
    <xf numFmtId="0" fontId="41" fillId="0" borderId="15" xfId="0" applyFont="1" applyBorder="1" applyAlignment="1">
      <alignment horizontal="left"/>
    </xf>
    <xf numFmtId="0" fontId="41" fillId="0" borderId="0" xfId="0" applyFont="1" applyAlignment="1">
      <alignment horizontal="left"/>
    </xf>
    <xf numFmtId="0" fontId="41" fillId="0" borderId="16" xfId="0" applyFont="1" applyBorder="1" applyAlignment="1">
      <alignment horizontal="left"/>
    </xf>
    <xf numFmtId="0" fontId="8" fillId="5" borderId="0" xfId="0" applyFont="1" applyFill="1" applyAlignment="1">
      <alignment horizontal="left"/>
    </xf>
    <xf numFmtId="0" fontId="25" fillId="5" borderId="36" xfId="0" applyFont="1" applyFill="1" applyBorder="1" applyAlignment="1">
      <alignment horizontal="center" shrinkToFit="1"/>
    </xf>
    <xf numFmtId="0" fontId="25" fillId="5" borderId="14" xfId="0" applyFont="1" applyFill="1" applyBorder="1" applyAlignment="1">
      <alignment horizontal="center" shrinkToFit="1"/>
    </xf>
    <xf numFmtId="0" fontId="8" fillId="5" borderId="15" xfId="0" applyFont="1" applyFill="1" applyBorder="1" applyAlignment="1">
      <alignment horizontal="center" shrinkToFit="1"/>
    </xf>
    <xf numFmtId="0" fontId="8" fillId="5" borderId="16" xfId="0" applyFont="1" applyFill="1" applyBorder="1" applyAlignment="1">
      <alignment horizontal="center" shrinkToFit="1"/>
    </xf>
    <xf numFmtId="0" fontId="8" fillId="5" borderId="36" xfId="0" applyFont="1" applyFill="1" applyBorder="1" applyAlignment="1">
      <alignment horizontal="center"/>
    </xf>
    <xf numFmtId="0" fontId="8" fillId="5" borderId="13" xfId="0" applyFont="1" applyFill="1" applyBorder="1" applyAlignment="1">
      <alignment horizontal="center"/>
    </xf>
    <xf numFmtId="0" fontId="8" fillId="5" borderId="14" xfId="0" applyFont="1" applyFill="1" applyBorder="1" applyAlignment="1">
      <alignment horizontal="center"/>
    </xf>
    <xf numFmtId="0" fontId="8" fillId="5" borderId="15" xfId="0" applyFont="1" applyFill="1" applyBorder="1" applyAlignment="1">
      <alignment horizontal="center"/>
    </xf>
    <xf numFmtId="0" fontId="8" fillId="5" borderId="16" xfId="0" applyFont="1" applyFill="1" applyBorder="1" applyAlignment="1">
      <alignment horizontal="center"/>
    </xf>
    <xf numFmtId="0" fontId="25" fillId="5" borderId="36" xfId="0" applyFont="1" applyFill="1" applyBorder="1" applyAlignment="1">
      <alignment horizontal="center"/>
    </xf>
    <xf numFmtId="0" fontId="25" fillId="5" borderId="14" xfId="0" applyFont="1" applyFill="1" applyBorder="1" applyAlignment="1">
      <alignment horizontal="center"/>
    </xf>
    <xf numFmtId="0" fontId="8" fillId="5" borderId="17" xfId="0" applyFont="1" applyFill="1" applyBorder="1" applyAlignment="1">
      <alignment horizontal="center" shrinkToFit="1"/>
    </xf>
    <xf numFmtId="0" fontId="8" fillId="5" borderId="18" xfId="0" applyFont="1" applyFill="1" applyBorder="1" applyAlignment="1">
      <alignment horizontal="center" shrinkToFit="1"/>
    </xf>
    <xf numFmtId="0" fontId="8" fillId="5" borderId="0" xfId="0" applyFont="1" applyFill="1" applyAlignment="1">
      <alignment horizontal="center"/>
    </xf>
    <xf numFmtId="0" fontId="8" fillId="5" borderId="9" xfId="0" applyFont="1" applyFill="1" applyBorder="1" applyAlignment="1">
      <alignment horizontal="left"/>
    </xf>
    <xf numFmtId="0" fontId="8" fillId="0" borderId="1" xfId="0" applyFont="1" applyBorder="1" applyAlignment="1">
      <alignment horizontal="center"/>
    </xf>
    <xf numFmtId="0" fontId="8" fillId="0" borderId="1" xfId="0" applyFont="1" applyBorder="1" applyAlignment="1" applyProtection="1">
      <alignment horizontal="right"/>
      <protection locked="0"/>
    </xf>
    <xf numFmtId="167" fontId="8" fillId="0" borderId="1" xfId="0" applyNumberFormat="1" applyFont="1" applyBorder="1" applyAlignment="1" applyProtection="1">
      <alignment horizontal="center"/>
      <protection locked="0"/>
    </xf>
    <xf numFmtId="0" fontId="8" fillId="0" borderId="1" xfId="0" applyFont="1" applyBorder="1" applyAlignment="1" applyProtection="1">
      <alignment horizontal="center"/>
      <protection locked="0"/>
    </xf>
    <xf numFmtId="167" fontId="41" fillId="0" borderId="1" xfId="0" applyNumberFormat="1" applyFont="1" applyBorder="1" applyAlignment="1" applyProtection="1">
      <alignment horizontal="center"/>
      <protection locked="0"/>
    </xf>
    <xf numFmtId="0" fontId="41" fillId="0" borderId="1" xfId="0" applyFont="1" applyBorder="1" applyAlignment="1" applyProtection="1">
      <alignment horizontal="center"/>
      <protection locked="0"/>
    </xf>
    <xf numFmtId="20" fontId="8" fillId="0" borderId="1" xfId="0" applyNumberFormat="1" applyFont="1" applyBorder="1" applyAlignment="1" applyProtection="1">
      <alignment horizontal="center"/>
      <protection locked="0"/>
    </xf>
    <xf numFmtId="178" fontId="8" fillId="0" borderId="42" xfId="0" applyNumberFormat="1" applyFont="1" applyBorder="1" applyAlignment="1" applyProtection="1">
      <alignment horizontal="center"/>
      <protection locked="0"/>
    </xf>
    <xf numFmtId="0" fontId="47" fillId="0" borderId="0" xfId="0" applyFont="1" applyAlignment="1">
      <alignment horizontal="center"/>
    </xf>
    <xf numFmtId="0" fontId="28" fillId="0" borderId="0" xfId="0" applyFont="1" applyAlignment="1">
      <alignment horizontal="center"/>
    </xf>
    <xf numFmtId="0" fontId="33" fillId="0" borderId="0" xfId="0" applyFont="1" applyAlignment="1">
      <alignment horizontal="center"/>
    </xf>
    <xf numFmtId="49" fontId="33" fillId="0" borderId="0" xfId="0" applyNumberFormat="1" applyFont="1" applyAlignment="1">
      <alignment horizontal="center"/>
    </xf>
    <xf numFmtId="0" fontId="46" fillId="0" borderId="0" xfId="0" applyFont="1" applyAlignment="1">
      <alignment horizontal="center"/>
    </xf>
    <xf numFmtId="15" fontId="25" fillId="0" borderId="0" xfId="0" applyNumberFormat="1" applyFont="1" applyAlignment="1">
      <alignment horizontal="center"/>
    </xf>
    <xf numFmtId="0" fontId="49" fillId="0" borderId="21" xfId="0" applyFont="1" applyBorder="1" applyAlignment="1">
      <alignment horizontal="center"/>
    </xf>
    <xf numFmtId="0" fontId="49" fillId="0" borderId="3" xfId="0" applyFont="1" applyBorder="1" applyAlignment="1">
      <alignment horizontal="center"/>
    </xf>
    <xf numFmtId="20" fontId="8" fillId="0" borderId="11" xfId="0" applyNumberFormat="1" applyFont="1" applyBorder="1" applyAlignment="1">
      <alignment horizontal="center"/>
    </xf>
    <xf numFmtId="20" fontId="8" fillId="0" borderId="7" xfId="0" applyNumberFormat="1" applyFont="1" applyBorder="1" applyAlignment="1">
      <alignment horizontal="center"/>
    </xf>
    <xf numFmtId="1" fontId="8" fillId="0" borderId="11" xfId="0" applyNumberFormat="1" applyFont="1" applyBorder="1" applyAlignment="1">
      <alignment horizontal="center"/>
    </xf>
    <xf numFmtId="1" fontId="8" fillId="0" borderId="7" xfId="0" applyNumberFormat="1" applyFont="1" applyBorder="1" applyAlignment="1">
      <alignment horizontal="center"/>
    </xf>
    <xf numFmtId="3" fontId="8" fillId="0" borderId="1" xfId="0" applyNumberFormat="1" applyFont="1" applyBorder="1" applyAlignment="1">
      <alignment horizontal="center"/>
    </xf>
    <xf numFmtId="3" fontId="8" fillId="0" borderId="30" xfId="0" applyNumberFormat="1" applyFont="1" applyBorder="1" applyAlignment="1">
      <alignment horizontal="center"/>
    </xf>
    <xf numFmtId="3" fontId="8" fillId="0" borderId="42" xfId="0" applyNumberFormat="1" applyFont="1" applyBorder="1" applyAlignment="1">
      <alignment horizontal="center"/>
    </xf>
    <xf numFmtId="3" fontId="8" fillId="0" borderId="36" xfId="0" applyNumberFormat="1" applyFont="1" applyBorder="1" applyAlignment="1">
      <alignment horizontal="center"/>
    </xf>
    <xf numFmtId="3" fontId="28" fillId="0" borderId="76" xfId="0" applyNumberFormat="1" applyFont="1" applyBorder="1" applyAlignment="1">
      <alignment horizontal="center"/>
    </xf>
    <xf numFmtId="3" fontId="28" fillId="0" borderId="78" xfId="0" applyNumberFormat="1" applyFont="1" applyBorder="1" applyAlignment="1">
      <alignment horizontal="center"/>
    </xf>
    <xf numFmtId="0" fontId="25" fillId="0" borderId="2" xfId="0" applyFont="1" applyBorder="1" applyAlignment="1">
      <alignment horizontal="center"/>
    </xf>
    <xf numFmtId="0" fontId="25" fillId="0" borderId="21" xfId="0" applyFont="1" applyBorder="1" applyAlignment="1">
      <alignment horizontal="center"/>
    </xf>
    <xf numFmtId="0" fontId="25" fillId="0" borderId="3" xfId="0" applyFont="1" applyBorder="1" applyAlignment="1">
      <alignment horizontal="center"/>
    </xf>
    <xf numFmtId="2" fontId="8" fillId="0" borderId="30" xfId="0" applyNumberFormat="1" applyFont="1" applyBorder="1" applyAlignment="1">
      <alignment horizontal="center"/>
    </xf>
    <xf numFmtId="2" fontId="8" fillId="0" borderId="20" xfId="0" applyNumberFormat="1" applyFont="1" applyBorder="1" applyAlignment="1">
      <alignment horizontal="center"/>
    </xf>
    <xf numFmtId="0" fontId="8" fillId="0" borderId="12" xfId="0" applyFont="1" applyBorder="1" applyAlignment="1">
      <alignment horizontal="center"/>
    </xf>
    <xf numFmtId="0" fontId="8" fillId="0" borderId="19" xfId="0" applyFont="1" applyBorder="1" applyAlignment="1">
      <alignment horizontal="center"/>
    </xf>
    <xf numFmtId="2" fontId="8" fillId="0" borderId="36" xfId="0" applyNumberFormat="1" applyFont="1" applyBorder="1" applyAlignment="1">
      <alignment horizontal="center"/>
    </xf>
    <xf numFmtId="2" fontId="8" fillId="0" borderId="14" xfId="0" applyNumberFormat="1" applyFont="1" applyBorder="1" applyAlignment="1">
      <alignment horizontal="center"/>
    </xf>
    <xf numFmtId="0" fontId="25" fillId="0" borderId="4" xfId="0" applyFont="1" applyBorder="1" applyAlignment="1">
      <alignment horizontal="left"/>
    </xf>
    <xf numFmtId="0" fontId="25" fillId="0" borderId="0" xfId="0" applyFont="1" applyAlignment="1">
      <alignment horizontal="left"/>
    </xf>
    <xf numFmtId="0" fontId="25" fillId="0" borderId="5" xfId="0" applyFont="1" applyBorder="1" applyAlignment="1">
      <alignment horizontal="left"/>
    </xf>
    <xf numFmtId="0" fontId="45" fillId="0" borderId="20" xfId="0" applyFont="1" applyBorder="1" applyAlignment="1">
      <alignment horizontal="center"/>
    </xf>
    <xf numFmtId="0" fontId="45" fillId="0" borderId="1" xfId="0" applyFont="1" applyBorder="1" applyAlignment="1">
      <alignment horizontal="center"/>
    </xf>
    <xf numFmtId="0" fontId="25" fillId="0" borderId="1" xfId="0" applyFont="1" applyBorder="1" applyAlignment="1">
      <alignment horizontal="center"/>
    </xf>
    <xf numFmtId="178" fontId="8" fillId="0" borderId="11" xfId="0" applyNumberFormat="1" applyFont="1" applyBorder="1" applyAlignment="1">
      <alignment horizontal="center"/>
    </xf>
    <xf numFmtId="178" fontId="8" fillId="0" borderId="7" xfId="0" applyNumberFormat="1" applyFont="1" applyBorder="1" applyAlignment="1">
      <alignment horizontal="center"/>
    </xf>
    <xf numFmtId="0" fontId="8" fillId="6" borderId="4" xfId="0" applyFont="1" applyFill="1" applyBorder="1" applyAlignment="1">
      <alignment horizontal="center"/>
    </xf>
    <xf numFmtId="0" fontId="8" fillId="6" borderId="16" xfId="0" applyFont="1" applyFill="1" applyBorder="1" applyAlignment="1">
      <alignment horizontal="center"/>
    </xf>
    <xf numFmtId="0" fontId="60" fillId="0" borderId="15" xfId="0" applyFont="1" applyBorder="1" applyAlignment="1">
      <alignment horizontal="center"/>
    </xf>
    <xf numFmtId="0" fontId="60" fillId="0" borderId="0" xfId="0" applyFont="1" applyAlignment="1">
      <alignment horizontal="center"/>
    </xf>
    <xf numFmtId="0" fontId="60" fillId="0" borderId="5" xfId="0" applyFont="1" applyBorder="1" applyAlignment="1">
      <alignment horizontal="center"/>
    </xf>
    <xf numFmtId="0" fontId="41" fillId="0" borderId="20" xfId="0" applyFont="1" applyBorder="1" applyAlignment="1">
      <alignment horizontal="center"/>
    </xf>
    <xf numFmtId="0" fontId="41" fillId="0" borderId="1" xfId="0" applyFont="1" applyBorder="1" applyAlignment="1">
      <alignment horizontal="center"/>
    </xf>
    <xf numFmtId="0" fontId="8" fillId="0" borderId="20" xfId="0" applyFont="1" applyBorder="1" applyAlignment="1">
      <alignment horizontal="center"/>
    </xf>
    <xf numFmtId="0" fontId="29" fillId="5" borderId="10" xfId="0" applyFont="1" applyFill="1" applyBorder="1" applyAlignment="1">
      <alignment horizontal="center"/>
    </xf>
    <xf numFmtId="0" fontId="29" fillId="5" borderId="19" xfId="0" applyFont="1" applyFill="1" applyBorder="1" applyAlignment="1">
      <alignment horizontal="center"/>
    </xf>
    <xf numFmtId="0" fontId="1" fillId="5" borderId="12" xfId="0" applyFont="1" applyFill="1" applyBorder="1" applyAlignment="1">
      <alignment horizontal="center"/>
    </xf>
    <xf numFmtId="0" fontId="1" fillId="5" borderId="19" xfId="0" applyFont="1" applyFill="1" applyBorder="1" applyAlignment="1">
      <alignment horizontal="center"/>
    </xf>
    <xf numFmtId="0" fontId="25" fillId="5" borderId="4" xfId="0" applyFont="1" applyFill="1" applyBorder="1" applyAlignment="1" applyProtection="1">
      <alignment horizontal="center"/>
      <protection locked="0"/>
    </xf>
    <xf numFmtId="0" fontId="25" fillId="5" borderId="0" xfId="0" applyFont="1" applyFill="1" applyAlignment="1" applyProtection="1">
      <alignment horizontal="center"/>
      <protection locked="0"/>
    </xf>
    <xf numFmtId="0" fontId="41" fillId="5" borderId="6" xfId="0" applyFont="1" applyFill="1" applyBorder="1" applyAlignment="1">
      <alignment horizontal="center"/>
    </xf>
    <xf numFmtId="0" fontId="41" fillId="5" borderId="11" xfId="0" applyFont="1" applyFill="1" applyBorder="1" applyAlignment="1">
      <alignment horizontal="center"/>
    </xf>
    <xf numFmtId="0" fontId="41" fillId="5" borderId="11" xfId="0" applyFont="1" applyFill="1" applyBorder="1" applyAlignment="1" applyProtection="1">
      <alignment horizontal="center"/>
      <protection locked="0"/>
    </xf>
    <xf numFmtId="193" fontId="42" fillId="5" borderId="164" xfId="0" applyNumberFormat="1" applyFont="1" applyFill="1" applyBorder="1" applyAlignment="1" applyProtection="1">
      <alignment horizontal="center" shrinkToFit="1"/>
      <protection locked="0"/>
    </xf>
    <xf numFmtId="193" fontId="42" fillId="5" borderId="21" xfId="0" applyNumberFormat="1" applyFont="1" applyFill="1" applyBorder="1" applyAlignment="1" applyProtection="1">
      <alignment horizontal="center" shrinkToFit="1"/>
      <protection locked="0"/>
    </xf>
    <xf numFmtId="0" fontId="22" fillId="5" borderId="17" xfId="0" applyFont="1" applyFill="1" applyBorder="1" applyAlignment="1" applyProtection="1">
      <alignment horizontal="center" shrinkToFit="1"/>
      <protection locked="0"/>
    </xf>
    <xf numFmtId="0" fontId="22" fillId="5" borderId="9" xfId="0" applyFont="1" applyFill="1" applyBorder="1" applyAlignment="1" applyProtection="1">
      <alignment horizontal="center" shrinkToFit="1"/>
      <protection locked="0"/>
    </xf>
    <xf numFmtId="0" fontId="22" fillId="5" borderId="18" xfId="0" applyFont="1" applyFill="1" applyBorder="1" applyAlignment="1" applyProtection="1">
      <alignment horizontal="center" shrinkToFit="1"/>
      <protection locked="0"/>
    </xf>
    <xf numFmtId="0" fontId="25" fillId="5" borderId="12" xfId="0" applyFont="1" applyFill="1" applyBorder="1" applyAlignment="1">
      <alignment horizontal="center"/>
    </xf>
    <xf numFmtId="0" fontId="25" fillId="5" borderId="19" xfId="0" applyFont="1" applyFill="1" applyBorder="1" applyAlignment="1">
      <alignment horizontal="center"/>
    </xf>
    <xf numFmtId="0" fontId="25" fillId="5" borderId="10" xfId="0" applyFont="1" applyFill="1" applyBorder="1" applyAlignment="1">
      <alignment horizontal="center"/>
    </xf>
    <xf numFmtId="0" fontId="129" fillId="5" borderId="11" xfId="0" applyFont="1" applyFill="1" applyBorder="1" applyAlignment="1">
      <alignment horizontal="center"/>
    </xf>
    <xf numFmtId="0" fontId="129" fillId="5" borderId="7" xfId="0" applyFont="1" applyFill="1" applyBorder="1" applyAlignment="1">
      <alignment horizontal="center"/>
    </xf>
    <xf numFmtId="0" fontId="8" fillId="5" borderId="12" xfId="0" applyFont="1" applyFill="1" applyBorder="1" applyAlignment="1">
      <alignment horizontal="center"/>
    </xf>
    <xf numFmtId="0" fontId="8" fillId="5" borderId="10" xfId="0" applyFont="1" applyFill="1" applyBorder="1" applyAlignment="1">
      <alignment horizontal="center"/>
    </xf>
    <xf numFmtId="0" fontId="8" fillId="5" borderId="19" xfId="0" applyFont="1" applyFill="1" applyBorder="1" applyAlignment="1">
      <alignment horizontal="center"/>
    </xf>
    <xf numFmtId="0" fontId="1" fillId="0" borderId="2" xfId="0" applyFont="1" applyBorder="1" applyAlignment="1">
      <alignment horizontal="center"/>
    </xf>
    <xf numFmtId="0" fontId="1" fillId="0" borderId="21" xfId="0" applyFont="1" applyBorder="1" applyAlignment="1">
      <alignment horizontal="center"/>
    </xf>
    <xf numFmtId="0" fontId="1" fillId="0" borderId="3" xfId="0" applyFont="1" applyBorder="1" applyAlignment="1">
      <alignment horizontal="center"/>
    </xf>
    <xf numFmtId="0" fontId="1" fillId="0" borderId="9" xfId="0" applyFont="1" applyBorder="1" applyAlignment="1">
      <alignment horizontal="center" shrinkToFit="1"/>
    </xf>
    <xf numFmtId="0" fontId="1" fillId="0" borderId="33" xfId="0" applyFont="1" applyBorder="1" applyAlignment="1">
      <alignment horizontal="center" shrinkToFit="1"/>
    </xf>
    <xf numFmtId="1" fontId="1" fillId="0" borderId="42" xfId="0" applyNumberFormat="1" applyFont="1" applyBorder="1" applyAlignment="1">
      <alignment horizontal="center" vertical="center"/>
    </xf>
    <xf numFmtId="1" fontId="1" fillId="0" borderId="128" xfId="0" applyNumberFormat="1" applyFont="1" applyBorder="1" applyAlignment="1">
      <alignment horizontal="center" vertical="center"/>
    </xf>
    <xf numFmtId="1" fontId="1" fillId="0" borderId="41" xfId="0" applyNumberFormat="1" applyFont="1" applyBorder="1" applyAlignment="1">
      <alignment horizontal="center" vertical="center"/>
    </xf>
    <xf numFmtId="1" fontId="1" fillId="0" borderId="36" xfId="0" applyNumberFormat="1" applyFont="1" applyBorder="1" applyAlignment="1">
      <alignment horizontal="center" vertical="center"/>
    </xf>
    <xf numFmtId="1" fontId="1" fillId="0" borderId="72" xfId="0" applyNumberFormat="1" applyFont="1" applyBorder="1" applyAlignment="1">
      <alignment horizontal="center" vertical="center"/>
    </xf>
    <xf numFmtId="174" fontId="41" fillId="0" borderId="0" xfId="0" applyNumberFormat="1" applyFont="1" applyAlignment="1">
      <alignment horizontal="left"/>
    </xf>
    <xf numFmtId="0" fontId="41" fillId="0" borderId="9" xfId="0" applyFont="1" applyBorder="1" applyAlignment="1">
      <alignment horizontal="right"/>
    </xf>
    <xf numFmtId="0" fontId="1" fillId="0" borderId="9" xfId="0" applyFont="1" applyBorder="1" applyAlignment="1">
      <alignment horizontal="center"/>
    </xf>
    <xf numFmtId="167" fontId="1" fillId="0" borderId="42" xfId="0" applyNumberFormat="1" applyFont="1" applyBorder="1" applyAlignment="1">
      <alignment horizontal="center" vertical="center"/>
    </xf>
    <xf numFmtId="167" fontId="1" fillId="0" borderId="128" xfId="0" applyNumberFormat="1" applyFont="1" applyBorder="1" applyAlignment="1">
      <alignment horizontal="center" vertical="center"/>
    </xf>
    <xf numFmtId="167" fontId="1" fillId="0" borderId="41"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41" xfId="0" applyNumberFormat="1" applyFont="1" applyBorder="1" applyAlignment="1">
      <alignment horizontal="center" vertical="center"/>
    </xf>
    <xf numFmtId="0" fontId="1" fillId="0" borderId="41" xfId="0" applyFont="1" applyBorder="1" applyAlignment="1">
      <alignment horizontal="center" vertical="center"/>
    </xf>
    <xf numFmtId="20" fontId="1" fillId="0" borderId="154" xfId="0" applyNumberFormat="1" applyFont="1" applyBorder="1" applyAlignment="1">
      <alignment horizontal="center" vertical="center"/>
    </xf>
    <xf numFmtId="20" fontId="1" fillId="0" borderId="4" xfId="0" applyNumberFormat="1" applyFont="1" applyBorder="1" applyAlignment="1">
      <alignment horizontal="center" vertical="center"/>
    </xf>
    <xf numFmtId="1" fontId="1" fillId="0" borderId="15" xfId="0" applyNumberFormat="1" applyFont="1" applyBorder="1" applyAlignment="1">
      <alignment horizontal="center" vertical="center"/>
    </xf>
    <xf numFmtId="2" fontId="1" fillId="0" borderId="128" xfId="0" applyNumberFormat="1" applyFont="1" applyBorder="1" applyAlignment="1">
      <alignment horizontal="center" vertical="center"/>
    </xf>
    <xf numFmtId="0" fontId="1" fillId="0" borderId="128" xfId="0" applyFont="1" applyBorder="1" applyAlignment="1">
      <alignment horizontal="center" vertical="center"/>
    </xf>
    <xf numFmtId="20" fontId="1" fillId="0" borderId="6" xfId="0" applyNumberFormat="1" applyFont="1" applyBorder="1" applyAlignment="1">
      <alignment horizontal="center" vertical="center"/>
    </xf>
    <xf numFmtId="0" fontId="1" fillId="0" borderId="42" xfId="0" applyFont="1" applyBorder="1" applyAlignment="1">
      <alignment horizontal="center" shrinkToFit="1"/>
    </xf>
    <xf numFmtId="0" fontId="1" fillId="0" borderId="43" xfId="0" applyFont="1" applyBorder="1" applyAlignment="1">
      <alignment horizontal="center" shrinkToFit="1"/>
    </xf>
    <xf numFmtId="0" fontId="1" fillId="0" borderId="30" xfId="0" applyFont="1" applyBorder="1" applyAlignment="1">
      <alignment horizontal="center" shrinkToFit="1"/>
    </xf>
    <xf numFmtId="0" fontId="1" fillId="0" borderId="8" xfId="0" applyFont="1" applyBorder="1" applyAlignment="1">
      <alignment horizontal="center" shrinkToFit="1"/>
    </xf>
    <xf numFmtId="0" fontId="1" fillId="0" borderId="20" xfId="0" applyFont="1" applyBorder="1" applyAlignment="1">
      <alignment horizontal="center" shrinkToFit="1"/>
    </xf>
    <xf numFmtId="0" fontId="1" fillId="0" borderId="41" xfId="0" applyFont="1" applyBorder="1" applyAlignment="1">
      <alignment horizontal="center" shrinkToFit="1"/>
    </xf>
    <xf numFmtId="0" fontId="1" fillId="0" borderId="45" xfId="0" applyFont="1" applyBorder="1" applyAlignment="1">
      <alignment horizontal="center" vertical="center"/>
    </xf>
    <xf numFmtId="0" fontId="1" fillId="0" borderId="190" xfId="0" applyFont="1" applyBorder="1" applyAlignment="1">
      <alignment horizontal="center" vertical="center"/>
    </xf>
    <xf numFmtId="0" fontId="1" fillId="0" borderId="74" xfId="0" applyFont="1" applyBorder="1" applyAlignment="1">
      <alignment horizontal="center" vertical="center"/>
    </xf>
    <xf numFmtId="0" fontId="1" fillId="0" borderId="42"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41" xfId="0" applyFont="1" applyBorder="1" applyAlignment="1">
      <alignment horizontal="center" vertical="center" wrapText="1"/>
    </xf>
    <xf numFmtId="2" fontId="41" fillId="0" borderId="1" xfId="0" applyNumberFormat="1" applyFont="1" applyBorder="1" applyAlignment="1">
      <alignment horizontal="center" shrinkToFit="1"/>
    </xf>
    <xf numFmtId="0" fontId="1" fillId="0" borderId="42" xfId="0" applyFont="1" applyBorder="1" applyAlignment="1">
      <alignment horizontal="center"/>
    </xf>
    <xf numFmtId="0" fontId="1" fillId="0" borderId="43" xfId="0" applyFont="1" applyBorder="1" applyAlignment="1">
      <alignment horizontal="center"/>
    </xf>
    <xf numFmtId="0" fontId="1" fillId="0" borderId="30" xfId="0" applyFont="1" applyBorder="1" applyAlignment="1">
      <alignment horizontal="center"/>
    </xf>
    <xf numFmtId="0" fontId="1" fillId="0" borderId="8" xfId="0" applyFont="1" applyBorder="1" applyAlignment="1">
      <alignment horizontal="center"/>
    </xf>
    <xf numFmtId="0" fontId="1" fillId="0" borderId="20" xfId="0" applyFont="1" applyBorder="1" applyAlignment="1">
      <alignment horizontal="center"/>
    </xf>
    <xf numFmtId="0" fontId="1" fillId="0" borderId="41" xfId="0" applyFont="1" applyBorder="1" applyAlignment="1">
      <alignment horizontal="center"/>
    </xf>
    <xf numFmtId="0" fontId="1" fillId="0" borderId="13" xfId="0" applyFont="1" applyBorder="1" applyAlignment="1">
      <alignment horizontal="center" vertical="center"/>
    </xf>
    <xf numFmtId="0" fontId="1" fillId="0" borderId="35" xfId="0" applyFont="1" applyBorder="1" applyAlignment="1">
      <alignment horizontal="center" vertical="center"/>
    </xf>
    <xf numFmtId="0" fontId="1" fillId="0" borderId="0" xfId="0" applyFont="1" applyAlignment="1">
      <alignment horizontal="center" vertical="center"/>
    </xf>
    <xf numFmtId="0" fontId="1" fillId="0" borderId="5" xfId="0" applyFont="1" applyBorder="1" applyAlignment="1">
      <alignment horizontal="center" vertical="center"/>
    </xf>
    <xf numFmtId="0" fontId="1" fillId="0" borderId="9" xfId="0" applyFont="1" applyBorder="1" applyAlignment="1">
      <alignment horizontal="center" vertical="center"/>
    </xf>
    <xf numFmtId="0" fontId="1" fillId="0" borderId="33" xfId="0" applyFont="1" applyBorder="1" applyAlignment="1">
      <alignment horizontal="center" vertical="center"/>
    </xf>
    <xf numFmtId="0" fontId="1" fillId="0" borderId="0" xfId="0" applyFont="1" applyAlignment="1" applyProtection="1">
      <alignment horizontal="center"/>
      <protection locked="0"/>
    </xf>
    <xf numFmtId="2" fontId="1" fillId="0" borderId="42" xfId="0" applyNumberFormat="1" applyFont="1" applyBorder="1" applyAlignment="1">
      <alignment horizontal="center" shrinkToFit="1"/>
    </xf>
    <xf numFmtId="2" fontId="1" fillId="0" borderId="128" xfId="0" applyNumberFormat="1" applyFont="1" applyBorder="1" applyAlignment="1">
      <alignment horizontal="center" shrinkToFit="1"/>
    </xf>
    <xf numFmtId="0" fontId="179" fillId="5" borderId="51" xfId="0" applyFont="1" applyFill="1" applyBorder="1" applyAlignment="1">
      <alignment horizontal="center"/>
    </xf>
    <xf numFmtId="0" fontId="129" fillId="5" borderId="12" xfId="0" applyFont="1" applyFill="1" applyBorder="1" applyAlignment="1">
      <alignment horizontal="center"/>
    </xf>
    <xf numFmtId="0" fontId="129" fillId="5" borderId="19" xfId="0" applyFont="1" applyFill="1" applyBorder="1" applyAlignment="1">
      <alignment horizontal="center"/>
    </xf>
    <xf numFmtId="0" fontId="29" fillId="5" borderId="12" xfId="0" applyFont="1" applyFill="1" applyBorder="1" applyAlignment="1">
      <alignment horizontal="center"/>
    </xf>
    <xf numFmtId="0" fontId="41" fillId="5" borderId="10" xfId="0" applyFont="1" applyFill="1" applyBorder="1" applyAlignment="1">
      <alignment horizontal="center"/>
    </xf>
    <xf numFmtId="0" fontId="41" fillId="5" borderId="19" xfId="0" applyFont="1" applyFill="1" applyBorder="1" applyAlignment="1">
      <alignment horizontal="center"/>
    </xf>
    <xf numFmtId="178" fontId="29" fillId="5" borderId="12" xfId="0" applyNumberFormat="1" applyFont="1" applyFill="1" applyBorder="1" applyAlignment="1">
      <alignment horizontal="left"/>
    </xf>
    <xf numFmtId="178" fontId="29" fillId="5" borderId="10" xfId="0" applyNumberFormat="1" applyFont="1" applyFill="1" applyBorder="1" applyAlignment="1">
      <alignment horizontal="left"/>
    </xf>
    <xf numFmtId="178" fontId="29" fillId="5" borderId="19" xfId="0" applyNumberFormat="1" applyFont="1" applyFill="1" applyBorder="1" applyAlignment="1">
      <alignment horizontal="left"/>
    </xf>
    <xf numFmtId="0" fontId="29" fillId="5" borderId="12" xfId="0" applyFont="1" applyFill="1" applyBorder="1" applyAlignment="1">
      <alignment horizontal="left"/>
    </xf>
    <xf numFmtId="0" fontId="29" fillId="5" borderId="10" xfId="0" applyFont="1" applyFill="1" applyBorder="1" applyAlignment="1">
      <alignment horizontal="left"/>
    </xf>
    <xf numFmtId="0" fontId="29" fillId="5" borderId="19" xfId="0" applyFont="1" applyFill="1" applyBorder="1" applyAlignment="1">
      <alignment horizontal="left"/>
    </xf>
    <xf numFmtId="0" fontId="179" fillId="5" borderId="9" xfId="0" applyFont="1" applyFill="1" applyBorder="1" applyAlignment="1">
      <alignment horizontal="center"/>
    </xf>
    <xf numFmtId="0" fontId="164" fillId="5" borderId="114" xfId="8" applyFont="1" applyFill="1" applyBorder="1" applyAlignment="1">
      <alignment horizontal="center"/>
    </xf>
    <xf numFmtId="0" fontId="164" fillId="5" borderId="115" xfId="8" applyFont="1" applyFill="1" applyBorder="1" applyAlignment="1">
      <alignment horizontal="center"/>
    </xf>
    <xf numFmtId="0" fontId="18" fillId="5" borderId="114" xfId="8" applyFont="1" applyFill="1" applyBorder="1" applyAlignment="1">
      <alignment horizontal="right"/>
    </xf>
    <xf numFmtId="0" fontId="18" fillId="5" borderId="143" xfId="8" applyFont="1" applyFill="1" applyBorder="1" applyAlignment="1">
      <alignment horizontal="right"/>
    </xf>
    <xf numFmtId="0" fontId="12" fillId="5" borderId="21" xfId="8" applyFont="1" applyFill="1" applyBorder="1" applyAlignment="1">
      <alignment horizontal="center"/>
    </xf>
    <xf numFmtId="0" fontId="16" fillId="5" borderId="114" xfId="8" applyFont="1" applyFill="1" applyBorder="1" applyAlignment="1">
      <alignment horizontal="center"/>
    </xf>
    <xf numFmtId="0" fontId="16" fillId="5" borderId="143" xfId="8" applyFont="1" applyFill="1" applyBorder="1" applyAlignment="1">
      <alignment horizontal="center"/>
    </xf>
    <xf numFmtId="0" fontId="16" fillId="5" borderId="115" xfId="8" applyFont="1" applyFill="1" applyBorder="1" applyAlignment="1">
      <alignment horizontal="center"/>
    </xf>
    <xf numFmtId="0" fontId="112" fillId="5" borderId="114" xfId="8" applyFont="1" applyFill="1" applyBorder="1" applyAlignment="1">
      <alignment horizontal="center"/>
    </xf>
    <xf numFmtId="0" fontId="112" fillId="5" borderId="143" xfId="8" applyFont="1" applyFill="1" applyBorder="1" applyAlignment="1">
      <alignment horizontal="center"/>
    </xf>
    <xf numFmtId="0" fontId="17" fillId="5" borderId="143" xfId="8" applyFont="1" applyFill="1" applyBorder="1" applyAlignment="1">
      <alignment horizontal="center"/>
    </xf>
    <xf numFmtId="0" fontId="17" fillId="5" borderId="115" xfId="8" applyFont="1" applyFill="1" applyBorder="1" applyAlignment="1">
      <alignment horizontal="center"/>
    </xf>
    <xf numFmtId="16" fontId="17" fillId="5" borderId="143" xfId="8" applyNumberFormat="1" applyFont="1" applyFill="1" applyBorder="1" applyAlignment="1">
      <alignment horizontal="center"/>
    </xf>
    <xf numFmtId="0" fontId="12" fillId="0" borderId="21" xfId="8" applyFont="1" applyBorder="1" applyAlignment="1">
      <alignment horizontal="center"/>
    </xf>
    <xf numFmtId="0" fontId="12" fillId="5" borderId="0" xfId="8" applyFont="1" applyFill="1" applyAlignment="1">
      <alignment horizontal="center"/>
    </xf>
    <xf numFmtId="168" fontId="11" fillId="5" borderId="6" xfId="8" applyNumberFormat="1" applyFill="1" applyBorder="1" applyAlignment="1">
      <alignment horizontal="center"/>
    </xf>
    <xf numFmtId="168" fontId="11" fillId="5" borderId="11" xfId="8" applyNumberFormat="1" applyFill="1" applyBorder="1" applyAlignment="1">
      <alignment horizontal="center"/>
    </xf>
    <xf numFmtId="168" fontId="11" fillId="5" borderId="7" xfId="8" applyNumberFormat="1" applyFill="1" applyBorder="1" applyAlignment="1">
      <alignment horizontal="center"/>
    </xf>
    <xf numFmtId="0" fontId="11" fillId="5" borderId="6" xfId="8" applyFill="1" applyBorder="1" applyAlignment="1">
      <alignment horizontal="center"/>
    </xf>
    <xf numFmtId="0" fontId="11" fillId="5" borderId="11" xfId="8" applyFill="1" applyBorder="1" applyAlignment="1">
      <alignment horizontal="center"/>
    </xf>
    <xf numFmtId="0" fontId="14" fillId="0" borderId="0" xfId="8" applyFont="1" applyAlignment="1">
      <alignment horizontal="center"/>
    </xf>
    <xf numFmtId="0" fontId="12" fillId="0" borderId="0" xfId="8" applyFont="1" applyAlignment="1">
      <alignment horizontal="center"/>
    </xf>
    <xf numFmtId="0" fontId="13" fillId="0" borderId="0" xfId="8" applyFont="1" applyAlignment="1">
      <alignment horizontal="center"/>
    </xf>
    <xf numFmtId="0" fontId="11" fillId="0" borderId="117" xfId="8" applyBorder="1" applyAlignment="1">
      <alignment horizontal="center" wrapText="1"/>
    </xf>
    <xf numFmtId="0" fontId="11" fillId="0" borderId="119" xfId="8" applyBorder="1" applyAlignment="1">
      <alignment horizontal="center" wrapText="1"/>
    </xf>
    <xf numFmtId="0" fontId="11" fillId="0" borderId="191" xfId="8" applyBorder="1" applyAlignment="1">
      <alignment horizontal="center"/>
    </xf>
    <xf numFmtId="0" fontId="11" fillId="0" borderId="192" xfId="8" applyBorder="1" applyAlignment="1">
      <alignment horizontal="center"/>
    </xf>
    <xf numFmtId="0" fontId="26" fillId="5" borderId="0" xfId="8" applyFont="1" applyFill="1" applyAlignment="1" applyProtection="1">
      <alignment horizontal="right"/>
      <protection locked="0"/>
    </xf>
    <xf numFmtId="0" fontId="4" fillId="5" borderId="11" xfId="0" applyFont="1" applyFill="1" applyBorder="1" applyAlignment="1">
      <alignment horizontal="center"/>
    </xf>
    <xf numFmtId="0" fontId="0" fillId="5" borderId="11" xfId="0" applyFill="1" applyBorder="1" applyAlignment="1">
      <alignment horizontal="center"/>
    </xf>
    <xf numFmtId="0" fontId="8" fillId="5" borderId="144" xfId="0" applyFont="1" applyFill="1" applyBorder="1" applyAlignment="1">
      <alignment horizontal="center"/>
    </xf>
    <xf numFmtId="0" fontId="96" fillId="5" borderId="114" xfId="7" applyFont="1" applyFill="1" applyBorder="1" applyAlignment="1">
      <alignment horizontal="center" wrapText="1"/>
    </xf>
    <xf numFmtId="0" fontId="96" fillId="5" borderId="115" xfId="7" applyFont="1" applyFill="1" applyBorder="1" applyAlignment="1">
      <alignment horizontal="center" wrapText="1"/>
    </xf>
    <xf numFmtId="0" fontId="28" fillId="5" borderId="2" xfId="0" applyFont="1" applyFill="1" applyBorder="1" applyAlignment="1">
      <alignment horizontal="center" vertical="center"/>
    </xf>
    <xf numFmtId="0" fontId="28" fillId="5" borderId="21" xfId="0" applyFont="1" applyFill="1" applyBorder="1" applyAlignment="1">
      <alignment horizontal="center" vertical="center"/>
    </xf>
    <xf numFmtId="0" fontId="28" fillId="5" borderId="3" xfId="0" applyFont="1" applyFill="1" applyBorder="1" applyAlignment="1">
      <alignment horizontal="center" vertical="center"/>
    </xf>
    <xf numFmtId="0" fontId="28" fillId="5" borderId="4" xfId="0" applyFont="1" applyFill="1" applyBorder="1" applyAlignment="1">
      <alignment horizontal="center" vertical="center"/>
    </xf>
    <xf numFmtId="0" fontId="28" fillId="5" borderId="0" xfId="0" applyFont="1" applyFill="1" applyAlignment="1">
      <alignment horizontal="center" vertical="center"/>
    </xf>
    <xf numFmtId="0" fontId="28" fillId="5" borderId="5" xfId="0" applyFont="1" applyFill="1" applyBorder="1" applyAlignment="1">
      <alignment horizontal="center" vertical="center"/>
    </xf>
    <xf numFmtId="0" fontId="0" fillId="5" borderId="144" xfId="0" applyFill="1" applyBorder="1" applyAlignment="1">
      <alignment horizontal="center"/>
    </xf>
    <xf numFmtId="0" fontId="16" fillId="5" borderId="193" xfId="7" applyFont="1" applyFill="1" applyBorder="1" applyAlignment="1">
      <alignment horizontal="center"/>
    </xf>
    <xf numFmtId="0" fontId="16" fillId="5" borderId="194" xfId="7" applyFont="1" applyFill="1" applyBorder="1" applyAlignment="1">
      <alignment horizontal="center"/>
    </xf>
    <xf numFmtId="0" fontId="16" fillId="5" borderId="195" xfId="7" applyFont="1" applyFill="1" applyBorder="1" applyAlignment="1">
      <alignment horizontal="center"/>
    </xf>
    <xf numFmtId="0" fontId="16" fillId="5" borderId="114" xfId="7" applyFont="1" applyFill="1" applyBorder="1" applyAlignment="1">
      <alignment horizontal="center"/>
    </xf>
    <xf numFmtId="0" fontId="16" fillId="5" borderId="143" xfId="7" applyFont="1" applyFill="1" applyBorder="1" applyAlignment="1">
      <alignment horizontal="center"/>
    </xf>
    <xf numFmtId="0" fontId="16" fillId="5" borderId="115" xfId="7" applyFont="1" applyFill="1" applyBorder="1" applyAlignment="1">
      <alignment horizontal="center"/>
    </xf>
    <xf numFmtId="0" fontId="115" fillId="5" borderId="114" xfId="7" applyFont="1" applyFill="1" applyBorder="1" applyAlignment="1">
      <alignment horizontal="center" wrapText="1"/>
    </xf>
    <xf numFmtId="0" fontId="115" fillId="5" borderId="115" xfId="7" applyFont="1" applyFill="1" applyBorder="1" applyAlignment="1">
      <alignment horizontal="center" wrapText="1"/>
    </xf>
    <xf numFmtId="0" fontId="112" fillId="5" borderId="116" xfId="8" applyFont="1" applyFill="1" applyBorder="1" applyAlignment="1">
      <alignment horizontal="center"/>
    </xf>
    <xf numFmtId="0" fontId="112" fillId="5" borderId="144" xfId="8" applyFont="1" applyFill="1" applyBorder="1" applyAlignment="1">
      <alignment horizontal="center"/>
    </xf>
    <xf numFmtId="0" fontId="8" fillId="0" borderId="10" xfId="0" applyFont="1" applyBorder="1" applyAlignment="1">
      <alignment horizontal="center"/>
    </xf>
    <xf numFmtId="0" fontId="8" fillId="0" borderId="12" xfId="0" applyFont="1" applyBorder="1" applyAlignment="1">
      <alignment horizontal="left"/>
    </xf>
    <xf numFmtId="0" fontId="8" fillId="0" borderId="10" xfId="0" applyFont="1" applyBorder="1" applyAlignment="1">
      <alignment horizontal="left"/>
    </xf>
    <xf numFmtId="0" fontId="8" fillId="0" borderId="19" xfId="0" applyFont="1" applyBorder="1" applyAlignment="1">
      <alignment horizontal="left"/>
    </xf>
    <xf numFmtId="0" fontId="22" fillId="0" borderId="4" xfId="0" applyFont="1" applyBorder="1" applyAlignment="1">
      <alignment horizontal="center" wrapText="1"/>
    </xf>
    <xf numFmtId="0" fontId="22" fillId="0" borderId="0" xfId="0" applyFont="1" applyAlignment="1">
      <alignment horizontal="center" wrapText="1"/>
    </xf>
    <xf numFmtId="0" fontId="143" fillId="0" borderId="0" xfId="0" applyFont="1" applyAlignment="1">
      <alignment horizontal="center"/>
    </xf>
    <xf numFmtId="0" fontId="8" fillId="0" borderId="10" xfId="0" applyFont="1" applyBorder="1" applyAlignment="1">
      <alignment horizontal="center" wrapText="1"/>
    </xf>
    <xf numFmtId="0" fontId="8" fillId="0" borderId="7" xfId="0" applyFont="1" applyBorder="1" applyAlignment="1">
      <alignment horizontal="center" shrinkToFit="1"/>
    </xf>
    <xf numFmtId="0" fontId="0" fillId="0" borderId="112" xfId="0" applyBorder="1" applyAlignment="1">
      <alignment horizontal="center" shrinkToFit="1"/>
    </xf>
    <xf numFmtId="0" fontId="0" fillId="0" borderId="8" xfId="0" applyBorder="1" applyAlignment="1">
      <alignment horizontal="center" shrinkToFit="1"/>
    </xf>
    <xf numFmtId="0" fontId="0" fillId="0" borderId="31" xfId="0" applyBorder="1" applyAlignment="1">
      <alignment horizontal="center" shrinkToFit="1"/>
    </xf>
    <xf numFmtId="0" fontId="0" fillId="0" borderId="52" xfId="0" applyBorder="1" applyAlignment="1">
      <alignment horizontal="center" shrinkToFit="1"/>
    </xf>
    <xf numFmtId="0" fontId="0" fillId="0" borderId="51" xfId="0" applyBorder="1" applyAlignment="1">
      <alignment horizontal="center" shrinkToFit="1"/>
    </xf>
    <xf numFmtId="0" fontId="0" fillId="0" borderId="47" xfId="0" applyBorder="1" applyAlignment="1">
      <alignment horizontal="center" shrinkToFit="1"/>
    </xf>
    <xf numFmtId="0" fontId="0" fillId="0" borderId="152" xfId="0" applyBorder="1" applyAlignment="1">
      <alignment horizontal="center" shrinkToFit="1"/>
    </xf>
    <xf numFmtId="0" fontId="0" fillId="0" borderId="56" xfId="0" applyBorder="1" applyAlignment="1">
      <alignment horizontal="center" shrinkToFit="1"/>
    </xf>
    <xf numFmtId="0" fontId="0" fillId="0" borderId="57" xfId="0" applyBorder="1" applyAlignment="1">
      <alignment horizontal="center" shrinkToFit="1"/>
    </xf>
  </cellXfs>
  <cellStyles count="11">
    <cellStyle name="Comma [0]_VERT" xfId="1" xr:uid="{C0A421BB-0024-4B62-A17A-3A19306D6E77}"/>
    <cellStyle name="Comma_CopyofMASTERKERECOAFETemplate" xfId="2" xr:uid="{08654026-32D7-4292-B5B6-3B5B6233BCB2}"/>
    <cellStyle name="Currency" xfId="3" builtinId="4"/>
    <cellStyle name="Hyperlink" xfId="4" builtinId="8"/>
    <cellStyle name="Normal" xfId="0" builtinId="0"/>
    <cellStyle name="Normal_12-22 Diagram" xfId="5" xr:uid="{19F61E91-97A9-48B2-9CB3-091572F82E14}"/>
    <cellStyle name="Normal_A" xfId="6" xr:uid="{1A0BFA84-9219-42CC-A859-3524E3453E65}"/>
    <cellStyle name="Normal_Choke_Flow" xfId="7" xr:uid="{28B02F40-861E-4F23-9032-E985FB447147}"/>
    <cellStyle name="Normal_FLOW" xfId="8" xr:uid="{DE94D2BC-579C-4181-AC3F-F8A53E4CADD5}"/>
    <cellStyle name="Normal_VERT" xfId="9" xr:uid="{C51EA01B-DB06-4EA2-8B25-2A79E8BF34BE}"/>
    <cellStyle name="Percent" xfId="10"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microsoft.com/office/2022/11/relationships/FeaturePropertyBag" Target="featurePropertyBag/featurePropertyBag.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424242"/>
                </a:solidFill>
                <a:latin typeface="Arial"/>
                <a:ea typeface="Arial"/>
                <a:cs typeface="Arial"/>
              </a:defRPr>
            </a:pPr>
            <a:r>
              <a:rPr lang="en-US"/>
              <a:t>Flow Rate Vs Pressure</a:t>
            </a:r>
          </a:p>
        </c:rich>
      </c:tx>
      <c:layout>
        <c:manualLayout>
          <c:xMode val="edge"/>
          <c:yMode val="edge"/>
          <c:x val="0.35873058700351051"/>
          <c:y val="3.1830371899368604E-2"/>
        </c:manualLayout>
      </c:layout>
      <c:overlay val="0"/>
      <c:spPr>
        <a:noFill/>
        <a:ln w="25400">
          <a:noFill/>
        </a:ln>
      </c:spPr>
    </c:title>
    <c:autoTitleDeleted val="0"/>
    <c:plotArea>
      <c:layout>
        <c:manualLayout>
          <c:layoutTarget val="inner"/>
          <c:xMode val="edge"/>
          <c:yMode val="edge"/>
          <c:x val="0.1095239792968429"/>
          <c:y val="0.1856763925729443"/>
          <c:w val="0.62063588268210979"/>
          <c:h val="0.59151193633952259"/>
        </c:manualLayout>
      </c:layout>
      <c:lineChart>
        <c:grouping val="stacked"/>
        <c:varyColors val="0"/>
        <c:ser>
          <c:idx val="0"/>
          <c:order val="0"/>
          <c:tx>
            <c:strRef>
              <c:f>Choke_Flow!$R$10</c:f>
              <c:strCache>
                <c:ptCount val="1"/>
                <c:pt idx="0">
                  <c:v>Tubing</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Choke_Flow!$Q$11:$Q$31</c:f>
              <c:strCache>
                <c:ptCount val="21"/>
                <c:pt idx="0">
                  <c:v>Time</c:v>
                </c:pt>
                <c:pt idx="1">
                  <c:v> </c:v>
                </c:pt>
                <c:pt idx="2">
                  <c:v>0:00</c:v>
                </c:pt>
                <c:pt idx="3">
                  <c:v>0:00</c:v>
                </c:pt>
                <c:pt idx="4">
                  <c:v>0:00</c:v>
                </c:pt>
                <c:pt idx="5">
                  <c:v>0:00</c:v>
                </c:pt>
                <c:pt idx="6">
                  <c:v>0:00</c:v>
                </c:pt>
                <c:pt idx="7">
                  <c:v>0:00</c:v>
                </c:pt>
                <c:pt idx="8">
                  <c:v>0:00</c:v>
                </c:pt>
                <c:pt idx="9">
                  <c:v>0:00</c:v>
                </c:pt>
                <c:pt idx="10">
                  <c:v>0:00</c:v>
                </c:pt>
                <c:pt idx="11">
                  <c:v>0:00</c:v>
                </c:pt>
                <c:pt idx="12">
                  <c:v>0:00</c:v>
                </c:pt>
                <c:pt idx="13">
                  <c:v>0:00</c:v>
                </c:pt>
                <c:pt idx="14">
                  <c:v>0:00</c:v>
                </c:pt>
                <c:pt idx="15">
                  <c:v>0:00</c:v>
                </c:pt>
                <c:pt idx="16">
                  <c:v>0:00</c:v>
                </c:pt>
                <c:pt idx="17">
                  <c:v>0:00</c:v>
                </c:pt>
                <c:pt idx="18">
                  <c:v>0:00</c:v>
                </c:pt>
                <c:pt idx="19">
                  <c:v>0:00</c:v>
                </c:pt>
                <c:pt idx="20">
                  <c:v>0:00</c:v>
                </c:pt>
              </c:strCache>
            </c:strRef>
          </c:cat>
          <c:val>
            <c:numRef>
              <c:f>Choke_Flow!$R$11:$R$31</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48DA-443C-A488-F31A67A1F485}"/>
            </c:ext>
          </c:extLst>
        </c:ser>
        <c:dLbls>
          <c:showLegendKey val="0"/>
          <c:showVal val="0"/>
          <c:showCatName val="0"/>
          <c:showSerName val="0"/>
          <c:showPercent val="0"/>
          <c:showBubbleSize val="0"/>
        </c:dLbls>
        <c:marker val="1"/>
        <c:smooth val="0"/>
        <c:axId val="1973441583"/>
        <c:axId val="1"/>
      </c:lineChart>
      <c:lineChart>
        <c:grouping val="standard"/>
        <c:varyColors val="0"/>
        <c:ser>
          <c:idx val="1"/>
          <c:order val="1"/>
          <c:tx>
            <c:strRef>
              <c:f>Choke_Flow!$S$10</c:f>
              <c:strCache>
                <c:ptCount val="1"/>
                <c:pt idx="0">
                  <c:v>Flow Rate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975" b="0" i="0" u="none" strike="noStrike" baseline="0">
                    <a:solidFill>
                      <a:srgbClr val="424242"/>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Choke_Flow!$Q$11:$Q$31</c:f>
              <c:strCache>
                <c:ptCount val="21"/>
                <c:pt idx="0">
                  <c:v>Time</c:v>
                </c:pt>
                <c:pt idx="1">
                  <c:v> </c:v>
                </c:pt>
                <c:pt idx="2">
                  <c:v>0:00</c:v>
                </c:pt>
                <c:pt idx="3">
                  <c:v>0:00</c:v>
                </c:pt>
                <c:pt idx="4">
                  <c:v>0:00</c:v>
                </c:pt>
                <c:pt idx="5">
                  <c:v>0:00</c:v>
                </c:pt>
                <c:pt idx="6">
                  <c:v>0:00</c:v>
                </c:pt>
                <c:pt idx="7">
                  <c:v>0:00</c:v>
                </c:pt>
                <c:pt idx="8">
                  <c:v>0:00</c:v>
                </c:pt>
                <c:pt idx="9">
                  <c:v>0:00</c:v>
                </c:pt>
                <c:pt idx="10">
                  <c:v>0:00</c:v>
                </c:pt>
                <c:pt idx="11">
                  <c:v>0:00</c:v>
                </c:pt>
                <c:pt idx="12">
                  <c:v>0:00</c:v>
                </c:pt>
                <c:pt idx="13">
                  <c:v>0:00</c:v>
                </c:pt>
                <c:pt idx="14">
                  <c:v>0:00</c:v>
                </c:pt>
                <c:pt idx="15">
                  <c:v>0:00</c:v>
                </c:pt>
                <c:pt idx="16">
                  <c:v>0:00</c:v>
                </c:pt>
                <c:pt idx="17">
                  <c:v>0:00</c:v>
                </c:pt>
                <c:pt idx="18">
                  <c:v>0:00</c:v>
                </c:pt>
                <c:pt idx="19">
                  <c:v>0:00</c:v>
                </c:pt>
                <c:pt idx="20">
                  <c:v>0:00</c:v>
                </c:pt>
              </c:strCache>
            </c:strRef>
          </c:cat>
          <c:val>
            <c:numRef>
              <c:f>Choke_Flow!$S$11:$S$31</c:f>
              <c:numCache>
                <c:formatCode>0.00_)</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48DA-443C-A488-F31A67A1F485}"/>
            </c:ext>
          </c:extLst>
        </c:ser>
        <c:dLbls>
          <c:showLegendKey val="0"/>
          <c:showVal val="0"/>
          <c:showCatName val="0"/>
          <c:showSerName val="0"/>
          <c:showPercent val="0"/>
          <c:showBubbleSize val="0"/>
        </c:dLbls>
        <c:marker val="1"/>
        <c:smooth val="0"/>
        <c:axId val="3"/>
        <c:axId val="4"/>
      </c:lineChart>
      <c:catAx>
        <c:axId val="1973441583"/>
        <c:scaling>
          <c:orientation val="minMax"/>
        </c:scaling>
        <c:delete val="0"/>
        <c:axPos val="b"/>
        <c:title>
          <c:tx>
            <c:rich>
              <a:bodyPr/>
              <a:lstStyle/>
              <a:p>
                <a:pPr>
                  <a:defRPr sz="975" b="1" i="0" u="none" strike="noStrike" baseline="0">
                    <a:solidFill>
                      <a:srgbClr val="424242"/>
                    </a:solidFill>
                    <a:latin typeface="Arial"/>
                    <a:ea typeface="Arial"/>
                    <a:cs typeface="Arial"/>
                  </a:defRPr>
                </a:pPr>
                <a:r>
                  <a:rPr lang="en-US"/>
                  <a:t>Time</a:t>
                </a:r>
              </a:p>
            </c:rich>
          </c:tx>
          <c:layout>
            <c:manualLayout>
              <c:xMode val="edge"/>
              <c:yMode val="edge"/>
              <c:x val="0.39047691824139669"/>
              <c:y val="0.89920413893347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424242"/>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424242"/>
                    </a:solidFill>
                    <a:latin typeface="Arial"/>
                    <a:ea typeface="Arial"/>
                    <a:cs typeface="Arial"/>
                  </a:defRPr>
                </a:pPr>
                <a:r>
                  <a:rPr lang="en-US"/>
                  <a:t>Pressure kPa</a:t>
                </a:r>
              </a:p>
            </c:rich>
          </c:tx>
          <c:layout>
            <c:manualLayout>
              <c:xMode val="edge"/>
              <c:yMode val="edge"/>
              <c:x val="2.5396781970506509E-2"/>
              <c:y val="0.366047784230085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424242"/>
                </a:solidFill>
                <a:latin typeface="Arial"/>
                <a:ea typeface="Arial"/>
                <a:cs typeface="Arial"/>
              </a:defRPr>
            </a:pPr>
            <a:endParaRPr lang="en-US"/>
          </a:p>
        </c:txPr>
        <c:crossAx val="1973441583"/>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975" b="1" i="0" u="none" strike="noStrike" baseline="0">
                    <a:solidFill>
                      <a:srgbClr val="424242"/>
                    </a:solidFill>
                    <a:latin typeface="Arial"/>
                    <a:ea typeface="Arial"/>
                    <a:cs typeface="Arial"/>
                  </a:defRPr>
                </a:pPr>
                <a:r>
                  <a:rPr lang="en-US"/>
                  <a:t>Flow Rate (metric)</a:t>
                </a:r>
              </a:p>
            </c:rich>
          </c:tx>
          <c:layout>
            <c:manualLayout>
              <c:xMode val="edge"/>
              <c:yMode val="edge"/>
              <c:x val="0.77777898323249184"/>
              <c:y val="0.32095487044936327"/>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975" b="0" i="0" u="none" strike="noStrike" baseline="0">
                <a:solidFill>
                  <a:srgbClr val="424242"/>
                </a:solidFill>
                <a:latin typeface="Arial"/>
                <a:ea typeface="Arial"/>
                <a:cs typeface="Arial"/>
              </a:defRPr>
            </a:pPr>
            <a:endParaRPr lang="en-US"/>
          </a:p>
        </c:txPr>
        <c:crossAx val="3"/>
        <c:crosses val="max"/>
        <c:crossBetween val="between"/>
      </c:valAx>
      <c:spPr>
        <a:solidFill>
          <a:srgbClr val="C0C0C0"/>
        </a:solidFill>
        <a:ln w="12700">
          <a:solidFill>
            <a:srgbClr val="808080"/>
          </a:solidFill>
          <a:prstDash val="solid"/>
        </a:ln>
      </c:spPr>
    </c:plotArea>
    <c:legend>
      <c:legendPos val="r"/>
      <c:layout>
        <c:manualLayout>
          <c:xMode val="edge"/>
          <c:yMode val="edge"/>
          <c:x val="0.83713625469518071"/>
          <c:y val="0.44849455087828044"/>
          <c:w val="0.14579340592162338"/>
          <c:h val="0.11119692880020543"/>
        </c:manualLayout>
      </c:layout>
      <c:overlay val="0"/>
      <c:spPr>
        <a:solidFill>
          <a:srgbClr val="FFFFFF"/>
        </a:solidFill>
        <a:ln w="3175">
          <a:solidFill>
            <a:srgbClr val="000000"/>
          </a:solidFill>
          <a:prstDash val="solid"/>
        </a:ln>
      </c:spPr>
      <c:txPr>
        <a:bodyPr/>
        <a:lstStyle/>
        <a:p>
          <a:pPr>
            <a:defRPr sz="820" b="0" i="0" u="none" strike="noStrike" baseline="0">
              <a:solidFill>
                <a:srgbClr val="424242"/>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424242"/>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424242"/>
                </a:solidFill>
                <a:latin typeface="Arial"/>
                <a:ea typeface="Arial"/>
                <a:cs typeface="Arial"/>
              </a:defRPr>
            </a:pPr>
            <a:r>
              <a:rPr lang="en-US"/>
              <a:t>Flow Rate Vs. Pressure</a:t>
            </a:r>
          </a:p>
        </c:rich>
      </c:tx>
      <c:layout>
        <c:manualLayout>
          <c:xMode val="edge"/>
          <c:yMode val="edge"/>
          <c:x val="0.35555604821965608"/>
          <c:y val="3.1830168797873329E-2"/>
        </c:manualLayout>
      </c:layout>
      <c:overlay val="0"/>
      <c:spPr>
        <a:noFill/>
        <a:ln w="25400">
          <a:noFill/>
        </a:ln>
      </c:spPr>
    </c:title>
    <c:autoTitleDeleted val="0"/>
    <c:plotArea>
      <c:layout>
        <c:manualLayout>
          <c:layoutTarget val="inner"/>
          <c:xMode val="edge"/>
          <c:yMode val="edge"/>
          <c:x val="0.1095239792968429"/>
          <c:y val="0.1856763925729443"/>
          <c:w val="0.62063588268210979"/>
          <c:h val="0.59151193633952259"/>
        </c:manualLayout>
      </c:layout>
      <c:lineChart>
        <c:grouping val="stacked"/>
        <c:varyColors val="0"/>
        <c:ser>
          <c:idx val="0"/>
          <c:order val="0"/>
          <c:tx>
            <c:strRef>
              <c:f>Choke_Flow!$R$46</c:f>
              <c:strCache>
                <c:ptCount val="1"/>
                <c:pt idx="0">
                  <c:v>Tubing</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Choke_Flow!$Q$47:$Q$67</c:f>
              <c:strCache>
                <c:ptCount val="21"/>
                <c:pt idx="0">
                  <c:v>Time</c:v>
                </c:pt>
                <c:pt idx="1">
                  <c:v> </c:v>
                </c:pt>
                <c:pt idx="2">
                  <c:v>0:00</c:v>
                </c:pt>
                <c:pt idx="3">
                  <c:v>0:00</c:v>
                </c:pt>
                <c:pt idx="4">
                  <c:v>0:00</c:v>
                </c:pt>
                <c:pt idx="5">
                  <c:v>0:00</c:v>
                </c:pt>
                <c:pt idx="6">
                  <c:v>0:00</c:v>
                </c:pt>
                <c:pt idx="7">
                  <c:v>0:00</c:v>
                </c:pt>
                <c:pt idx="8">
                  <c:v>0:00</c:v>
                </c:pt>
                <c:pt idx="9">
                  <c:v>0:00</c:v>
                </c:pt>
                <c:pt idx="10">
                  <c:v>0:00</c:v>
                </c:pt>
                <c:pt idx="11">
                  <c:v>0:00</c:v>
                </c:pt>
                <c:pt idx="12">
                  <c:v>0:00</c:v>
                </c:pt>
                <c:pt idx="13">
                  <c:v>0:00</c:v>
                </c:pt>
                <c:pt idx="14">
                  <c:v>0:00</c:v>
                </c:pt>
                <c:pt idx="15">
                  <c:v>0:00</c:v>
                </c:pt>
                <c:pt idx="16">
                  <c:v>0:00</c:v>
                </c:pt>
                <c:pt idx="17">
                  <c:v>0:00</c:v>
                </c:pt>
                <c:pt idx="18">
                  <c:v>0:00</c:v>
                </c:pt>
                <c:pt idx="19">
                  <c:v>0:00</c:v>
                </c:pt>
                <c:pt idx="20">
                  <c:v>0:00</c:v>
                </c:pt>
              </c:strCache>
            </c:strRef>
          </c:cat>
          <c:val>
            <c:numRef>
              <c:f>Choke_Flow!$R$47:$R$67</c:f>
              <c:numCache>
                <c:formatCode>#,##0</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B23D-4B31-B7FB-930A63756BAD}"/>
            </c:ext>
          </c:extLst>
        </c:ser>
        <c:dLbls>
          <c:showLegendKey val="0"/>
          <c:showVal val="0"/>
          <c:showCatName val="0"/>
          <c:showSerName val="0"/>
          <c:showPercent val="0"/>
          <c:showBubbleSize val="0"/>
        </c:dLbls>
        <c:marker val="1"/>
        <c:smooth val="0"/>
        <c:axId val="1973445423"/>
        <c:axId val="1"/>
      </c:lineChart>
      <c:lineChart>
        <c:grouping val="standard"/>
        <c:varyColors val="0"/>
        <c:ser>
          <c:idx val="1"/>
          <c:order val="1"/>
          <c:tx>
            <c:strRef>
              <c:f>Choke_Flow!$S$46</c:f>
              <c:strCache>
                <c:ptCount val="1"/>
                <c:pt idx="0">
                  <c:v>Flow Rate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Choke_Flow!$Q$47:$Q$67</c:f>
              <c:strCache>
                <c:ptCount val="21"/>
                <c:pt idx="0">
                  <c:v>Time</c:v>
                </c:pt>
                <c:pt idx="1">
                  <c:v> </c:v>
                </c:pt>
                <c:pt idx="2">
                  <c:v>0:00</c:v>
                </c:pt>
                <c:pt idx="3">
                  <c:v>0:00</c:v>
                </c:pt>
                <c:pt idx="4">
                  <c:v>0:00</c:v>
                </c:pt>
                <c:pt idx="5">
                  <c:v>0:00</c:v>
                </c:pt>
                <c:pt idx="6">
                  <c:v>0:00</c:v>
                </c:pt>
                <c:pt idx="7">
                  <c:v>0:00</c:v>
                </c:pt>
                <c:pt idx="8">
                  <c:v>0:00</c:v>
                </c:pt>
                <c:pt idx="9">
                  <c:v>0:00</c:v>
                </c:pt>
                <c:pt idx="10">
                  <c:v>0:00</c:v>
                </c:pt>
                <c:pt idx="11">
                  <c:v>0:00</c:v>
                </c:pt>
                <c:pt idx="12">
                  <c:v>0:00</c:v>
                </c:pt>
                <c:pt idx="13">
                  <c:v>0:00</c:v>
                </c:pt>
                <c:pt idx="14">
                  <c:v>0:00</c:v>
                </c:pt>
                <c:pt idx="15">
                  <c:v>0:00</c:v>
                </c:pt>
                <c:pt idx="16">
                  <c:v>0:00</c:v>
                </c:pt>
                <c:pt idx="17">
                  <c:v>0:00</c:v>
                </c:pt>
                <c:pt idx="18">
                  <c:v>0:00</c:v>
                </c:pt>
                <c:pt idx="19">
                  <c:v>0:00</c:v>
                </c:pt>
                <c:pt idx="20">
                  <c:v>0:00</c:v>
                </c:pt>
              </c:strCache>
            </c:strRef>
          </c:cat>
          <c:val>
            <c:numRef>
              <c:f>Choke_Flow!$S$47:$S$67</c:f>
              <c:numCache>
                <c:formatCode>0.00_)</c:formatCode>
                <c:ptCount val="2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B23D-4B31-B7FB-930A63756BAD}"/>
            </c:ext>
          </c:extLst>
        </c:ser>
        <c:dLbls>
          <c:showLegendKey val="0"/>
          <c:showVal val="0"/>
          <c:showCatName val="0"/>
          <c:showSerName val="0"/>
          <c:showPercent val="0"/>
          <c:showBubbleSize val="0"/>
        </c:dLbls>
        <c:marker val="1"/>
        <c:smooth val="0"/>
        <c:axId val="3"/>
        <c:axId val="4"/>
      </c:lineChart>
      <c:catAx>
        <c:axId val="1973445423"/>
        <c:scaling>
          <c:orientation val="minMax"/>
        </c:scaling>
        <c:delete val="0"/>
        <c:axPos val="b"/>
        <c:title>
          <c:tx>
            <c:rich>
              <a:bodyPr/>
              <a:lstStyle/>
              <a:p>
                <a:pPr>
                  <a:defRPr sz="975" b="1" i="0" u="none" strike="noStrike" baseline="0">
                    <a:solidFill>
                      <a:srgbClr val="424242"/>
                    </a:solidFill>
                    <a:latin typeface="Arial"/>
                    <a:ea typeface="Arial"/>
                    <a:cs typeface="Arial"/>
                  </a:defRPr>
                </a:pPr>
                <a:r>
                  <a:rPr lang="en-US"/>
                  <a:t>Time</a:t>
                </a:r>
              </a:p>
            </c:rich>
          </c:tx>
          <c:layout>
            <c:manualLayout>
              <c:xMode val="edge"/>
              <c:yMode val="edge"/>
              <c:x val="0.39047691824139669"/>
              <c:y val="0.899204238985413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424242"/>
                </a:solidFill>
                <a:latin typeface="Arial"/>
                <a:ea typeface="Arial"/>
                <a:cs typeface="Arial"/>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424242"/>
                    </a:solidFill>
                    <a:latin typeface="Arial"/>
                    <a:ea typeface="Arial"/>
                    <a:cs typeface="Arial"/>
                  </a:defRPr>
                </a:pPr>
                <a:r>
                  <a:rPr lang="en-US"/>
                  <a:t>Pressure kPa</a:t>
                </a:r>
              </a:p>
            </c:rich>
          </c:tx>
          <c:layout>
            <c:manualLayout>
              <c:xMode val="edge"/>
              <c:yMode val="edge"/>
              <c:x val="2.5396781970506509E-2"/>
              <c:y val="0.366047620639506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424242"/>
                </a:solidFill>
                <a:latin typeface="Arial"/>
                <a:ea typeface="Arial"/>
                <a:cs typeface="Arial"/>
              </a:defRPr>
            </a:pPr>
            <a:endParaRPr lang="en-US"/>
          </a:p>
        </c:txPr>
        <c:crossAx val="1973445423"/>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975" b="1" i="0" u="none" strike="noStrike" baseline="0">
                    <a:solidFill>
                      <a:srgbClr val="424242"/>
                    </a:solidFill>
                    <a:latin typeface="Arial"/>
                    <a:ea typeface="Arial"/>
                    <a:cs typeface="Arial"/>
                  </a:defRPr>
                </a:pPr>
                <a:r>
                  <a:rPr lang="en-US"/>
                  <a:t>Flow Rate (metric)</a:t>
                </a:r>
              </a:p>
            </c:rich>
          </c:tx>
          <c:layout>
            <c:manualLayout>
              <c:xMode val="edge"/>
              <c:yMode val="edge"/>
              <c:x val="0.77777898323249184"/>
              <c:y val="0.3209548588603867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975" b="0" i="0" u="none" strike="noStrike" baseline="0">
                <a:solidFill>
                  <a:srgbClr val="424242"/>
                </a:solidFill>
                <a:latin typeface="Arial"/>
                <a:ea typeface="Arial"/>
                <a:cs typeface="Arial"/>
              </a:defRPr>
            </a:pPr>
            <a:endParaRPr lang="en-US"/>
          </a:p>
        </c:txPr>
        <c:crossAx val="3"/>
        <c:crosses val="max"/>
        <c:crossBetween val="between"/>
      </c:valAx>
      <c:spPr>
        <a:solidFill>
          <a:srgbClr val="C0C0C0"/>
        </a:solidFill>
        <a:ln w="12700">
          <a:solidFill>
            <a:srgbClr val="808080"/>
          </a:solidFill>
          <a:prstDash val="solid"/>
        </a:ln>
      </c:spPr>
    </c:plotArea>
    <c:legend>
      <c:legendPos val="r"/>
      <c:layout>
        <c:manualLayout>
          <c:xMode val="edge"/>
          <c:yMode val="edge"/>
          <c:x val="0.83713625469518071"/>
          <c:y val="0.44841794969846749"/>
          <c:w val="0.14579340592162338"/>
          <c:h val="0.1113619692061496"/>
        </c:manualLayout>
      </c:layout>
      <c:overlay val="0"/>
      <c:spPr>
        <a:solidFill>
          <a:srgbClr val="FFFFFF"/>
        </a:solidFill>
        <a:ln w="3175">
          <a:solidFill>
            <a:srgbClr val="000000"/>
          </a:solidFill>
          <a:prstDash val="solid"/>
        </a:ln>
      </c:spPr>
      <c:txPr>
        <a:bodyPr/>
        <a:lstStyle/>
        <a:p>
          <a:pPr>
            <a:defRPr sz="820" b="0" i="0" u="none" strike="noStrike" baseline="0">
              <a:solidFill>
                <a:srgbClr val="424242"/>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424242"/>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checked="Checked"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CheckBox" checked="Checked"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2.xml.rels><?xml version="1.0" encoding="UTF-8" standalone="yes"?>
<Relationships xmlns="http://schemas.openxmlformats.org/package/2006/relationships"><Relationship Id="rId2" Type="http://schemas.openxmlformats.org/officeDocument/2006/relationships/image" Target="../media/image144.jpeg"/><Relationship Id="rId1" Type="http://schemas.openxmlformats.org/officeDocument/2006/relationships/image" Target="../media/image147.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48.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9.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50.png"/><Relationship Id="rId1" Type="http://schemas.openxmlformats.org/officeDocument/2006/relationships/image" Target="../media/image9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17" Type="http://schemas.openxmlformats.org/officeDocument/2006/relationships/image" Target="../media/image118.emf"/><Relationship Id="rId21" Type="http://schemas.openxmlformats.org/officeDocument/2006/relationships/image" Target="../media/image22.emf"/><Relationship Id="rId42" Type="http://schemas.openxmlformats.org/officeDocument/2006/relationships/image" Target="../media/image43.emf"/><Relationship Id="rId63" Type="http://schemas.openxmlformats.org/officeDocument/2006/relationships/image" Target="../media/image64.emf"/><Relationship Id="rId84" Type="http://schemas.openxmlformats.org/officeDocument/2006/relationships/image" Target="../media/image85.emf"/><Relationship Id="rId138" Type="http://schemas.openxmlformats.org/officeDocument/2006/relationships/image" Target="../media/image139.jpeg"/><Relationship Id="rId107" Type="http://schemas.openxmlformats.org/officeDocument/2006/relationships/image" Target="../media/image108.emf"/><Relationship Id="rId11" Type="http://schemas.openxmlformats.org/officeDocument/2006/relationships/image" Target="../media/image12.emf"/><Relationship Id="rId32" Type="http://schemas.openxmlformats.org/officeDocument/2006/relationships/image" Target="../media/image33.emf"/><Relationship Id="rId37" Type="http://schemas.openxmlformats.org/officeDocument/2006/relationships/image" Target="../media/image38.emf"/><Relationship Id="rId53" Type="http://schemas.openxmlformats.org/officeDocument/2006/relationships/image" Target="../media/image54.emf"/><Relationship Id="rId58" Type="http://schemas.openxmlformats.org/officeDocument/2006/relationships/image" Target="../media/image59.emf"/><Relationship Id="rId74" Type="http://schemas.openxmlformats.org/officeDocument/2006/relationships/image" Target="../media/image75.emf"/><Relationship Id="rId79" Type="http://schemas.openxmlformats.org/officeDocument/2006/relationships/image" Target="../media/image80.png"/><Relationship Id="rId102" Type="http://schemas.openxmlformats.org/officeDocument/2006/relationships/image" Target="../media/image103.emf"/><Relationship Id="rId123" Type="http://schemas.openxmlformats.org/officeDocument/2006/relationships/image" Target="../media/image124.emf"/><Relationship Id="rId128" Type="http://schemas.openxmlformats.org/officeDocument/2006/relationships/image" Target="../media/image129.emf"/><Relationship Id="rId5" Type="http://schemas.openxmlformats.org/officeDocument/2006/relationships/image" Target="../media/image6.jpeg"/><Relationship Id="rId90" Type="http://schemas.openxmlformats.org/officeDocument/2006/relationships/image" Target="../media/image91.emf"/><Relationship Id="rId95" Type="http://schemas.openxmlformats.org/officeDocument/2006/relationships/image" Target="../media/image96.emf"/><Relationship Id="rId22" Type="http://schemas.openxmlformats.org/officeDocument/2006/relationships/image" Target="../media/image23.emf"/><Relationship Id="rId27" Type="http://schemas.openxmlformats.org/officeDocument/2006/relationships/image" Target="../media/image28.emf"/><Relationship Id="rId43" Type="http://schemas.openxmlformats.org/officeDocument/2006/relationships/image" Target="../media/image44.emf"/><Relationship Id="rId48" Type="http://schemas.openxmlformats.org/officeDocument/2006/relationships/image" Target="../media/image49.emf"/><Relationship Id="rId64" Type="http://schemas.openxmlformats.org/officeDocument/2006/relationships/image" Target="../media/image65.emf"/><Relationship Id="rId69" Type="http://schemas.openxmlformats.org/officeDocument/2006/relationships/image" Target="../media/image70.emf"/><Relationship Id="rId113" Type="http://schemas.openxmlformats.org/officeDocument/2006/relationships/image" Target="../media/image114.emf"/><Relationship Id="rId118" Type="http://schemas.openxmlformats.org/officeDocument/2006/relationships/image" Target="../media/image119.emf"/><Relationship Id="rId134" Type="http://schemas.openxmlformats.org/officeDocument/2006/relationships/image" Target="../media/image135.emf"/><Relationship Id="rId139" Type="http://schemas.openxmlformats.org/officeDocument/2006/relationships/image" Target="../media/image140.png"/><Relationship Id="rId80" Type="http://schemas.openxmlformats.org/officeDocument/2006/relationships/image" Target="../media/image81.png"/><Relationship Id="rId85" Type="http://schemas.openxmlformats.org/officeDocument/2006/relationships/image" Target="../media/image86.emf"/><Relationship Id="rId12" Type="http://schemas.openxmlformats.org/officeDocument/2006/relationships/image" Target="../media/image13.emf"/><Relationship Id="rId17" Type="http://schemas.openxmlformats.org/officeDocument/2006/relationships/image" Target="../media/image18.emf"/><Relationship Id="rId33" Type="http://schemas.openxmlformats.org/officeDocument/2006/relationships/image" Target="../media/image34.emf"/><Relationship Id="rId38" Type="http://schemas.openxmlformats.org/officeDocument/2006/relationships/image" Target="../media/image39.emf"/><Relationship Id="rId59" Type="http://schemas.openxmlformats.org/officeDocument/2006/relationships/image" Target="../media/image60.emf"/><Relationship Id="rId103" Type="http://schemas.openxmlformats.org/officeDocument/2006/relationships/image" Target="../media/image104.emf"/><Relationship Id="rId108" Type="http://schemas.openxmlformats.org/officeDocument/2006/relationships/image" Target="../media/image109.emf"/><Relationship Id="rId124" Type="http://schemas.openxmlformats.org/officeDocument/2006/relationships/image" Target="../media/image125.emf"/><Relationship Id="rId129" Type="http://schemas.openxmlformats.org/officeDocument/2006/relationships/image" Target="../media/image130.emf"/><Relationship Id="rId54" Type="http://schemas.openxmlformats.org/officeDocument/2006/relationships/image" Target="../media/image55.emf"/><Relationship Id="rId70" Type="http://schemas.openxmlformats.org/officeDocument/2006/relationships/image" Target="../media/image71.emf"/><Relationship Id="rId75" Type="http://schemas.openxmlformats.org/officeDocument/2006/relationships/image" Target="../media/image76.emf"/><Relationship Id="rId91" Type="http://schemas.openxmlformats.org/officeDocument/2006/relationships/image" Target="../media/image92.emf"/><Relationship Id="rId96" Type="http://schemas.openxmlformats.org/officeDocument/2006/relationships/image" Target="../media/image97.emf"/><Relationship Id="rId140" Type="http://schemas.openxmlformats.org/officeDocument/2006/relationships/image" Target="../media/image141.png"/><Relationship Id="rId1" Type="http://schemas.openxmlformats.org/officeDocument/2006/relationships/image" Target="../media/image2.png"/><Relationship Id="rId6" Type="http://schemas.openxmlformats.org/officeDocument/2006/relationships/image" Target="../media/image7.png"/><Relationship Id="rId23" Type="http://schemas.openxmlformats.org/officeDocument/2006/relationships/image" Target="../media/image24.emf"/><Relationship Id="rId28" Type="http://schemas.openxmlformats.org/officeDocument/2006/relationships/image" Target="../media/image29.emf"/><Relationship Id="rId49" Type="http://schemas.openxmlformats.org/officeDocument/2006/relationships/image" Target="../media/image50.emf"/><Relationship Id="rId114" Type="http://schemas.openxmlformats.org/officeDocument/2006/relationships/image" Target="../media/image115.emf"/><Relationship Id="rId119" Type="http://schemas.openxmlformats.org/officeDocument/2006/relationships/image" Target="../media/image120.emf"/><Relationship Id="rId44" Type="http://schemas.openxmlformats.org/officeDocument/2006/relationships/image" Target="../media/image45.emf"/><Relationship Id="rId60" Type="http://schemas.openxmlformats.org/officeDocument/2006/relationships/image" Target="../media/image61.emf"/><Relationship Id="rId65" Type="http://schemas.openxmlformats.org/officeDocument/2006/relationships/image" Target="../media/image66.emf"/><Relationship Id="rId81" Type="http://schemas.openxmlformats.org/officeDocument/2006/relationships/image" Target="../media/image82.emf"/><Relationship Id="rId86" Type="http://schemas.openxmlformats.org/officeDocument/2006/relationships/image" Target="../media/image87.emf"/><Relationship Id="rId130" Type="http://schemas.openxmlformats.org/officeDocument/2006/relationships/image" Target="../media/image131.emf"/><Relationship Id="rId135" Type="http://schemas.openxmlformats.org/officeDocument/2006/relationships/image" Target="../media/image136.png"/><Relationship Id="rId13" Type="http://schemas.openxmlformats.org/officeDocument/2006/relationships/image" Target="../media/image14.emf"/><Relationship Id="rId18" Type="http://schemas.openxmlformats.org/officeDocument/2006/relationships/image" Target="../media/image19.emf"/><Relationship Id="rId39" Type="http://schemas.openxmlformats.org/officeDocument/2006/relationships/image" Target="../media/image40.emf"/><Relationship Id="rId109" Type="http://schemas.openxmlformats.org/officeDocument/2006/relationships/image" Target="../media/image110.emf"/><Relationship Id="rId34" Type="http://schemas.openxmlformats.org/officeDocument/2006/relationships/image" Target="../media/image35.emf"/><Relationship Id="rId50" Type="http://schemas.openxmlformats.org/officeDocument/2006/relationships/image" Target="../media/image51.emf"/><Relationship Id="rId55" Type="http://schemas.openxmlformats.org/officeDocument/2006/relationships/image" Target="../media/image56.emf"/><Relationship Id="rId76" Type="http://schemas.openxmlformats.org/officeDocument/2006/relationships/image" Target="../media/image77.emf"/><Relationship Id="rId97" Type="http://schemas.openxmlformats.org/officeDocument/2006/relationships/image" Target="../media/image98.emf"/><Relationship Id="rId104" Type="http://schemas.openxmlformats.org/officeDocument/2006/relationships/image" Target="../media/image105.emf"/><Relationship Id="rId120" Type="http://schemas.openxmlformats.org/officeDocument/2006/relationships/image" Target="../media/image121.emf"/><Relationship Id="rId125" Type="http://schemas.openxmlformats.org/officeDocument/2006/relationships/image" Target="../media/image126.emf"/><Relationship Id="rId141" Type="http://schemas.openxmlformats.org/officeDocument/2006/relationships/image" Target="../media/image142.png"/><Relationship Id="rId7" Type="http://schemas.openxmlformats.org/officeDocument/2006/relationships/image" Target="../media/image8.jpeg"/><Relationship Id="rId71" Type="http://schemas.openxmlformats.org/officeDocument/2006/relationships/image" Target="../media/image72.png"/><Relationship Id="rId92" Type="http://schemas.openxmlformats.org/officeDocument/2006/relationships/image" Target="../media/image93.emf"/><Relationship Id="rId2" Type="http://schemas.openxmlformats.org/officeDocument/2006/relationships/image" Target="../media/image3.jpeg"/><Relationship Id="rId29" Type="http://schemas.openxmlformats.org/officeDocument/2006/relationships/image" Target="../media/image30.emf"/><Relationship Id="rId24" Type="http://schemas.openxmlformats.org/officeDocument/2006/relationships/image" Target="../media/image25.emf"/><Relationship Id="rId40" Type="http://schemas.openxmlformats.org/officeDocument/2006/relationships/image" Target="../media/image41.emf"/><Relationship Id="rId45" Type="http://schemas.openxmlformats.org/officeDocument/2006/relationships/image" Target="../media/image46.emf"/><Relationship Id="rId66" Type="http://schemas.openxmlformats.org/officeDocument/2006/relationships/image" Target="../media/image67.emf"/><Relationship Id="rId87" Type="http://schemas.openxmlformats.org/officeDocument/2006/relationships/image" Target="../media/image88.emf"/><Relationship Id="rId110" Type="http://schemas.openxmlformats.org/officeDocument/2006/relationships/image" Target="../media/image111.emf"/><Relationship Id="rId115" Type="http://schemas.openxmlformats.org/officeDocument/2006/relationships/image" Target="../media/image116.emf"/><Relationship Id="rId131" Type="http://schemas.openxmlformats.org/officeDocument/2006/relationships/image" Target="../media/image132.emf"/><Relationship Id="rId136" Type="http://schemas.openxmlformats.org/officeDocument/2006/relationships/image" Target="../media/image137.jpeg"/><Relationship Id="rId61" Type="http://schemas.openxmlformats.org/officeDocument/2006/relationships/image" Target="../media/image62.emf"/><Relationship Id="rId82" Type="http://schemas.openxmlformats.org/officeDocument/2006/relationships/image" Target="../media/image83.emf"/><Relationship Id="rId19" Type="http://schemas.openxmlformats.org/officeDocument/2006/relationships/image" Target="../media/image20.emf"/><Relationship Id="rId14" Type="http://schemas.openxmlformats.org/officeDocument/2006/relationships/image" Target="../media/image15.emf"/><Relationship Id="rId30" Type="http://schemas.openxmlformats.org/officeDocument/2006/relationships/image" Target="../media/image31.emf"/><Relationship Id="rId35" Type="http://schemas.openxmlformats.org/officeDocument/2006/relationships/image" Target="../media/image36.emf"/><Relationship Id="rId56" Type="http://schemas.openxmlformats.org/officeDocument/2006/relationships/image" Target="../media/image57.emf"/><Relationship Id="rId77" Type="http://schemas.openxmlformats.org/officeDocument/2006/relationships/image" Target="../media/image78.emf"/><Relationship Id="rId100" Type="http://schemas.openxmlformats.org/officeDocument/2006/relationships/image" Target="../media/image101.emf"/><Relationship Id="rId105" Type="http://schemas.openxmlformats.org/officeDocument/2006/relationships/image" Target="../media/image106.emf"/><Relationship Id="rId126" Type="http://schemas.openxmlformats.org/officeDocument/2006/relationships/image" Target="../media/image127.emf"/><Relationship Id="rId8" Type="http://schemas.openxmlformats.org/officeDocument/2006/relationships/image" Target="../media/image9.emf"/><Relationship Id="rId51" Type="http://schemas.openxmlformats.org/officeDocument/2006/relationships/image" Target="../media/image52.emf"/><Relationship Id="rId72" Type="http://schemas.openxmlformats.org/officeDocument/2006/relationships/image" Target="../media/image73.emf"/><Relationship Id="rId93" Type="http://schemas.openxmlformats.org/officeDocument/2006/relationships/image" Target="../media/image94.emf"/><Relationship Id="rId98" Type="http://schemas.openxmlformats.org/officeDocument/2006/relationships/image" Target="../media/image99.emf"/><Relationship Id="rId121" Type="http://schemas.openxmlformats.org/officeDocument/2006/relationships/image" Target="../media/image122.png"/><Relationship Id="rId142" Type="http://schemas.openxmlformats.org/officeDocument/2006/relationships/image" Target="../media/image143.jpeg"/><Relationship Id="rId3" Type="http://schemas.openxmlformats.org/officeDocument/2006/relationships/image" Target="../media/image4.png"/><Relationship Id="rId25" Type="http://schemas.openxmlformats.org/officeDocument/2006/relationships/image" Target="../media/image26.emf"/><Relationship Id="rId46" Type="http://schemas.openxmlformats.org/officeDocument/2006/relationships/image" Target="../media/image47.emf"/><Relationship Id="rId67" Type="http://schemas.openxmlformats.org/officeDocument/2006/relationships/image" Target="../media/image68.emf"/><Relationship Id="rId116" Type="http://schemas.openxmlformats.org/officeDocument/2006/relationships/image" Target="../media/image117.emf"/><Relationship Id="rId137" Type="http://schemas.openxmlformats.org/officeDocument/2006/relationships/image" Target="../media/image138.jpeg"/><Relationship Id="rId20" Type="http://schemas.openxmlformats.org/officeDocument/2006/relationships/image" Target="../media/image21.emf"/><Relationship Id="rId41" Type="http://schemas.openxmlformats.org/officeDocument/2006/relationships/image" Target="../media/image42.emf"/><Relationship Id="rId62" Type="http://schemas.openxmlformats.org/officeDocument/2006/relationships/image" Target="../media/image63.emf"/><Relationship Id="rId83" Type="http://schemas.openxmlformats.org/officeDocument/2006/relationships/image" Target="../media/image84.emf"/><Relationship Id="rId88" Type="http://schemas.openxmlformats.org/officeDocument/2006/relationships/image" Target="../media/image89.emf"/><Relationship Id="rId111" Type="http://schemas.openxmlformats.org/officeDocument/2006/relationships/image" Target="../media/image112.emf"/><Relationship Id="rId132" Type="http://schemas.openxmlformats.org/officeDocument/2006/relationships/image" Target="../media/image133.emf"/><Relationship Id="rId15" Type="http://schemas.openxmlformats.org/officeDocument/2006/relationships/image" Target="../media/image16.emf"/><Relationship Id="rId36" Type="http://schemas.openxmlformats.org/officeDocument/2006/relationships/image" Target="../media/image37.emf"/><Relationship Id="rId57" Type="http://schemas.openxmlformats.org/officeDocument/2006/relationships/image" Target="../media/image58.emf"/><Relationship Id="rId106" Type="http://schemas.openxmlformats.org/officeDocument/2006/relationships/image" Target="../media/image107.emf"/><Relationship Id="rId127" Type="http://schemas.openxmlformats.org/officeDocument/2006/relationships/image" Target="../media/image128.emf"/><Relationship Id="rId10" Type="http://schemas.openxmlformats.org/officeDocument/2006/relationships/image" Target="../media/image11.emf"/><Relationship Id="rId31" Type="http://schemas.openxmlformats.org/officeDocument/2006/relationships/image" Target="../media/image32.emf"/><Relationship Id="rId52" Type="http://schemas.openxmlformats.org/officeDocument/2006/relationships/image" Target="../media/image53.emf"/><Relationship Id="rId73" Type="http://schemas.openxmlformats.org/officeDocument/2006/relationships/image" Target="../media/image74.emf"/><Relationship Id="rId78" Type="http://schemas.openxmlformats.org/officeDocument/2006/relationships/image" Target="../media/image79.png"/><Relationship Id="rId94" Type="http://schemas.openxmlformats.org/officeDocument/2006/relationships/image" Target="../media/image95.emf"/><Relationship Id="rId99" Type="http://schemas.openxmlformats.org/officeDocument/2006/relationships/image" Target="../media/image100.emf"/><Relationship Id="rId101" Type="http://schemas.openxmlformats.org/officeDocument/2006/relationships/image" Target="../media/image102.emf"/><Relationship Id="rId122" Type="http://schemas.openxmlformats.org/officeDocument/2006/relationships/image" Target="../media/image123.emf"/><Relationship Id="rId4" Type="http://schemas.openxmlformats.org/officeDocument/2006/relationships/image" Target="../media/image5.jpeg"/><Relationship Id="rId9" Type="http://schemas.openxmlformats.org/officeDocument/2006/relationships/image" Target="../media/image10.emf"/><Relationship Id="rId26" Type="http://schemas.openxmlformats.org/officeDocument/2006/relationships/image" Target="../media/image27.emf"/><Relationship Id="rId47" Type="http://schemas.openxmlformats.org/officeDocument/2006/relationships/image" Target="../media/image48.emf"/><Relationship Id="rId68" Type="http://schemas.openxmlformats.org/officeDocument/2006/relationships/image" Target="../media/image69.emf"/><Relationship Id="rId89" Type="http://schemas.openxmlformats.org/officeDocument/2006/relationships/image" Target="../media/image90.emf"/><Relationship Id="rId112" Type="http://schemas.openxmlformats.org/officeDocument/2006/relationships/image" Target="../media/image113.emf"/><Relationship Id="rId133" Type="http://schemas.openxmlformats.org/officeDocument/2006/relationships/image" Target="../media/image134.emf"/><Relationship Id="rId16" Type="http://schemas.openxmlformats.org/officeDocument/2006/relationships/image" Target="../media/image1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4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46.jpeg"/><Relationship Id="rId1" Type="http://schemas.openxmlformats.org/officeDocument/2006/relationships/image" Target="../media/image145.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1921329</xdr:colOff>
          <xdr:row>0</xdr:row>
          <xdr:rowOff>0</xdr:rowOff>
        </xdr:from>
        <xdr:to>
          <xdr:col>1</xdr:col>
          <xdr:colOff>525236</xdr:colOff>
          <xdr:row>1</xdr:row>
          <xdr:rowOff>48986</xdr:rowOff>
        </xdr:to>
        <xdr:sp macro="" textlink="">
          <xdr:nvSpPr>
            <xdr:cNvPr id="68609" name="Button 1" hidden="1">
              <a:extLst>
                <a:ext uri="{63B3BB69-23CF-44E3-9099-C40C66FF867C}">
                  <a14:compatExt spid="_x0000_s68609"/>
                </a:ext>
                <a:ext uri="{FF2B5EF4-FFF2-40B4-BE49-F238E27FC236}">
                  <a16:creationId xmlns:a16="http://schemas.microsoft.com/office/drawing/2014/main" id="{00000000-0008-0000-0000-0000010C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424543</xdr:colOff>
          <xdr:row>2</xdr:row>
          <xdr:rowOff>114300</xdr:rowOff>
        </xdr:from>
        <xdr:to>
          <xdr:col>5</xdr:col>
          <xdr:colOff>326571</xdr:colOff>
          <xdr:row>4</xdr:row>
          <xdr:rowOff>0</xdr:rowOff>
        </xdr:to>
        <xdr:sp macro="" textlink="">
          <xdr:nvSpPr>
            <xdr:cNvPr id="70657" name="Button 1" hidden="1">
              <a:extLst>
                <a:ext uri="{63B3BB69-23CF-44E3-9099-C40C66FF867C}">
                  <a14:compatExt spid="_x0000_s70657"/>
                </a:ext>
                <a:ext uri="{FF2B5EF4-FFF2-40B4-BE49-F238E27FC236}">
                  <a16:creationId xmlns:a16="http://schemas.microsoft.com/office/drawing/2014/main" id="{00000000-0008-0000-0900-00000114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xdr:colOff>
          <xdr:row>0</xdr:row>
          <xdr:rowOff>117021</xdr:rowOff>
        </xdr:from>
        <xdr:to>
          <xdr:col>2</xdr:col>
          <xdr:colOff>201386</xdr:colOff>
          <xdr:row>2</xdr:row>
          <xdr:rowOff>0</xdr:rowOff>
        </xdr:to>
        <xdr:sp macro="" textlink="">
          <xdr:nvSpPr>
            <xdr:cNvPr id="57345" name="Button 1" hidden="1">
              <a:extLst>
                <a:ext uri="{63B3BB69-23CF-44E3-9099-C40C66FF867C}">
                  <a14:compatExt spid="_x0000_s57345"/>
                </a:ext>
                <a:ext uri="{FF2B5EF4-FFF2-40B4-BE49-F238E27FC236}">
                  <a16:creationId xmlns:a16="http://schemas.microsoft.com/office/drawing/2014/main" id="{00000000-0008-0000-0A00-000001E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81643</xdr:colOff>
      <xdr:row>1</xdr:row>
      <xdr:rowOff>38100</xdr:rowOff>
    </xdr:from>
    <xdr:to>
      <xdr:col>4</xdr:col>
      <xdr:colOff>413657</xdr:colOff>
      <xdr:row>4</xdr:row>
      <xdr:rowOff>133350</xdr:rowOff>
    </xdr:to>
    <xdr:pic>
      <xdr:nvPicPr>
        <xdr:cNvPr id="54295" name="Picture 16">
          <a:extLst>
            <a:ext uri="{FF2B5EF4-FFF2-40B4-BE49-F238E27FC236}">
              <a16:creationId xmlns:a16="http://schemas.microsoft.com/office/drawing/2014/main" id="{4DB50B77-8317-76AF-B0AB-E5BBA0D23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3" y="201386"/>
          <a:ext cx="2158093" cy="83547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666750</xdr:colOff>
      <xdr:row>56</xdr:row>
      <xdr:rowOff>68036</xdr:rowOff>
    </xdr:from>
    <xdr:to>
      <xdr:col>11</xdr:col>
      <xdr:colOff>465364</xdr:colOff>
      <xdr:row>58</xdr:row>
      <xdr:rowOff>114300</xdr:rowOff>
    </xdr:to>
    <xdr:pic>
      <xdr:nvPicPr>
        <xdr:cNvPr id="54296" name="Picture 16" descr="signature">
          <a:extLst>
            <a:ext uri="{FF2B5EF4-FFF2-40B4-BE49-F238E27FC236}">
              <a16:creationId xmlns:a16="http://schemas.microsoft.com/office/drawing/2014/main" id="{244AE2DE-8BC4-2EC1-C636-35E41AECD60D}"/>
            </a:ext>
          </a:extLst>
        </xdr:cNvPr>
        <xdr:cNvPicPr>
          <a:picLocks noChangeAspect="1" noChangeArrowheads="1"/>
        </xdr:cNvPicPr>
      </xdr:nvPicPr>
      <xdr:blipFill>
        <a:blip xmlns:r="http://schemas.openxmlformats.org/officeDocument/2006/relationships" r:embed="rId2">
          <a:lum bright="-18000" contrast="60000"/>
          <a:extLst>
            <a:ext uri="{28A0092B-C50C-407E-A947-70E740481C1C}">
              <a14:useLocalDpi xmlns:a14="http://schemas.microsoft.com/office/drawing/2010/main" val="0"/>
            </a:ext>
          </a:extLst>
        </a:blip>
        <a:srcRect/>
        <a:stretch>
          <a:fillRect/>
        </a:stretch>
      </xdr:blipFill>
      <xdr:spPr bwMode="auto">
        <a:xfrm>
          <a:off x="5543550" y="9827079"/>
          <a:ext cx="2051957" cy="372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xdr:colOff>
          <xdr:row>15</xdr:row>
          <xdr:rowOff>10886</xdr:rowOff>
        </xdr:from>
        <xdr:to>
          <xdr:col>3</xdr:col>
          <xdr:colOff>332014</xdr:colOff>
          <xdr:row>16</xdr:row>
          <xdr:rowOff>29936</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B00-000002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29936</xdr:colOff>
          <xdr:row>17</xdr:row>
          <xdr:rowOff>10886</xdr:rowOff>
        </xdr:from>
        <xdr:to>
          <xdr:col>3</xdr:col>
          <xdr:colOff>342900</xdr:colOff>
          <xdr:row>18</xdr:row>
          <xdr:rowOff>29936</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0B00-000003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353786</xdr:colOff>
          <xdr:row>30</xdr:row>
          <xdr:rowOff>0</xdr:rowOff>
        </xdr:from>
        <xdr:to>
          <xdr:col>4</xdr:col>
          <xdr:colOff>666750</xdr:colOff>
          <xdr:row>31</xdr:row>
          <xdr:rowOff>48986</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0B00-000004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231321</xdr:colOff>
          <xdr:row>29</xdr:row>
          <xdr:rowOff>152400</xdr:rowOff>
        </xdr:from>
        <xdr:to>
          <xdr:col>5</xdr:col>
          <xdr:colOff>544286</xdr:colOff>
          <xdr:row>31</xdr:row>
          <xdr:rowOff>38100</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B00-000005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59871</xdr:colOff>
          <xdr:row>34</xdr:row>
          <xdr:rowOff>0</xdr:rowOff>
        </xdr:from>
        <xdr:to>
          <xdr:col>4</xdr:col>
          <xdr:colOff>372836</xdr:colOff>
          <xdr:row>35</xdr:row>
          <xdr:rowOff>48986</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0B00-000006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92529</xdr:colOff>
          <xdr:row>33</xdr:row>
          <xdr:rowOff>144236</xdr:rowOff>
        </xdr:from>
        <xdr:to>
          <xdr:col>5</xdr:col>
          <xdr:colOff>405493</xdr:colOff>
          <xdr:row>35</xdr:row>
          <xdr:rowOff>29936</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B00-000007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383721</xdr:colOff>
          <xdr:row>33</xdr:row>
          <xdr:rowOff>152400</xdr:rowOff>
        </xdr:from>
        <xdr:to>
          <xdr:col>7</xdr:col>
          <xdr:colOff>696686</xdr:colOff>
          <xdr:row>35</xdr:row>
          <xdr:rowOff>38100</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0B00-000008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223157</xdr:colOff>
          <xdr:row>33</xdr:row>
          <xdr:rowOff>152400</xdr:rowOff>
        </xdr:from>
        <xdr:to>
          <xdr:col>9</xdr:col>
          <xdr:colOff>536121</xdr:colOff>
          <xdr:row>35</xdr:row>
          <xdr:rowOff>38100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0B00-000009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375557</xdr:colOff>
          <xdr:row>33</xdr:row>
          <xdr:rowOff>152400</xdr:rowOff>
        </xdr:from>
        <xdr:to>
          <xdr:col>12</xdr:col>
          <xdr:colOff>40821</xdr:colOff>
          <xdr:row>35</xdr:row>
          <xdr:rowOff>38100</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0B00-00000A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312964</xdr:colOff>
          <xdr:row>33</xdr:row>
          <xdr:rowOff>152400</xdr:rowOff>
        </xdr:from>
        <xdr:to>
          <xdr:col>12</xdr:col>
          <xdr:colOff>628650</xdr:colOff>
          <xdr:row>35</xdr:row>
          <xdr:rowOff>38100</xdr:rowOff>
        </xdr:to>
        <xdr:sp macro="" textlink="">
          <xdr:nvSpPr>
            <xdr:cNvPr id="54283" name="Check Box 11" hidden="1">
              <a:extLst>
                <a:ext uri="{63B3BB69-23CF-44E3-9099-C40C66FF867C}">
                  <a14:compatExt spid="_x0000_s54283"/>
                </a:ext>
                <a:ext uri="{FF2B5EF4-FFF2-40B4-BE49-F238E27FC236}">
                  <a16:creationId xmlns:a16="http://schemas.microsoft.com/office/drawing/2014/main" id="{00000000-0008-0000-0B00-00000B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283029</xdr:colOff>
          <xdr:row>42</xdr:row>
          <xdr:rowOff>152400</xdr:rowOff>
        </xdr:from>
        <xdr:to>
          <xdr:col>11</xdr:col>
          <xdr:colOff>595993</xdr:colOff>
          <xdr:row>44</xdr:row>
          <xdr:rowOff>38100</xdr:rowOff>
        </xdr:to>
        <xdr:sp macro="" textlink="">
          <xdr:nvSpPr>
            <xdr:cNvPr id="54284" name="Check Box 12" hidden="1">
              <a:extLst>
                <a:ext uri="{63B3BB69-23CF-44E3-9099-C40C66FF867C}">
                  <a14:compatExt spid="_x0000_s54284"/>
                </a:ext>
                <a:ext uri="{FF2B5EF4-FFF2-40B4-BE49-F238E27FC236}">
                  <a16:creationId xmlns:a16="http://schemas.microsoft.com/office/drawing/2014/main" id="{00000000-0008-0000-0B00-00000C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242207</xdr:colOff>
          <xdr:row>42</xdr:row>
          <xdr:rowOff>144236</xdr:rowOff>
        </xdr:from>
        <xdr:to>
          <xdr:col>12</xdr:col>
          <xdr:colOff>557893</xdr:colOff>
          <xdr:row>44</xdr:row>
          <xdr:rowOff>29936</xdr:rowOff>
        </xdr:to>
        <xdr:sp macro="" textlink="">
          <xdr:nvSpPr>
            <xdr:cNvPr id="54285" name="Check Box 13" hidden="1">
              <a:extLst>
                <a:ext uri="{63B3BB69-23CF-44E3-9099-C40C66FF867C}">
                  <a14:compatExt spid="_x0000_s54285"/>
                </a:ext>
                <a:ext uri="{FF2B5EF4-FFF2-40B4-BE49-F238E27FC236}">
                  <a16:creationId xmlns:a16="http://schemas.microsoft.com/office/drawing/2014/main" id="{00000000-0008-0000-0B00-00000D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283029</xdr:colOff>
          <xdr:row>42</xdr:row>
          <xdr:rowOff>152400</xdr:rowOff>
        </xdr:from>
        <xdr:to>
          <xdr:col>5</xdr:col>
          <xdr:colOff>595993</xdr:colOff>
          <xdr:row>44</xdr:row>
          <xdr:rowOff>38100</xdr:rowOff>
        </xdr:to>
        <xdr:sp macro="" textlink="">
          <xdr:nvSpPr>
            <xdr:cNvPr id="54286" name="Check Box 14" hidden="1">
              <a:extLst>
                <a:ext uri="{63B3BB69-23CF-44E3-9099-C40C66FF867C}">
                  <a14:compatExt spid="_x0000_s54286"/>
                </a:ext>
                <a:ext uri="{FF2B5EF4-FFF2-40B4-BE49-F238E27FC236}">
                  <a16:creationId xmlns:a16="http://schemas.microsoft.com/office/drawing/2014/main" id="{00000000-0008-0000-0B00-00000E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152400</xdr:rowOff>
        </xdr:from>
        <xdr:to>
          <xdr:col>7</xdr:col>
          <xdr:colOff>10886</xdr:colOff>
          <xdr:row>44</xdr:row>
          <xdr:rowOff>38100</xdr:rowOff>
        </xdr:to>
        <xdr:sp macro="" textlink="">
          <xdr:nvSpPr>
            <xdr:cNvPr id="54287" name="Check Box 15" hidden="1">
              <a:extLst>
                <a:ext uri="{63B3BB69-23CF-44E3-9099-C40C66FF867C}">
                  <a14:compatExt spid="_x0000_s54287"/>
                </a:ext>
                <a:ext uri="{FF2B5EF4-FFF2-40B4-BE49-F238E27FC236}">
                  <a16:creationId xmlns:a16="http://schemas.microsoft.com/office/drawing/2014/main" id="{00000000-0008-0000-0B00-00000F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212271</xdr:colOff>
          <xdr:row>0</xdr:row>
          <xdr:rowOff>87086</xdr:rowOff>
        </xdr:from>
        <xdr:to>
          <xdr:col>13</xdr:col>
          <xdr:colOff>182336</xdr:colOff>
          <xdr:row>1</xdr:row>
          <xdr:rowOff>133350</xdr:rowOff>
        </xdr:to>
        <xdr:sp macro="" textlink="">
          <xdr:nvSpPr>
            <xdr:cNvPr id="54289" name="Button 17" hidden="1">
              <a:extLst>
                <a:ext uri="{63B3BB69-23CF-44E3-9099-C40C66FF867C}">
                  <a14:compatExt spid="_x0000_s54289"/>
                </a:ext>
                <a:ext uri="{FF2B5EF4-FFF2-40B4-BE49-F238E27FC236}">
                  <a16:creationId xmlns:a16="http://schemas.microsoft.com/office/drawing/2014/main" id="{00000000-0008-0000-0B00-000011D4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242207</xdr:colOff>
          <xdr:row>2</xdr:row>
          <xdr:rowOff>65314</xdr:rowOff>
        </xdr:from>
        <xdr:to>
          <xdr:col>13</xdr:col>
          <xdr:colOff>212271</xdr:colOff>
          <xdr:row>2</xdr:row>
          <xdr:rowOff>269421</xdr:rowOff>
        </xdr:to>
        <xdr:sp macro="" textlink="">
          <xdr:nvSpPr>
            <xdr:cNvPr id="54290" name="Button 18" hidden="1">
              <a:extLst>
                <a:ext uri="{63B3BB69-23CF-44E3-9099-C40C66FF867C}">
                  <a14:compatExt spid="_x0000_s54290"/>
                </a:ext>
                <a:ext uri="{FF2B5EF4-FFF2-40B4-BE49-F238E27FC236}">
                  <a16:creationId xmlns:a16="http://schemas.microsoft.com/office/drawing/2014/main" id="{00000000-0008-0000-0B00-000012D4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424543</xdr:colOff>
          <xdr:row>1</xdr:row>
          <xdr:rowOff>114300</xdr:rowOff>
        </xdr:from>
        <xdr:to>
          <xdr:col>10</xdr:col>
          <xdr:colOff>326571</xdr:colOff>
          <xdr:row>3</xdr:row>
          <xdr:rowOff>0</xdr:rowOff>
        </xdr:to>
        <xdr:sp macro="" textlink="">
          <xdr:nvSpPr>
            <xdr:cNvPr id="71681" name="Button 1" hidden="1">
              <a:extLst>
                <a:ext uri="{63B3BB69-23CF-44E3-9099-C40C66FF867C}">
                  <a14:compatExt spid="_x0000_s71681"/>
                </a:ext>
                <a:ext uri="{FF2B5EF4-FFF2-40B4-BE49-F238E27FC236}">
                  <a16:creationId xmlns:a16="http://schemas.microsoft.com/office/drawing/2014/main" id="{00000000-0008-0000-0C00-00000118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40821</xdr:colOff>
      <xdr:row>39</xdr:row>
      <xdr:rowOff>29936</xdr:rowOff>
    </xdr:from>
    <xdr:to>
      <xdr:col>9</xdr:col>
      <xdr:colOff>612321</xdr:colOff>
      <xdr:row>42</xdr:row>
      <xdr:rowOff>152400</xdr:rowOff>
    </xdr:to>
    <xdr:sp macro="" textlink="">
      <xdr:nvSpPr>
        <xdr:cNvPr id="75787" name="Text Box 2">
          <a:extLst>
            <a:ext uri="{FF2B5EF4-FFF2-40B4-BE49-F238E27FC236}">
              <a16:creationId xmlns:a16="http://schemas.microsoft.com/office/drawing/2014/main" id="{ADD7618A-44B5-7CC8-80A4-F3D293ADA502}"/>
            </a:ext>
          </a:extLst>
        </xdr:cNvPr>
        <xdr:cNvSpPr txBox="1">
          <a:spLocks noChangeArrowheads="1"/>
        </xdr:cNvSpPr>
      </xdr:nvSpPr>
      <xdr:spPr bwMode="auto">
        <a:xfrm>
          <a:off x="40821" y="6425293"/>
          <a:ext cx="6270172" cy="612321"/>
        </a:xfrm>
        <a:prstGeom prst="rect">
          <a:avLst/>
        </a:prstGeom>
        <a:noFill/>
        <a:ln w="9525">
          <a:solidFill>
            <a:srgbClr val="00FF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40821</xdr:colOff>
      <xdr:row>45</xdr:row>
      <xdr:rowOff>29936</xdr:rowOff>
    </xdr:from>
    <xdr:to>
      <xdr:col>9</xdr:col>
      <xdr:colOff>612321</xdr:colOff>
      <xdr:row>48</xdr:row>
      <xdr:rowOff>152400</xdr:rowOff>
    </xdr:to>
    <xdr:sp macro="" textlink="">
      <xdr:nvSpPr>
        <xdr:cNvPr id="75788" name="Text Box 3">
          <a:extLst>
            <a:ext uri="{FF2B5EF4-FFF2-40B4-BE49-F238E27FC236}">
              <a16:creationId xmlns:a16="http://schemas.microsoft.com/office/drawing/2014/main" id="{0271C1FA-4BE6-3A74-7F31-C94922CD4135}"/>
            </a:ext>
          </a:extLst>
        </xdr:cNvPr>
        <xdr:cNvSpPr txBox="1">
          <a:spLocks noChangeArrowheads="1"/>
        </xdr:cNvSpPr>
      </xdr:nvSpPr>
      <xdr:spPr bwMode="auto">
        <a:xfrm>
          <a:off x="40821" y="7413171"/>
          <a:ext cx="6270172" cy="612322"/>
        </a:xfrm>
        <a:prstGeom prst="rect">
          <a:avLst/>
        </a:prstGeom>
        <a:noFill/>
        <a:ln w="9525">
          <a:solidFill>
            <a:srgbClr val="00FF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40821</xdr:colOff>
      <xdr:row>50</xdr:row>
      <xdr:rowOff>29936</xdr:rowOff>
    </xdr:from>
    <xdr:to>
      <xdr:col>9</xdr:col>
      <xdr:colOff>612321</xdr:colOff>
      <xdr:row>53</xdr:row>
      <xdr:rowOff>152400</xdr:rowOff>
    </xdr:to>
    <xdr:sp macro="" textlink="">
      <xdr:nvSpPr>
        <xdr:cNvPr id="75789" name="Text Box 4">
          <a:extLst>
            <a:ext uri="{FF2B5EF4-FFF2-40B4-BE49-F238E27FC236}">
              <a16:creationId xmlns:a16="http://schemas.microsoft.com/office/drawing/2014/main" id="{54432C20-A8C0-CD2A-01D5-FEFEE688A347}"/>
            </a:ext>
          </a:extLst>
        </xdr:cNvPr>
        <xdr:cNvSpPr txBox="1">
          <a:spLocks noChangeArrowheads="1"/>
        </xdr:cNvSpPr>
      </xdr:nvSpPr>
      <xdr:spPr bwMode="auto">
        <a:xfrm>
          <a:off x="40821" y="8237764"/>
          <a:ext cx="6270172" cy="612322"/>
        </a:xfrm>
        <a:prstGeom prst="rect">
          <a:avLst/>
        </a:prstGeom>
        <a:noFill/>
        <a:ln w="9525">
          <a:solidFill>
            <a:srgbClr val="00FF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48986</xdr:rowOff>
    </xdr:from>
    <xdr:to>
      <xdr:col>15</xdr:col>
      <xdr:colOff>29936</xdr:colOff>
      <xdr:row>63</xdr:row>
      <xdr:rowOff>10886</xdr:rowOff>
    </xdr:to>
    <xdr:pic>
      <xdr:nvPicPr>
        <xdr:cNvPr id="77829" name="Picture 1">
          <a:extLst>
            <a:ext uri="{FF2B5EF4-FFF2-40B4-BE49-F238E27FC236}">
              <a16:creationId xmlns:a16="http://schemas.microsoft.com/office/drawing/2014/main" id="{50DCF53C-FAC8-9788-B944-D9BD8AB0E29E}"/>
            </a:ext>
          </a:extLst>
        </xdr:cNvPr>
        <xdr:cNvPicPr>
          <a:picLocks noChangeAspect="1" noChangeArrowheads="1"/>
        </xdr:cNvPicPr>
      </xdr:nvPicPr>
      <xdr:blipFill>
        <a:blip xmlns:r="http://schemas.openxmlformats.org/officeDocument/2006/relationships" r:embed="rId1">
          <a:lum bright="-24000" contrast="66000"/>
          <a:extLst>
            <a:ext uri="{28A0092B-C50C-407E-A947-70E740481C1C}">
              <a14:useLocalDpi xmlns:a14="http://schemas.microsoft.com/office/drawing/2010/main" val="0"/>
            </a:ext>
          </a:extLst>
        </a:blip>
        <a:srcRect/>
        <a:stretch>
          <a:fillRect/>
        </a:stretch>
      </xdr:blipFill>
      <xdr:spPr bwMode="auto">
        <a:xfrm>
          <a:off x="19050" y="48986"/>
          <a:ext cx="9481457" cy="1024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0</xdr:colOff>
          <xdr:row>0</xdr:row>
          <xdr:rowOff>0</xdr:rowOff>
        </xdr:from>
        <xdr:to>
          <xdr:col>11</xdr:col>
          <xdr:colOff>582386</xdr:colOff>
          <xdr:row>1</xdr:row>
          <xdr:rowOff>38100</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0E00-00000230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168729</xdr:colOff>
      <xdr:row>103</xdr:row>
      <xdr:rowOff>97971</xdr:rowOff>
    </xdr:from>
    <xdr:to>
      <xdr:col>2</xdr:col>
      <xdr:colOff>236764</xdr:colOff>
      <xdr:row>103</xdr:row>
      <xdr:rowOff>97971</xdr:rowOff>
    </xdr:to>
    <xdr:sp macro="" textlink="">
      <xdr:nvSpPr>
        <xdr:cNvPr id="51315" name="Line 26">
          <a:extLst>
            <a:ext uri="{FF2B5EF4-FFF2-40B4-BE49-F238E27FC236}">
              <a16:creationId xmlns:a16="http://schemas.microsoft.com/office/drawing/2014/main" id="{91F8DE4E-ABB2-AD1F-936F-943502F9956E}"/>
            </a:ext>
          </a:extLst>
        </xdr:cNvPr>
        <xdr:cNvSpPr>
          <a:spLocks noChangeShapeType="1"/>
        </xdr:cNvSpPr>
      </xdr:nvSpPr>
      <xdr:spPr bwMode="auto">
        <a:xfrm>
          <a:off x="800100" y="17223921"/>
          <a:ext cx="6994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168729</xdr:colOff>
      <xdr:row>104</xdr:row>
      <xdr:rowOff>97971</xdr:rowOff>
    </xdr:from>
    <xdr:to>
      <xdr:col>2</xdr:col>
      <xdr:colOff>236764</xdr:colOff>
      <xdr:row>104</xdr:row>
      <xdr:rowOff>97971</xdr:rowOff>
    </xdr:to>
    <xdr:sp macro="" textlink="">
      <xdr:nvSpPr>
        <xdr:cNvPr id="51316" name="Line 27">
          <a:extLst>
            <a:ext uri="{FF2B5EF4-FFF2-40B4-BE49-F238E27FC236}">
              <a16:creationId xmlns:a16="http://schemas.microsoft.com/office/drawing/2014/main" id="{5E52EC7A-04D1-B1FD-A2A5-9771F1F227DF}"/>
            </a:ext>
          </a:extLst>
        </xdr:cNvPr>
        <xdr:cNvSpPr>
          <a:spLocks noChangeShapeType="1"/>
        </xdr:cNvSpPr>
      </xdr:nvSpPr>
      <xdr:spPr bwMode="auto">
        <a:xfrm>
          <a:off x="800100" y="17389929"/>
          <a:ext cx="6994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168729</xdr:colOff>
      <xdr:row>108</xdr:row>
      <xdr:rowOff>97971</xdr:rowOff>
    </xdr:from>
    <xdr:to>
      <xdr:col>2</xdr:col>
      <xdr:colOff>236764</xdr:colOff>
      <xdr:row>108</xdr:row>
      <xdr:rowOff>97971</xdr:rowOff>
    </xdr:to>
    <xdr:sp macro="" textlink="">
      <xdr:nvSpPr>
        <xdr:cNvPr id="51317" name="Line 28">
          <a:extLst>
            <a:ext uri="{FF2B5EF4-FFF2-40B4-BE49-F238E27FC236}">
              <a16:creationId xmlns:a16="http://schemas.microsoft.com/office/drawing/2014/main" id="{09F663C4-A646-5D86-D64C-3D5FB82DF154}"/>
            </a:ext>
          </a:extLst>
        </xdr:cNvPr>
        <xdr:cNvSpPr>
          <a:spLocks noChangeShapeType="1"/>
        </xdr:cNvSpPr>
      </xdr:nvSpPr>
      <xdr:spPr bwMode="auto">
        <a:xfrm>
          <a:off x="800100" y="18053957"/>
          <a:ext cx="6994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168729</xdr:colOff>
      <xdr:row>109</xdr:row>
      <xdr:rowOff>97971</xdr:rowOff>
    </xdr:from>
    <xdr:to>
      <xdr:col>2</xdr:col>
      <xdr:colOff>236764</xdr:colOff>
      <xdr:row>109</xdr:row>
      <xdr:rowOff>97971</xdr:rowOff>
    </xdr:to>
    <xdr:sp macro="" textlink="">
      <xdr:nvSpPr>
        <xdr:cNvPr id="51318" name="Line 29">
          <a:extLst>
            <a:ext uri="{FF2B5EF4-FFF2-40B4-BE49-F238E27FC236}">
              <a16:creationId xmlns:a16="http://schemas.microsoft.com/office/drawing/2014/main" id="{2B132119-7A43-6136-E475-808A964C8D10}"/>
            </a:ext>
          </a:extLst>
        </xdr:cNvPr>
        <xdr:cNvSpPr>
          <a:spLocks noChangeShapeType="1"/>
        </xdr:cNvSpPr>
      </xdr:nvSpPr>
      <xdr:spPr bwMode="auto">
        <a:xfrm>
          <a:off x="800100" y="18219964"/>
          <a:ext cx="6994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176893</xdr:colOff>
      <xdr:row>105</xdr:row>
      <xdr:rowOff>78921</xdr:rowOff>
    </xdr:from>
    <xdr:to>
      <xdr:col>3</xdr:col>
      <xdr:colOff>29936</xdr:colOff>
      <xdr:row>105</xdr:row>
      <xdr:rowOff>78921</xdr:rowOff>
    </xdr:to>
    <xdr:sp macro="" textlink="">
      <xdr:nvSpPr>
        <xdr:cNvPr id="51319" name="Line 30">
          <a:extLst>
            <a:ext uri="{FF2B5EF4-FFF2-40B4-BE49-F238E27FC236}">
              <a16:creationId xmlns:a16="http://schemas.microsoft.com/office/drawing/2014/main" id="{01587DA2-1A4A-5372-8ABC-111B489FAF51}"/>
            </a:ext>
          </a:extLst>
        </xdr:cNvPr>
        <xdr:cNvSpPr>
          <a:spLocks noChangeShapeType="1"/>
        </xdr:cNvSpPr>
      </xdr:nvSpPr>
      <xdr:spPr bwMode="auto">
        <a:xfrm>
          <a:off x="808264" y="17536886"/>
          <a:ext cx="1115786"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663</xdr:row>
      <xdr:rowOff>0</xdr:rowOff>
    </xdr:from>
    <xdr:to>
      <xdr:col>1</xdr:col>
      <xdr:colOff>315686</xdr:colOff>
      <xdr:row>664</xdr:row>
      <xdr:rowOff>144236</xdr:rowOff>
    </xdr:to>
    <xdr:sp macro="" textlink="">
      <xdr:nvSpPr>
        <xdr:cNvPr id="51320" name="AutoShape 61" descr="003520">
          <a:extLst>
            <a:ext uri="{FF2B5EF4-FFF2-40B4-BE49-F238E27FC236}">
              <a16:creationId xmlns:a16="http://schemas.microsoft.com/office/drawing/2014/main" id="{71C9ED15-E37A-6541-CFE7-A96E55020A33}"/>
            </a:ext>
          </a:extLst>
        </xdr:cNvPr>
        <xdr:cNvSpPr>
          <a:spLocks noChangeAspect="1" noChangeArrowheads="1"/>
        </xdr:cNvSpPr>
      </xdr:nvSpPr>
      <xdr:spPr bwMode="auto">
        <a:xfrm>
          <a:off x="631371" y="108802714"/>
          <a:ext cx="315686" cy="307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582386</xdr:colOff>
          <xdr:row>1</xdr:row>
          <xdr:rowOff>38100</xdr:rowOff>
        </xdr:to>
        <xdr:sp macro="" textlink="">
          <xdr:nvSpPr>
            <xdr:cNvPr id="51263" name="Button 63" hidden="1">
              <a:extLst>
                <a:ext uri="{63B3BB69-23CF-44E3-9099-C40C66FF867C}">
                  <a14:compatExt spid="_x0000_s51263"/>
                </a:ext>
                <a:ext uri="{FF2B5EF4-FFF2-40B4-BE49-F238E27FC236}">
                  <a16:creationId xmlns:a16="http://schemas.microsoft.com/office/drawing/2014/main" id="{00000000-0008-0000-0F00-00003FC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0</xdr:row>
          <xdr:rowOff>10886</xdr:rowOff>
        </xdr:from>
        <xdr:to>
          <xdr:col>10</xdr:col>
          <xdr:colOff>601436</xdr:colOff>
          <xdr:row>1</xdr:row>
          <xdr:rowOff>57150</xdr:rowOff>
        </xdr:to>
        <xdr:sp macro="" textlink="">
          <xdr:nvSpPr>
            <xdr:cNvPr id="51265" name="Button 65" hidden="1">
              <a:extLst>
                <a:ext uri="{63B3BB69-23CF-44E3-9099-C40C66FF867C}">
                  <a14:compatExt spid="_x0000_s51265"/>
                </a:ext>
                <a:ext uri="{FF2B5EF4-FFF2-40B4-BE49-F238E27FC236}">
                  <a16:creationId xmlns:a16="http://schemas.microsoft.com/office/drawing/2014/main" id="{00000000-0008-0000-0F00-000041C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Summary</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533400</xdr:colOff>
          <xdr:row>1</xdr:row>
          <xdr:rowOff>48986</xdr:rowOff>
        </xdr:to>
        <xdr:sp macro="" textlink="">
          <xdr:nvSpPr>
            <xdr:cNvPr id="52226" name="Button 2" hidden="1">
              <a:extLst>
                <a:ext uri="{63B3BB69-23CF-44E3-9099-C40C66FF867C}">
                  <a14:compatExt spid="_x0000_s52226"/>
                </a:ext>
                <a:ext uri="{FF2B5EF4-FFF2-40B4-BE49-F238E27FC236}">
                  <a16:creationId xmlns:a16="http://schemas.microsoft.com/office/drawing/2014/main" id="{00000000-0008-0000-1000-000002C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1213757</xdr:colOff>
          <xdr:row>0</xdr:row>
          <xdr:rowOff>10886</xdr:rowOff>
        </xdr:from>
        <xdr:to>
          <xdr:col>2</xdr:col>
          <xdr:colOff>2579914</xdr:colOff>
          <xdr:row>1</xdr:row>
          <xdr:rowOff>10886</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100-0000013C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5</xdr:col>
      <xdr:colOff>10886</xdr:colOff>
      <xdr:row>22</xdr:row>
      <xdr:rowOff>97971</xdr:rowOff>
    </xdr:from>
    <xdr:to>
      <xdr:col>5</xdr:col>
      <xdr:colOff>628650</xdr:colOff>
      <xdr:row>22</xdr:row>
      <xdr:rowOff>97971</xdr:rowOff>
    </xdr:to>
    <xdr:sp macro="" textlink="">
      <xdr:nvSpPr>
        <xdr:cNvPr id="5177" name="Line 7">
          <a:extLst>
            <a:ext uri="{FF2B5EF4-FFF2-40B4-BE49-F238E27FC236}">
              <a16:creationId xmlns:a16="http://schemas.microsoft.com/office/drawing/2014/main" id="{E668EE3F-2D53-288A-FF9C-82EBD4A38FFE}"/>
            </a:ext>
          </a:extLst>
        </xdr:cNvPr>
        <xdr:cNvSpPr>
          <a:spLocks noChangeShapeType="1"/>
        </xdr:cNvSpPr>
      </xdr:nvSpPr>
      <xdr:spPr bwMode="auto">
        <a:xfrm flipH="1">
          <a:off x="4520293" y="3826329"/>
          <a:ext cx="617764"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304800</xdr:colOff>
      <xdr:row>24</xdr:row>
      <xdr:rowOff>0</xdr:rowOff>
    </xdr:from>
    <xdr:to>
      <xdr:col>4</xdr:col>
      <xdr:colOff>304800</xdr:colOff>
      <xdr:row>25</xdr:row>
      <xdr:rowOff>10886</xdr:rowOff>
    </xdr:to>
    <xdr:sp macro="" textlink="">
      <xdr:nvSpPr>
        <xdr:cNvPr id="5178" name="Line 19">
          <a:extLst>
            <a:ext uri="{FF2B5EF4-FFF2-40B4-BE49-F238E27FC236}">
              <a16:creationId xmlns:a16="http://schemas.microsoft.com/office/drawing/2014/main" id="{AA8D836D-D634-15F3-56C2-8FE5C163453C}"/>
            </a:ext>
          </a:extLst>
        </xdr:cNvPr>
        <xdr:cNvSpPr>
          <a:spLocks noChangeShapeType="1"/>
        </xdr:cNvSpPr>
      </xdr:nvSpPr>
      <xdr:spPr bwMode="auto">
        <a:xfrm>
          <a:off x="4166507" y="4060371"/>
          <a:ext cx="0" cy="17689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304800</xdr:colOff>
      <xdr:row>22</xdr:row>
      <xdr:rowOff>0</xdr:rowOff>
    </xdr:from>
    <xdr:to>
      <xdr:col>4</xdr:col>
      <xdr:colOff>304800</xdr:colOff>
      <xdr:row>23</xdr:row>
      <xdr:rowOff>10886</xdr:rowOff>
    </xdr:to>
    <xdr:sp macro="" textlink="">
      <xdr:nvSpPr>
        <xdr:cNvPr id="5179" name="Line 22">
          <a:extLst>
            <a:ext uri="{FF2B5EF4-FFF2-40B4-BE49-F238E27FC236}">
              <a16:creationId xmlns:a16="http://schemas.microsoft.com/office/drawing/2014/main" id="{53CB7868-1620-81ED-F39D-AAD2B10CF74B}"/>
            </a:ext>
          </a:extLst>
        </xdr:cNvPr>
        <xdr:cNvSpPr>
          <a:spLocks noChangeShapeType="1"/>
        </xdr:cNvSpPr>
      </xdr:nvSpPr>
      <xdr:spPr bwMode="auto">
        <a:xfrm>
          <a:off x="4166507" y="3728357"/>
          <a:ext cx="0" cy="17689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100693</xdr:colOff>
      <xdr:row>166</xdr:row>
      <xdr:rowOff>46264</xdr:rowOff>
    </xdr:from>
    <xdr:to>
      <xdr:col>8</xdr:col>
      <xdr:colOff>615043</xdr:colOff>
      <xdr:row>170</xdr:row>
      <xdr:rowOff>19050</xdr:rowOff>
    </xdr:to>
    <xdr:sp macro="" textlink="">
      <xdr:nvSpPr>
        <xdr:cNvPr id="5180" name="Text Box 29">
          <a:extLst>
            <a:ext uri="{FF2B5EF4-FFF2-40B4-BE49-F238E27FC236}">
              <a16:creationId xmlns:a16="http://schemas.microsoft.com/office/drawing/2014/main" id="{90BAA086-C612-B57C-E411-8396614F627F}"/>
            </a:ext>
          </a:extLst>
        </xdr:cNvPr>
        <xdr:cNvSpPr txBox="1">
          <a:spLocks noChangeArrowheads="1"/>
        </xdr:cNvSpPr>
      </xdr:nvSpPr>
      <xdr:spPr bwMode="auto">
        <a:xfrm>
          <a:off x="2667000" y="27644271"/>
          <a:ext cx="4974771" cy="680358"/>
        </a:xfrm>
        <a:prstGeom prst="rect">
          <a:avLst/>
        </a:prstGeom>
        <a:noFill/>
        <a:ln w="9525">
          <a:solidFill>
            <a:srgbClr val="3366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193221</xdr:colOff>
      <xdr:row>42</xdr:row>
      <xdr:rowOff>38100</xdr:rowOff>
    </xdr:from>
    <xdr:to>
      <xdr:col>8</xdr:col>
      <xdr:colOff>625929</xdr:colOff>
      <xdr:row>46</xdr:row>
      <xdr:rowOff>97971</xdr:rowOff>
    </xdr:to>
    <xdr:sp macro="" textlink="">
      <xdr:nvSpPr>
        <xdr:cNvPr id="5181" name="Text Box 40">
          <a:extLst>
            <a:ext uri="{FF2B5EF4-FFF2-40B4-BE49-F238E27FC236}">
              <a16:creationId xmlns:a16="http://schemas.microsoft.com/office/drawing/2014/main" id="{26CCAD8D-EBF4-0F85-F3D2-A04E69D6AD76}"/>
            </a:ext>
          </a:extLst>
        </xdr:cNvPr>
        <xdr:cNvSpPr txBox="1">
          <a:spLocks noChangeArrowheads="1"/>
        </xdr:cNvSpPr>
      </xdr:nvSpPr>
      <xdr:spPr bwMode="auto">
        <a:xfrm>
          <a:off x="729343" y="7083879"/>
          <a:ext cx="6923314" cy="723900"/>
        </a:xfrm>
        <a:prstGeom prst="rect">
          <a:avLst/>
        </a:prstGeom>
        <a:noFill/>
        <a:ln w="9525">
          <a:solidFill>
            <a:srgbClr val="00FF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193221</xdr:colOff>
      <xdr:row>48</xdr:row>
      <xdr:rowOff>127907</xdr:rowOff>
    </xdr:from>
    <xdr:to>
      <xdr:col>8</xdr:col>
      <xdr:colOff>625929</xdr:colOff>
      <xdr:row>53</xdr:row>
      <xdr:rowOff>19050</xdr:rowOff>
    </xdr:to>
    <xdr:sp macro="" textlink="">
      <xdr:nvSpPr>
        <xdr:cNvPr id="5182" name="Text Box 41">
          <a:extLst>
            <a:ext uri="{FF2B5EF4-FFF2-40B4-BE49-F238E27FC236}">
              <a16:creationId xmlns:a16="http://schemas.microsoft.com/office/drawing/2014/main" id="{723E2B27-9532-ACB9-E23A-C14B866C4718}"/>
            </a:ext>
          </a:extLst>
        </xdr:cNvPr>
        <xdr:cNvSpPr txBox="1">
          <a:spLocks noChangeArrowheads="1"/>
        </xdr:cNvSpPr>
      </xdr:nvSpPr>
      <xdr:spPr bwMode="auto">
        <a:xfrm>
          <a:off x="729343" y="8169729"/>
          <a:ext cx="6923314" cy="721178"/>
        </a:xfrm>
        <a:prstGeom prst="rect">
          <a:avLst/>
        </a:prstGeom>
        <a:noFill/>
        <a:ln w="9525">
          <a:solidFill>
            <a:srgbClr val="00FF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29936</xdr:colOff>
          <xdr:row>0</xdr:row>
          <xdr:rowOff>8164</xdr:rowOff>
        </xdr:from>
        <xdr:to>
          <xdr:col>11</xdr:col>
          <xdr:colOff>97971</xdr:colOff>
          <xdr:row>0</xdr:row>
          <xdr:rowOff>209550</xdr:rowOff>
        </xdr:to>
        <xdr:sp macro="" textlink="">
          <xdr:nvSpPr>
            <xdr:cNvPr id="5135" name="Button 15" hidden="1">
              <a:extLst>
                <a:ext uri="{63B3BB69-23CF-44E3-9099-C40C66FF867C}">
                  <a14:compatExt spid="_x0000_s5135"/>
                </a:ext>
                <a:ext uri="{FF2B5EF4-FFF2-40B4-BE49-F238E27FC236}">
                  <a16:creationId xmlns:a16="http://schemas.microsoft.com/office/drawing/2014/main" id="{00000000-0008-0000-1200-00000F14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40821</xdr:colOff>
          <xdr:row>23</xdr:row>
          <xdr:rowOff>146957</xdr:rowOff>
        </xdr:from>
        <xdr:to>
          <xdr:col>7</xdr:col>
          <xdr:colOff>364671</xdr:colOff>
          <xdr:row>25</xdr:row>
          <xdr:rowOff>38100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12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617764</xdr:colOff>
          <xdr:row>23</xdr:row>
          <xdr:rowOff>136071</xdr:rowOff>
        </xdr:from>
        <xdr:to>
          <xdr:col>4</xdr:col>
          <xdr:colOff>293914</xdr:colOff>
          <xdr:row>25</xdr:row>
          <xdr:rowOff>29936</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12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394607</xdr:colOff>
          <xdr:row>23</xdr:row>
          <xdr:rowOff>136071</xdr:rowOff>
        </xdr:from>
        <xdr:to>
          <xdr:col>5</xdr:col>
          <xdr:colOff>70757</xdr:colOff>
          <xdr:row>25</xdr:row>
          <xdr:rowOff>29936</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12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617764</xdr:colOff>
          <xdr:row>21</xdr:row>
          <xdr:rowOff>136071</xdr:rowOff>
        </xdr:from>
        <xdr:to>
          <xdr:col>4</xdr:col>
          <xdr:colOff>293914</xdr:colOff>
          <xdr:row>23</xdr:row>
          <xdr:rowOff>29936</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12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394607</xdr:colOff>
          <xdr:row>21</xdr:row>
          <xdr:rowOff>136071</xdr:rowOff>
        </xdr:from>
        <xdr:to>
          <xdr:col>5</xdr:col>
          <xdr:colOff>70757</xdr:colOff>
          <xdr:row>23</xdr:row>
          <xdr:rowOff>29936</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12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40821</xdr:colOff>
          <xdr:row>1</xdr:row>
          <xdr:rowOff>19050</xdr:rowOff>
        </xdr:from>
        <xdr:to>
          <xdr:col>11</xdr:col>
          <xdr:colOff>108857</xdr:colOff>
          <xdr:row>2</xdr:row>
          <xdr:rowOff>29936</xdr:rowOff>
        </xdr:to>
        <xdr:sp macro="" textlink="">
          <xdr:nvSpPr>
            <xdr:cNvPr id="5143" name="Button 23" hidden="1">
              <a:extLst>
                <a:ext uri="{63B3BB69-23CF-44E3-9099-C40C66FF867C}">
                  <a14:compatExt spid="_x0000_s5143"/>
                </a:ext>
                <a:ext uri="{FF2B5EF4-FFF2-40B4-BE49-F238E27FC236}">
                  <a16:creationId xmlns:a16="http://schemas.microsoft.com/office/drawing/2014/main" id="{00000000-0008-0000-1200-00001714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Print Page 1 - 3</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76200</xdr:rowOff>
        </xdr:from>
        <xdr:to>
          <xdr:col>1</xdr:col>
          <xdr:colOff>620486</xdr:colOff>
          <xdr:row>6</xdr:row>
          <xdr:rowOff>38100</xdr:rowOff>
        </xdr:to>
        <xdr:sp macro="" textlink="">
          <xdr:nvSpPr>
            <xdr:cNvPr id="55306" name="Button 10" hidden="1">
              <a:extLst>
                <a:ext uri="{63B3BB69-23CF-44E3-9099-C40C66FF867C}">
                  <a14:compatExt spid="_x0000_s55306"/>
                </a:ext>
                <a:ext uri="{FF2B5EF4-FFF2-40B4-BE49-F238E27FC236}">
                  <a16:creationId xmlns:a16="http://schemas.microsoft.com/office/drawing/2014/main" id="{00000000-0008-0000-0100-00000A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38100</xdr:rowOff>
        </xdr:from>
        <xdr:to>
          <xdr:col>1</xdr:col>
          <xdr:colOff>620486</xdr:colOff>
          <xdr:row>7</xdr:row>
          <xdr:rowOff>160564</xdr:rowOff>
        </xdr:to>
        <xdr:sp macro="" textlink="">
          <xdr:nvSpPr>
            <xdr:cNvPr id="55307" name="Button 11" hidden="1">
              <a:extLst>
                <a:ext uri="{63B3BB69-23CF-44E3-9099-C40C66FF867C}">
                  <a14:compatExt spid="_x0000_s55307"/>
                </a:ext>
                <a:ext uri="{FF2B5EF4-FFF2-40B4-BE49-F238E27FC236}">
                  <a16:creationId xmlns:a16="http://schemas.microsoft.com/office/drawing/2014/main" id="{00000000-0008-0000-0100-00000B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WELL EQUIPMENT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160564</xdr:rowOff>
        </xdr:from>
        <xdr:to>
          <xdr:col>1</xdr:col>
          <xdr:colOff>620486</xdr:colOff>
          <xdr:row>9</xdr:row>
          <xdr:rowOff>106136</xdr:rowOff>
        </xdr:to>
        <xdr:sp macro="" textlink="">
          <xdr:nvSpPr>
            <xdr:cNvPr id="55308" name="Button 12" hidden="1">
              <a:extLst>
                <a:ext uri="{63B3BB69-23CF-44E3-9099-C40C66FF867C}">
                  <a14:compatExt spid="_x0000_s55308"/>
                </a:ext>
                <a:ext uri="{FF2B5EF4-FFF2-40B4-BE49-F238E27FC236}">
                  <a16:creationId xmlns:a16="http://schemas.microsoft.com/office/drawing/2014/main" id="{00000000-0008-0000-0100-00000CD8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106136</xdr:rowOff>
        </xdr:from>
        <xdr:to>
          <xdr:col>1</xdr:col>
          <xdr:colOff>620486</xdr:colOff>
          <xdr:row>11</xdr:row>
          <xdr:rowOff>76200</xdr:rowOff>
        </xdr:to>
        <xdr:sp macro="" textlink="">
          <xdr:nvSpPr>
            <xdr:cNvPr id="55309" name="Button 13" hidden="1">
              <a:extLst>
                <a:ext uri="{63B3BB69-23CF-44E3-9099-C40C66FF867C}">
                  <a14:compatExt spid="_x0000_s55309"/>
                </a:ext>
                <a:ext uri="{FF2B5EF4-FFF2-40B4-BE49-F238E27FC236}">
                  <a16:creationId xmlns:a16="http://schemas.microsoft.com/office/drawing/2014/main" id="{00000000-0008-0000-0100-00000DD80000}"/>
                </a:ext>
              </a:extLst>
            </xdr:cNvPr>
            <xdr:cNvSpPr/>
          </xdr:nvSpPr>
          <xdr:spPr bwMode="auto">
            <a:xfrm>
              <a:off x="0" y="0"/>
              <a:ext cx="0" cy="0"/>
            </a:xfrm>
            <a:prstGeom prst="rect">
              <a:avLst/>
            </a:prstGeom>
            <a:noFill/>
            <a:ln w="9525">
              <a:miter lim="800000"/>
              <a:headEnd/>
              <a:tailEnd/>
            </a:ln>
          </xdr:spPr>
          <xdr:txBody>
            <a:bodyPr vertOverflow="clip" wrap="square" lIns="64008" tIns="45720" rIns="64008" bIns="45720" anchor="ctr" upright="1"/>
            <a:lstStyle/>
            <a:p>
              <a:pPr algn="ctr" rtl="0">
                <a:defRPr sz="1000"/>
              </a:pPr>
              <a:r>
                <a:rPr lang="en-US" sz="800" b="0" i="0" u="none" strike="noStrike" baseline="0">
                  <a:solidFill>
                    <a:srgbClr val="000000"/>
                  </a:solidFill>
                  <a:latin typeface="Arial"/>
                  <a:cs typeface="Arial"/>
                </a:rPr>
                <a:t>PURCHASE ORDERS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76200</xdr:rowOff>
        </xdr:from>
        <xdr:to>
          <xdr:col>1</xdr:col>
          <xdr:colOff>620486</xdr:colOff>
          <xdr:row>13</xdr:row>
          <xdr:rowOff>48986</xdr:rowOff>
        </xdr:to>
        <xdr:sp macro="" textlink="">
          <xdr:nvSpPr>
            <xdr:cNvPr id="55310" name="Button 14" hidden="1">
              <a:extLst>
                <a:ext uri="{63B3BB69-23CF-44E3-9099-C40C66FF867C}">
                  <a14:compatExt spid="_x0000_s55310"/>
                </a:ext>
                <a:ext uri="{FF2B5EF4-FFF2-40B4-BE49-F238E27FC236}">
                  <a16:creationId xmlns:a16="http://schemas.microsoft.com/office/drawing/2014/main" id="{00000000-0008-0000-0100-00000E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Master TALLY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48986</xdr:rowOff>
        </xdr:from>
        <xdr:to>
          <xdr:col>1</xdr:col>
          <xdr:colOff>620486</xdr:colOff>
          <xdr:row>15</xdr:row>
          <xdr:rowOff>19050</xdr:rowOff>
        </xdr:to>
        <xdr:sp macro="" textlink="">
          <xdr:nvSpPr>
            <xdr:cNvPr id="55312" name="Button 16" hidden="1">
              <a:extLst>
                <a:ext uri="{63B3BB69-23CF-44E3-9099-C40C66FF867C}">
                  <a14:compatExt spid="_x0000_s55312"/>
                </a:ext>
                <a:ext uri="{FF2B5EF4-FFF2-40B4-BE49-F238E27FC236}">
                  <a16:creationId xmlns:a16="http://schemas.microsoft.com/office/drawing/2014/main" id="{00000000-0008-0000-0100-000010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INPUT TALLY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19050</xdr:rowOff>
        </xdr:from>
        <xdr:to>
          <xdr:col>1</xdr:col>
          <xdr:colOff>620486</xdr:colOff>
          <xdr:row>16</xdr:row>
          <xdr:rowOff>152400</xdr:rowOff>
        </xdr:to>
        <xdr:sp macro="" textlink="">
          <xdr:nvSpPr>
            <xdr:cNvPr id="55313" name="Button 17" hidden="1">
              <a:extLst>
                <a:ext uri="{63B3BB69-23CF-44E3-9099-C40C66FF867C}">
                  <a14:compatExt spid="_x0000_s55313"/>
                </a:ext>
                <a:ext uri="{FF2B5EF4-FFF2-40B4-BE49-F238E27FC236}">
                  <a16:creationId xmlns:a16="http://schemas.microsoft.com/office/drawing/2014/main" id="{00000000-0008-0000-0100-000011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LOAD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612321</xdr:colOff>
          <xdr:row>4</xdr:row>
          <xdr:rowOff>76200</xdr:rowOff>
        </xdr:from>
        <xdr:to>
          <xdr:col>3</xdr:col>
          <xdr:colOff>601436</xdr:colOff>
          <xdr:row>6</xdr:row>
          <xdr:rowOff>38100</xdr:rowOff>
        </xdr:to>
        <xdr:sp macro="" textlink="">
          <xdr:nvSpPr>
            <xdr:cNvPr id="55314" name="Button 18" hidden="1">
              <a:extLst>
                <a:ext uri="{63B3BB69-23CF-44E3-9099-C40C66FF867C}">
                  <a14:compatExt spid="_x0000_s55314"/>
                </a:ext>
                <a:ext uri="{FF2B5EF4-FFF2-40B4-BE49-F238E27FC236}">
                  <a16:creationId xmlns:a16="http://schemas.microsoft.com/office/drawing/2014/main" id="{00000000-0008-0000-0100-000012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OPERATIONS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612321</xdr:colOff>
          <xdr:row>7</xdr:row>
          <xdr:rowOff>160564</xdr:rowOff>
        </xdr:from>
        <xdr:to>
          <xdr:col>3</xdr:col>
          <xdr:colOff>601436</xdr:colOff>
          <xdr:row>9</xdr:row>
          <xdr:rowOff>106136</xdr:rowOff>
        </xdr:to>
        <xdr:sp macro="" textlink="">
          <xdr:nvSpPr>
            <xdr:cNvPr id="55318" name="Button 22" hidden="1">
              <a:extLst>
                <a:ext uri="{63B3BB69-23CF-44E3-9099-C40C66FF867C}">
                  <a14:compatExt spid="_x0000_s55318"/>
                </a:ext>
                <a:ext uri="{FF2B5EF4-FFF2-40B4-BE49-F238E27FC236}">
                  <a16:creationId xmlns:a16="http://schemas.microsoft.com/office/drawing/2014/main" id="{00000000-0008-0000-0100-000016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Rig Inspection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612321</xdr:colOff>
          <xdr:row>9</xdr:row>
          <xdr:rowOff>106136</xdr:rowOff>
        </xdr:from>
        <xdr:to>
          <xdr:col>3</xdr:col>
          <xdr:colOff>601436</xdr:colOff>
          <xdr:row>11</xdr:row>
          <xdr:rowOff>76200</xdr:rowOff>
        </xdr:to>
        <xdr:sp macro="" textlink="">
          <xdr:nvSpPr>
            <xdr:cNvPr id="55319" name="Button 23" hidden="1">
              <a:extLst>
                <a:ext uri="{63B3BB69-23CF-44E3-9099-C40C66FF867C}">
                  <a14:compatExt spid="_x0000_s55319"/>
                </a:ext>
                <a:ext uri="{FF2B5EF4-FFF2-40B4-BE49-F238E27FC236}">
                  <a16:creationId xmlns:a16="http://schemas.microsoft.com/office/drawing/2014/main" id="{00000000-0008-0000-0100-000017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Transfers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612321</xdr:colOff>
          <xdr:row>11</xdr:row>
          <xdr:rowOff>76200</xdr:rowOff>
        </xdr:from>
        <xdr:to>
          <xdr:col>3</xdr:col>
          <xdr:colOff>601436</xdr:colOff>
          <xdr:row>13</xdr:row>
          <xdr:rowOff>48986</xdr:rowOff>
        </xdr:to>
        <xdr:sp macro="" textlink="">
          <xdr:nvSpPr>
            <xdr:cNvPr id="55321" name="Button 25" hidden="1">
              <a:extLst>
                <a:ext uri="{63B3BB69-23CF-44E3-9099-C40C66FF867C}">
                  <a14:compatExt spid="_x0000_s55321"/>
                </a:ext>
                <a:ext uri="{FF2B5EF4-FFF2-40B4-BE49-F238E27FC236}">
                  <a16:creationId xmlns:a16="http://schemas.microsoft.com/office/drawing/2014/main" id="{00000000-0008-0000-0100-000019D80000}"/>
                </a:ext>
              </a:extLst>
            </xdr:cNvPr>
            <xdr:cNvSpPr/>
          </xdr:nvSpPr>
          <xdr:spPr bwMode="auto">
            <a:xfrm>
              <a:off x="0" y="0"/>
              <a:ext cx="0" cy="0"/>
            </a:xfrm>
            <a:prstGeom prst="rect">
              <a:avLst/>
            </a:prstGeom>
            <a:noFill/>
            <a:ln w="9525">
              <a:miter lim="800000"/>
              <a:headEnd/>
              <a:tailEnd/>
            </a:ln>
          </xdr:spPr>
          <xdr:txBody>
            <a:bodyPr vertOverflow="clip" wrap="square" lIns="64008" tIns="45720" rIns="64008" bIns="45720" anchor="ctr" upright="1"/>
            <a:lstStyle/>
            <a:p>
              <a:pPr algn="ctr" rtl="0">
                <a:defRPr sz="1000"/>
              </a:pPr>
              <a:r>
                <a:rPr lang="en-US" sz="800" b="0" i="0" u="none" strike="noStrike" baseline="0">
                  <a:solidFill>
                    <a:srgbClr val="000000"/>
                  </a:solidFill>
                  <a:latin typeface="Arial"/>
                  <a:cs typeface="Arial"/>
                </a:rPr>
                <a:t>AEUB Vent Blow Form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612321</xdr:colOff>
          <xdr:row>13</xdr:row>
          <xdr:rowOff>48986</xdr:rowOff>
        </xdr:from>
        <xdr:to>
          <xdr:col>3</xdr:col>
          <xdr:colOff>601436</xdr:colOff>
          <xdr:row>15</xdr:row>
          <xdr:rowOff>19050</xdr:rowOff>
        </xdr:to>
        <xdr:sp macro="" textlink="">
          <xdr:nvSpPr>
            <xdr:cNvPr id="55322" name="Button 26" hidden="1">
              <a:extLst>
                <a:ext uri="{63B3BB69-23CF-44E3-9099-C40C66FF867C}">
                  <a14:compatExt spid="_x0000_s55322"/>
                </a:ext>
                <a:ext uri="{FF2B5EF4-FFF2-40B4-BE49-F238E27FC236}">
                  <a16:creationId xmlns:a16="http://schemas.microsoft.com/office/drawing/2014/main" id="{00000000-0008-0000-0100-00001A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Depth Calculator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612321</xdr:colOff>
          <xdr:row>15</xdr:row>
          <xdr:rowOff>19050</xdr:rowOff>
        </xdr:from>
        <xdr:to>
          <xdr:col>3</xdr:col>
          <xdr:colOff>601436</xdr:colOff>
          <xdr:row>16</xdr:row>
          <xdr:rowOff>152400</xdr:rowOff>
        </xdr:to>
        <xdr:sp macro="" textlink="">
          <xdr:nvSpPr>
            <xdr:cNvPr id="55323" name="Button 27" hidden="1">
              <a:extLst>
                <a:ext uri="{63B3BB69-23CF-44E3-9099-C40C66FF867C}">
                  <a14:compatExt spid="_x0000_s55323"/>
                </a:ext>
                <a:ext uri="{FF2B5EF4-FFF2-40B4-BE49-F238E27FC236}">
                  <a16:creationId xmlns:a16="http://schemas.microsoft.com/office/drawing/2014/main" id="{00000000-0008-0000-0100-00001B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Coefficients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593271</xdr:colOff>
          <xdr:row>4</xdr:row>
          <xdr:rowOff>76200</xdr:rowOff>
        </xdr:from>
        <xdr:to>
          <xdr:col>5</xdr:col>
          <xdr:colOff>582386</xdr:colOff>
          <xdr:row>6</xdr:row>
          <xdr:rowOff>38100</xdr:rowOff>
        </xdr:to>
        <xdr:sp macro="" textlink="">
          <xdr:nvSpPr>
            <xdr:cNvPr id="55324" name="Button 28" hidden="1">
              <a:extLst>
                <a:ext uri="{63B3BB69-23CF-44E3-9099-C40C66FF867C}">
                  <a14:compatExt spid="_x0000_s55324"/>
                </a:ext>
                <a:ext uri="{FF2B5EF4-FFF2-40B4-BE49-F238E27FC236}">
                  <a16:creationId xmlns:a16="http://schemas.microsoft.com/office/drawing/2014/main" id="{00000000-0008-0000-0100-00001C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Graphics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593271</xdr:colOff>
          <xdr:row>6</xdr:row>
          <xdr:rowOff>38100</xdr:rowOff>
        </xdr:from>
        <xdr:to>
          <xdr:col>5</xdr:col>
          <xdr:colOff>582386</xdr:colOff>
          <xdr:row>7</xdr:row>
          <xdr:rowOff>160564</xdr:rowOff>
        </xdr:to>
        <xdr:sp macro="" textlink="">
          <xdr:nvSpPr>
            <xdr:cNvPr id="55325" name="Button 29" hidden="1">
              <a:extLst>
                <a:ext uri="{63B3BB69-23CF-44E3-9099-C40C66FF867C}">
                  <a14:compatExt spid="_x0000_s55325"/>
                </a:ext>
                <a:ext uri="{FF2B5EF4-FFF2-40B4-BE49-F238E27FC236}">
                  <a16:creationId xmlns:a16="http://schemas.microsoft.com/office/drawing/2014/main" id="{00000000-0008-0000-0100-00001D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Schematic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593271</xdr:colOff>
          <xdr:row>9</xdr:row>
          <xdr:rowOff>106136</xdr:rowOff>
        </xdr:from>
        <xdr:to>
          <xdr:col>5</xdr:col>
          <xdr:colOff>582386</xdr:colOff>
          <xdr:row>11</xdr:row>
          <xdr:rowOff>76200</xdr:rowOff>
        </xdr:to>
        <xdr:sp macro="" textlink="">
          <xdr:nvSpPr>
            <xdr:cNvPr id="55327" name="Button 31" hidden="1">
              <a:extLst>
                <a:ext uri="{63B3BB69-23CF-44E3-9099-C40C66FF867C}">
                  <a14:compatExt spid="_x0000_s55327"/>
                </a:ext>
                <a:ext uri="{FF2B5EF4-FFF2-40B4-BE49-F238E27FC236}">
                  <a16:creationId xmlns:a16="http://schemas.microsoft.com/office/drawing/2014/main" id="{00000000-0008-0000-0100-00001F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Tubing &amp; Rod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593271</xdr:colOff>
          <xdr:row>13</xdr:row>
          <xdr:rowOff>48986</xdr:rowOff>
        </xdr:from>
        <xdr:to>
          <xdr:col>5</xdr:col>
          <xdr:colOff>582386</xdr:colOff>
          <xdr:row>15</xdr:row>
          <xdr:rowOff>19050</xdr:rowOff>
        </xdr:to>
        <xdr:sp macro="" textlink="">
          <xdr:nvSpPr>
            <xdr:cNvPr id="55329" name="Button 33" hidden="1">
              <a:extLst>
                <a:ext uri="{63B3BB69-23CF-44E3-9099-C40C66FF867C}">
                  <a14:compatExt spid="_x0000_s55329"/>
                </a:ext>
                <a:ext uri="{FF2B5EF4-FFF2-40B4-BE49-F238E27FC236}">
                  <a16:creationId xmlns:a16="http://schemas.microsoft.com/office/drawing/2014/main" id="{00000000-0008-0000-0100-000021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Program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593271</xdr:colOff>
          <xdr:row>15</xdr:row>
          <xdr:rowOff>19050</xdr:rowOff>
        </xdr:from>
        <xdr:to>
          <xdr:col>5</xdr:col>
          <xdr:colOff>582386</xdr:colOff>
          <xdr:row>16</xdr:row>
          <xdr:rowOff>152400</xdr:rowOff>
        </xdr:to>
        <xdr:sp macro="" textlink="">
          <xdr:nvSpPr>
            <xdr:cNvPr id="55330" name="Button 34" hidden="1">
              <a:extLst>
                <a:ext uri="{63B3BB69-23CF-44E3-9099-C40C66FF867C}">
                  <a14:compatExt spid="_x0000_s55330"/>
                </a:ext>
                <a:ext uri="{FF2B5EF4-FFF2-40B4-BE49-F238E27FC236}">
                  <a16:creationId xmlns:a16="http://schemas.microsoft.com/office/drawing/2014/main" id="{00000000-0008-0000-0100-000022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Cover Page/Index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620486</xdr:colOff>
          <xdr:row>6</xdr:row>
          <xdr:rowOff>38100</xdr:rowOff>
        </xdr:from>
        <xdr:to>
          <xdr:col>3</xdr:col>
          <xdr:colOff>601436</xdr:colOff>
          <xdr:row>7</xdr:row>
          <xdr:rowOff>152400</xdr:rowOff>
        </xdr:to>
        <xdr:sp macro="" textlink="">
          <xdr:nvSpPr>
            <xdr:cNvPr id="55333" name="Button 37" hidden="1">
              <a:extLst>
                <a:ext uri="{63B3BB69-23CF-44E3-9099-C40C66FF867C}">
                  <a14:compatExt spid="_x0000_s55333"/>
                </a:ext>
                <a:ext uri="{FF2B5EF4-FFF2-40B4-BE49-F238E27FC236}">
                  <a16:creationId xmlns:a16="http://schemas.microsoft.com/office/drawing/2014/main" id="{00000000-0008-0000-0100-000025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AFE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593271</xdr:colOff>
          <xdr:row>11</xdr:row>
          <xdr:rowOff>76200</xdr:rowOff>
        </xdr:from>
        <xdr:to>
          <xdr:col>5</xdr:col>
          <xdr:colOff>582386</xdr:colOff>
          <xdr:row>13</xdr:row>
          <xdr:rowOff>38100</xdr:rowOff>
        </xdr:to>
        <xdr:sp macro="" textlink="">
          <xdr:nvSpPr>
            <xdr:cNvPr id="55334" name="Button 38" hidden="1">
              <a:extLst>
                <a:ext uri="{63B3BB69-23CF-44E3-9099-C40C66FF867C}">
                  <a14:compatExt spid="_x0000_s55334"/>
                </a:ext>
                <a:ext uri="{FF2B5EF4-FFF2-40B4-BE49-F238E27FC236}">
                  <a16:creationId xmlns:a16="http://schemas.microsoft.com/office/drawing/2014/main" id="{00000000-0008-0000-0100-000026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Voucher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582386</xdr:colOff>
          <xdr:row>4</xdr:row>
          <xdr:rowOff>76200</xdr:rowOff>
        </xdr:from>
        <xdr:to>
          <xdr:col>7</xdr:col>
          <xdr:colOff>571500</xdr:colOff>
          <xdr:row>6</xdr:row>
          <xdr:rowOff>38100</xdr:rowOff>
        </xdr:to>
        <xdr:sp macro="" textlink="">
          <xdr:nvSpPr>
            <xdr:cNvPr id="55336" name="Button 40" hidden="1">
              <a:extLst>
                <a:ext uri="{63B3BB69-23CF-44E3-9099-C40C66FF867C}">
                  <a14:compatExt spid="_x0000_s55336"/>
                </a:ext>
                <a:ext uri="{FF2B5EF4-FFF2-40B4-BE49-F238E27FC236}">
                  <a16:creationId xmlns:a16="http://schemas.microsoft.com/office/drawing/2014/main" id="{00000000-0008-0000-0100-000028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OG&amp;C Notification</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582386</xdr:colOff>
          <xdr:row>6</xdr:row>
          <xdr:rowOff>38100</xdr:rowOff>
        </xdr:from>
        <xdr:to>
          <xdr:col>7</xdr:col>
          <xdr:colOff>571500</xdr:colOff>
          <xdr:row>7</xdr:row>
          <xdr:rowOff>160564</xdr:rowOff>
        </xdr:to>
        <xdr:sp macro="" textlink="">
          <xdr:nvSpPr>
            <xdr:cNvPr id="55337" name="Button 41" hidden="1">
              <a:extLst>
                <a:ext uri="{63B3BB69-23CF-44E3-9099-C40C66FF867C}">
                  <a14:compatExt spid="_x0000_s55337"/>
                </a:ext>
                <a:ext uri="{FF2B5EF4-FFF2-40B4-BE49-F238E27FC236}">
                  <a16:creationId xmlns:a16="http://schemas.microsoft.com/office/drawing/2014/main" id="{00000000-0008-0000-0100-000029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Rentals</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582386</xdr:colOff>
          <xdr:row>7</xdr:row>
          <xdr:rowOff>160564</xdr:rowOff>
        </xdr:from>
        <xdr:to>
          <xdr:col>7</xdr:col>
          <xdr:colOff>571500</xdr:colOff>
          <xdr:row>9</xdr:row>
          <xdr:rowOff>106136</xdr:rowOff>
        </xdr:to>
        <xdr:sp macro="" textlink="">
          <xdr:nvSpPr>
            <xdr:cNvPr id="55339" name="Button 43" hidden="1">
              <a:extLst>
                <a:ext uri="{63B3BB69-23CF-44E3-9099-C40C66FF867C}">
                  <a14:compatExt spid="_x0000_s55339"/>
                </a:ext>
                <a:ext uri="{FF2B5EF4-FFF2-40B4-BE49-F238E27FC236}">
                  <a16:creationId xmlns:a16="http://schemas.microsoft.com/office/drawing/2014/main" id="{00000000-0008-0000-0100-00002B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Print Checklist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582386</xdr:colOff>
          <xdr:row>9</xdr:row>
          <xdr:rowOff>106136</xdr:rowOff>
        </xdr:from>
        <xdr:to>
          <xdr:col>7</xdr:col>
          <xdr:colOff>571500</xdr:colOff>
          <xdr:row>11</xdr:row>
          <xdr:rowOff>76200</xdr:rowOff>
        </xdr:to>
        <xdr:sp macro="" textlink="">
          <xdr:nvSpPr>
            <xdr:cNvPr id="55340" name="Button 44" hidden="1">
              <a:extLst>
                <a:ext uri="{63B3BB69-23CF-44E3-9099-C40C66FF867C}">
                  <a14:compatExt spid="_x0000_s55340"/>
                </a:ext>
                <a:ext uri="{FF2B5EF4-FFF2-40B4-BE49-F238E27FC236}">
                  <a16:creationId xmlns:a16="http://schemas.microsoft.com/office/drawing/2014/main" id="{00000000-0008-0000-0100-00002C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Register</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152400</xdr:rowOff>
        </xdr:from>
        <xdr:to>
          <xdr:col>1</xdr:col>
          <xdr:colOff>620486</xdr:colOff>
          <xdr:row>18</xdr:row>
          <xdr:rowOff>125186</xdr:rowOff>
        </xdr:to>
        <xdr:sp macro="" textlink="">
          <xdr:nvSpPr>
            <xdr:cNvPr id="55341" name="Button 45" hidden="1">
              <a:extLst>
                <a:ext uri="{63B3BB69-23CF-44E3-9099-C40C66FF867C}">
                  <a14:compatExt spid="_x0000_s55341"/>
                </a:ext>
                <a:ext uri="{FF2B5EF4-FFF2-40B4-BE49-F238E27FC236}">
                  <a16:creationId xmlns:a16="http://schemas.microsoft.com/office/drawing/2014/main" id="{00000000-0008-0000-0100-00002D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DDS Submission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593271</xdr:colOff>
          <xdr:row>19</xdr:row>
          <xdr:rowOff>133350</xdr:rowOff>
        </xdr:from>
        <xdr:to>
          <xdr:col>6</xdr:col>
          <xdr:colOff>157843</xdr:colOff>
          <xdr:row>22</xdr:row>
          <xdr:rowOff>144236</xdr:rowOff>
        </xdr:to>
        <xdr:sp macro="" textlink="">
          <xdr:nvSpPr>
            <xdr:cNvPr id="55342" name="Button 46" hidden="1">
              <a:extLst>
                <a:ext uri="{63B3BB69-23CF-44E3-9099-C40C66FF867C}">
                  <a14:compatExt spid="_x0000_s55342"/>
                </a:ext>
                <a:ext uri="{FF2B5EF4-FFF2-40B4-BE49-F238E27FC236}">
                  <a16:creationId xmlns:a16="http://schemas.microsoft.com/office/drawing/2014/main" id="{00000000-0008-0000-0100-00002ED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DATA SHEET</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50</xdr:row>
      <xdr:rowOff>152400</xdr:rowOff>
    </xdr:to>
    <xdr:pic>
      <xdr:nvPicPr>
        <xdr:cNvPr id="65545" name="Picture 1" descr="Index Page">
          <a:extLst>
            <a:ext uri="{FF2B5EF4-FFF2-40B4-BE49-F238E27FC236}">
              <a16:creationId xmlns:a16="http://schemas.microsoft.com/office/drawing/2014/main" id="{DFD959F0-8635-1ADB-3238-3A7C5C942A5F}"/>
            </a:ext>
          </a:extLst>
        </xdr:cNvPr>
        <xdr:cNvPicPr>
          <a:picLocks noChangeAspect="1" noChangeArrowheads="1"/>
        </xdr:cNvPicPr>
      </xdr:nvPicPr>
      <xdr:blipFill>
        <a:blip xmlns:r="http://schemas.openxmlformats.org/officeDocument/2006/relationships" r:embed="rId1">
          <a:lum bright="-24000" contrast="54000"/>
          <a:extLst>
            <a:ext uri="{28A0092B-C50C-407E-A947-70E740481C1C}">
              <a14:useLocalDpi xmlns:a14="http://schemas.microsoft.com/office/drawing/2010/main" val="0"/>
            </a:ext>
          </a:extLst>
        </a:blip>
        <a:srcRect/>
        <a:stretch>
          <a:fillRect/>
        </a:stretch>
      </xdr:blipFill>
      <xdr:spPr bwMode="auto">
        <a:xfrm>
          <a:off x="0" y="0"/>
          <a:ext cx="5682343" cy="8319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492579</xdr:colOff>
      <xdr:row>39</xdr:row>
      <xdr:rowOff>69396</xdr:rowOff>
    </xdr:from>
    <xdr:to>
      <xdr:col>5</xdr:col>
      <xdr:colOff>473529</xdr:colOff>
      <xdr:row>41</xdr:row>
      <xdr:rowOff>57161</xdr:rowOff>
    </xdr:to>
    <xdr:sp macro="" textlink="">
      <xdr:nvSpPr>
        <xdr:cNvPr id="65540" name="Rectangle 4">
          <a:extLst>
            <a:ext uri="{FF2B5EF4-FFF2-40B4-BE49-F238E27FC236}">
              <a16:creationId xmlns:a16="http://schemas.microsoft.com/office/drawing/2014/main" id="{B7D35CC7-82F7-10B9-D03B-2E3FC015BA67}"/>
            </a:ext>
          </a:extLst>
        </xdr:cNvPr>
        <xdr:cNvSpPr>
          <a:spLocks noChangeArrowheads="1"/>
        </xdr:cNvSpPr>
      </xdr:nvSpPr>
      <xdr:spPr bwMode="auto">
        <a:xfrm>
          <a:off x="476250" y="6381750"/>
          <a:ext cx="3028950" cy="314325"/>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000" b="1" i="0" u="none" strike="noStrike" baseline="0">
              <a:solidFill>
                <a:srgbClr val="000000"/>
              </a:solidFill>
              <a:latin typeface="Arial Black"/>
            </a:rPr>
            <a:t>BIDS AND QUOTES</a:t>
          </a:r>
        </a:p>
      </xdr:txBody>
    </xdr:sp>
    <xdr:clientData/>
  </xdr:twoCellAnchor>
  <mc:AlternateContent xmlns:mc="http://schemas.openxmlformats.org/markup-compatibility/2006">
    <mc:Choice xmlns:a14="http://schemas.microsoft.com/office/drawing/2010/main" Requires="a14">
      <xdr:twoCellAnchor editAs="oneCell">
        <xdr:from>
          <xdr:col>15</xdr:col>
          <xdr:colOff>503464</xdr:colOff>
          <xdr:row>0</xdr:row>
          <xdr:rowOff>48986</xdr:rowOff>
        </xdr:from>
        <xdr:to>
          <xdr:col>17</xdr:col>
          <xdr:colOff>571500</xdr:colOff>
          <xdr:row>1</xdr:row>
          <xdr:rowOff>87086</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1300-00000200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78921</xdr:colOff>
          <xdr:row>0</xdr:row>
          <xdr:rowOff>29936</xdr:rowOff>
        </xdr:from>
        <xdr:to>
          <xdr:col>11</xdr:col>
          <xdr:colOff>146957</xdr:colOff>
          <xdr:row>1</xdr:row>
          <xdr:rowOff>68036</xdr:rowOff>
        </xdr:to>
        <xdr:sp macro="" textlink="">
          <xdr:nvSpPr>
            <xdr:cNvPr id="65539" name="Button 3" hidden="1">
              <a:extLst>
                <a:ext uri="{63B3BB69-23CF-44E3-9099-C40C66FF867C}">
                  <a14:compatExt spid="_x0000_s65539"/>
                </a:ext>
                <a:ext uri="{FF2B5EF4-FFF2-40B4-BE49-F238E27FC236}">
                  <a16:creationId xmlns:a16="http://schemas.microsoft.com/office/drawing/2014/main" id="{00000000-0008-0000-1300-00000300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48986</xdr:colOff>
          <xdr:row>1</xdr:row>
          <xdr:rowOff>48986</xdr:rowOff>
        </xdr:to>
        <xdr:sp macro="" textlink="">
          <xdr:nvSpPr>
            <xdr:cNvPr id="43010" name="Button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1</xdr:col>
      <xdr:colOff>334736</xdr:colOff>
      <xdr:row>11</xdr:row>
      <xdr:rowOff>38100</xdr:rowOff>
    </xdr:from>
    <xdr:to>
      <xdr:col>3</xdr:col>
      <xdr:colOff>234043</xdr:colOff>
      <xdr:row>17</xdr:row>
      <xdr:rowOff>127907</xdr:rowOff>
    </xdr:to>
    <xdr:pic>
      <xdr:nvPicPr>
        <xdr:cNvPr id="3234" name="0">
          <a:extLst>
            <a:ext uri="{FF2B5EF4-FFF2-40B4-BE49-F238E27FC236}">
              <a16:creationId xmlns:a16="http://schemas.microsoft.com/office/drawing/2014/main" id="{A323C712-672C-4055-4363-10875AEAA5F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6107" y="1951264"/>
          <a:ext cx="1194707" cy="111306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xdr:from>
      <xdr:col>1</xdr:col>
      <xdr:colOff>435429</xdr:colOff>
      <xdr:row>17</xdr:row>
      <xdr:rowOff>127907</xdr:rowOff>
    </xdr:from>
    <xdr:to>
      <xdr:col>3</xdr:col>
      <xdr:colOff>163286</xdr:colOff>
      <xdr:row>71</xdr:row>
      <xdr:rowOff>152400</xdr:rowOff>
    </xdr:to>
    <xdr:sp macro="" textlink="">
      <xdr:nvSpPr>
        <xdr:cNvPr id="3236" name="Freeform 141" descr="Large confetti">
          <a:extLst>
            <a:ext uri="{FF2B5EF4-FFF2-40B4-BE49-F238E27FC236}">
              <a16:creationId xmlns:a16="http://schemas.microsoft.com/office/drawing/2014/main" id="{F2D7C868-4F47-4493-3BD1-89F182EBF3D4}"/>
            </a:ext>
          </a:extLst>
        </xdr:cNvPr>
        <xdr:cNvSpPr>
          <a:spLocks/>
        </xdr:cNvSpPr>
      </xdr:nvSpPr>
      <xdr:spPr bwMode="auto">
        <a:xfrm>
          <a:off x="1066800" y="3064329"/>
          <a:ext cx="1023257" cy="9073242"/>
        </a:xfrm>
        <a:custGeom>
          <a:avLst/>
          <a:gdLst>
            <a:gd name="T0" fmla="*/ 687585 w 189"/>
            <a:gd name="T1" fmla="*/ 12345 h 735"/>
            <a:gd name="T2" fmla="*/ 687585 w 189"/>
            <a:gd name="T3" fmla="*/ 8579460 h 735"/>
            <a:gd name="T4" fmla="*/ 254461 w 189"/>
            <a:gd name="T5" fmla="*/ 8579460 h 735"/>
            <a:gd name="T6" fmla="*/ 243633 w 189"/>
            <a:gd name="T7" fmla="*/ 0 h 735"/>
            <a:gd name="T8" fmla="*/ 48727 w 189"/>
            <a:gd name="T9" fmla="*/ 24689 h 735"/>
            <a:gd name="T10" fmla="*/ 59555 w 189"/>
            <a:gd name="T11" fmla="*/ 74067 h 735"/>
            <a:gd name="T12" fmla="*/ 48727 w 189"/>
            <a:gd name="T13" fmla="*/ 629572 h 735"/>
            <a:gd name="T14" fmla="*/ 5414 w 189"/>
            <a:gd name="T15" fmla="*/ 938186 h 735"/>
            <a:gd name="T16" fmla="*/ 27070 w 189"/>
            <a:gd name="T17" fmla="*/ 1209766 h 735"/>
            <a:gd name="T18" fmla="*/ 37898 w 189"/>
            <a:gd name="T19" fmla="*/ 1826993 h 735"/>
            <a:gd name="T20" fmla="*/ 59555 w 189"/>
            <a:gd name="T21" fmla="*/ 2962691 h 735"/>
            <a:gd name="T22" fmla="*/ 81211 w 189"/>
            <a:gd name="T23" fmla="*/ 3826810 h 735"/>
            <a:gd name="T24" fmla="*/ 70383 w 189"/>
            <a:gd name="T25" fmla="*/ 4456381 h 735"/>
            <a:gd name="T26" fmla="*/ 59555 w 189"/>
            <a:gd name="T27" fmla="*/ 4715617 h 735"/>
            <a:gd name="T28" fmla="*/ 81211 w 189"/>
            <a:gd name="T29" fmla="*/ 5209399 h 735"/>
            <a:gd name="T30" fmla="*/ 48727 w 189"/>
            <a:gd name="T31" fmla="*/ 5727870 h 735"/>
            <a:gd name="T32" fmla="*/ 81211 w 189"/>
            <a:gd name="T33" fmla="*/ 6085862 h 735"/>
            <a:gd name="T34" fmla="*/ 70383 w 189"/>
            <a:gd name="T35" fmla="*/ 6369786 h 735"/>
            <a:gd name="T36" fmla="*/ 48727 w 189"/>
            <a:gd name="T37" fmla="*/ 6715434 h 735"/>
            <a:gd name="T38" fmla="*/ 81211 w 189"/>
            <a:gd name="T39" fmla="*/ 6875913 h 735"/>
            <a:gd name="T40" fmla="*/ 43312 w 189"/>
            <a:gd name="T41" fmla="*/ 7147493 h 735"/>
            <a:gd name="T42" fmla="*/ 70383 w 189"/>
            <a:gd name="T43" fmla="*/ 7777065 h 735"/>
            <a:gd name="T44" fmla="*/ 21656 w 189"/>
            <a:gd name="T45" fmla="*/ 8369603 h 735"/>
            <a:gd name="T46" fmla="*/ 59555 w 189"/>
            <a:gd name="T47" fmla="*/ 8665872 h 735"/>
            <a:gd name="T48" fmla="*/ 216562 w 189"/>
            <a:gd name="T49" fmla="*/ 9023864 h 735"/>
            <a:gd name="T50" fmla="*/ 498093 w 189"/>
            <a:gd name="T51" fmla="*/ 8999175 h 735"/>
            <a:gd name="T52" fmla="*/ 606375 w 189"/>
            <a:gd name="T53" fmla="*/ 9073242 h 735"/>
            <a:gd name="T54" fmla="*/ 817523 w 189"/>
            <a:gd name="T55" fmla="*/ 9023864 h 735"/>
            <a:gd name="T56" fmla="*/ 904148 w 189"/>
            <a:gd name="T57" fmla="*/ 8888074 h 735"/>
            <a:gd name="T58" fmla="*/ 893320 w 189"/>
            <a:gd name="T59" fmla="*/ 7999266 h 735"/>
            <a:gd name="T60" fmla="*/ 914976 w 189"/>
            <a:gd name="T61" fmla="*/ 7678308 h 735"/>
            <a:gd name="T62" fmla="*/ 871663 w 189"/>
            <a:gd name="T63" fmla="*/ 7048736 h 735"/>
            <a:gd name="T64" fmla="*/ 909562 w 189"/>
            <a:gd name="T65" fmla="*/ 6159929 h 735"/>
            <a:gd name="T66" fmla="*/ 947460 w 189"/>
            <a:gd name="T67" fmla="*/ 5764903 h 735"/>
            <a:gd name="T68" fmla="*/ 914976 w 189"/>
            <a:gd name="T69" fmla="*/ 5061264 h 735"/>
            <a:gd name="T70" fmla="*/ 925804 w 189"/>
            <a:gd name="T71" fmla="*/ 4221835 h 735"/>
            <a:gd name="T72" fmla="*/ 947460 w 189"/>
            <a:gd name="T73" fmla="*/ 3962600 h 735"/>
            <a:gd name="T74" fmla="*/ 947460 w 189"/>
            <a:gd name="T75" fmla="*/ 2789868 h 735"/>
            <a:gd name="T76" fmla="*/ 969116 w 189"/>
            <a:gd name="T77" fmla="*/ 2481254 h 735"/>
            <a:gd name="T78" fmla="*/ 996187 w 189"/>
            <a:gd name="T79" fmla="*/ 2123262 h 735"/>
            <a:gd name="T80" fmla="*/ 1001601 w 189"/>
            <a:gd name="T81" fmla="*/ 1098665 h 735"/>
            <a:gd name="T82" fmla="*/ 1023257 w 189"/>
            <a:gd name="T83" fmla="*/ 654261 h 735"/>
            <a:gd name="T84" fmla="*/ 969116 w 189"/>
            <a:gd name="T85" fmla="*/ 271580 h 735"/>
            <a:gd name="T86" fmla="*/ 974530 w 189"/>
            <a:gd name="T87" fmla="*/ 24689 h 735"/>
            <a:gd name="T88" fmla="*/ 687585 w 189"/>
            <a:gd name="T89" fmla="*/ 12345 h 735"/>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189"/>
            <a:gd name="T136" fmla="*/ 0 h 735"/>
            <a:gd name="T137" fmla="*/ 189 w 189"/>
            <a:gd name="T138" fmla="*/ 735 h 735"/>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189" h="735">
              <a:moveTo>
                <a:pt x="127" y="1"/>
              </a:moveTo>
              <a:lnTo>
                <a:pt x="127" y="695"/>
              </a:lnTo>
              <a:lnTo>
                <a:pt x="47" y="695"/>
              </a:lnTo>
              <a:lnTo>
                <a:pt x="45" y="0"/>
              </a:lnTo>
              <a:cubicBezTo>
                <a:pt x="33" y="1"/>
                <a:pt x="21" y="0"/>
                <a:pt x="9" y="2"/>
              </a:cubicBezTo>
              <a:cubicBezTo>
                <a:pt x="8" y="2"/>
                <a:pt x="11" y="5"/>
                <a:pt x="11" y="6"/>
              </a:cubicBezTo>
              <a:cubicBezTo>
                <a:pt x="11" y="21"/>
                <a:pt x="10" y="36"/>
                <a:pt x="9" y="51"/>
              </a:cubicBezTo>
              <a:cubicBezTo>
                <a:pt x="8" y="60"/>
                <a:pt x="5" y="68"/>
                <a:pt x="1" y="76"/>
              </a:cubicBezTo>
              <a:cubicBezTo>
                <a:pt x="3" y="84"/>
                <a:pt x="4" y="90"/>
                <a:pt x="5" y="98"/>
              </a:cubicBezTo>
              <a:cubicBezTo>
                <a:pt x="4" y="114"/>
                <a:pt x="0" y="133"/>
                <a:pt x="7" y="148"/>
              </a:cubicBezTo>
              <a:cubicBezTo>
                <a:pt x="11" y="177"/>
                <a:pt x="0" y="212"/>
                <a:pt x="11" y="240"/>
              </a:cubicBezTo>
              <a:cubicBezTo>
                <a:pt x="9" y="263"/>
                <a:pt x="2" y="290"/>
                <a:pt x="15" y="310"/>
              </a:cubicBezTo>
              <a:cubicBezTo>
                <a:pt x="18" y="326"/>
                <a:pt x="14" y="345"/>
                <a:pt x="13" y="361"/>
              </a:cubicBezTo>
              <a:cubicBezTo>
                <a:pt x="12" y="368"/>
                <a:pt x="11" y="382"/>
                <a:pt x="11" y="382"/>
              </a:cubicBezTo>
              <a:cubicBezTo>
                <a:pt x="11" y="395"/>
                <a:pt x="10" y="410"/>
                <a:pt x="15" y="422"/>
              </a:cubicBezTo>
              <a:cubicBezTo>
                <a:pt x="14" y="438"/>
                <a:pt x="14" y="450"/>
                <a:pt x="9" y="464"/>
              </a:cubicBezTo>
              <a:cubicBezTo>
                <a:pt x="8" y="474"/>
                <a:pt x="9" y="484"/>
                <a:pt x="15" y="493"/>
              </a:cubicBezTo>
              <a:cubicBezTo>
                <a:pt x="17" y="501"/>
                <a:pt x="17" y="509"/>
                <a:pt x="13" y="516"/>
              </a:cubicBezTo>
              <a:cubicBezTo>
                <a:pt x="12" y="525"/>
                <a:pt x="13" y="535"/>
                <a:pt x="9" y="544"/>
              </a:cubicBezTo>
              <a:cubicBezTo>
                <a:pt x="10" y="549"/>
                <a:pt x="14" y="552"/>
                <a:pt x="15" y="557"/>
              </a:cubicBezTo>
              <a:cubicBezTo>
                <a:pt x="17" y="565"/>
                <a:pt x="8" y="579"/>
                <a:pt x="8" y="579"/>
              </a:cubicBezTo>
              <a:cubicBezTo>
                <a:pt x="6" y="597"/>
                <a:pt x="10" y="613"/>
                <a:pt x="13" y="630"/>
              </a:cubicBezTo>
              <a:cubicBezTo>
                <a:pt x="12" y="649"/>
                <a:pt x="10" y="661"/>
                <a:pt x="4" y="678"/>
              </a:cubicBezTo>
              <a:cubicBezTo>
                <a:pt x="6" y="690"/>
                <a:pt x="5" y="694"/>
                <a:pt x="11" y="702"/>
              </a:cubicBezTo>
              <a:cubicBezTo>
                <a:pt x="15" y="715"/>
                <a:pt x="28" y="725"/>
                <a:pt x="40" y="731"/>
              </a:cubicBezTo>
              <a:cubicBezTo>
                <a:pt x="61" y="729"/>
                <a:pt x="72" y="728"/>
                <a:pt x="92" y="729"/>
              </a:cubicBezTo>
              <a:cubicBezTo>
                <a:pt x="99" y="732"/>
                <a:pt x="105" y="733"/>
                <a:pt x="112" y="735"/>
              </a:cubicBezTo>
              <a:cubicBezTo>
                <a:pt x="125" y="734"/>
                <a:pt x="138" y="732"/>
                <a:pt x="151" y="731"/>
              </a:cubicBezTo>
              <a:cubicBezTo>
                <a:pt x="161" y="729"/>
                <a:pt x="162" y="727"/>
                <a:pt x="167" y="720"/>
              </a:cubicBezTo>
              <a:cubicBezTo>
                <a:pt x="165" y="696"/>
                <a:pt x="163" y="673"/>
                <a:pt x="165" y="648"/>
              </a:cubicBezTo>
              <a:cubicBezTo>
                <a:pt x="166" y="639"/>
                <a:pt x="169" y="622"/>
                <a:pt x="169" y="622"/>
              </a:cubicBezTo>
              <a:cubicBezTo>
                <a:pt x="168" y="604"/>
                <a:pt x="169" y="587"/>
                <a:pt x="161" y="571"/>
              </a:cubicBezTo>
              <a:cubicBezTo>
                <a:pt x="156" y="548"/>
                <a:pt x="160" y="521"/>
                <a:pt x="168" y="499"/>
              </a:cubicBezTo>
              <a:cubicBezTo>
                <a:pt x="169" y="489"/>
                <a:pt x="171" y="476"/>
                <a:pt x="175" y="467"/>
              </a:cubicBezTo>
              <a:cubicBezTo>
                <a:pt x="174" y="448"/>
                <a:pt x="172" y="429"/>
                <a:pt x="169" y="410"/>
              </a:cubicBezTo>
              <a:cubicBezTo>
                <a:pt x="168" y="387"/>
                <a:pt x="167" y="365"/>
                <a:pt x="171" y="342"/>
              </a:cubicBezTo>
              <a:cubicBezTo>
                <a:pt x="172" y="332"/>
                <a:pt x="170" y="328"/>
                <a:pt x="175" y="321"/>
              </a:cubicBezTo>
              <a:cubicBezTo>
                <a:pt x="178" y="289"/>
                <a:pt x="176" y="258"/>
                <a:pt x="175" y="226"/>
              </a:cubicBezTo>
              <a:cubicBezTo>
                <a:pt x="176" y="217"/>
                <a:pt x="176" y="209"/>
                <a:pt x="179" y="201"/>
              </a:cubicBezTo>
              <a:cubicBezTo>
                <a:pt x="180" y="191"/>
                <a:pt x="182" y="182"/>
                <a:pt x="184" y="172"/>
              </a:cubicBezTo>
              <a:cubicBezTo>
                <a:pt x="185" y="144"/>
                <a:pt x="187" y="117"/>
                <a:pt x="185" y="89"/>
              </a:cubicBezTo>
              <a:cubicBezTo>
                <a:pt x="186" y="77"/>
                <a:pt x="188" y="65"/>
                <a:pt x="189" y="53"/>
              </a:cubicBezTo>
              <a:cubicBezTo>
                <a:pt x="187" y="42"/>
                <a:pt x="182" y="33"/>
                <a:pt x="179" y="22"/>
              </a:cubicBezTo>
              <a:cubicBezTo>
                <a:pt x="180" y="7"/>
                <a:pt x="180" y="14"/>
                <a:pt x="180" y="2"/>
              </a:cubicBezTo>
              <a:lnTo>
                <a:pt x="127" y="1"/>
              </a:lnTo>
              <a:close/>
            </a:path>
          </a:pathLst>
        </a:custGeom>
        <a:blipFill dpi="0" rotWithShape="0">
          <a:blip xmlns:r="http://schemas.openxmlformats.org/officeDocument/2006/relationships" r:embed="rId2"/>
          <a:srcRect/>
          <a:tile tx="0" ty="0" sx="100000" sy="100000" flip="none" algn="tl"/>
        </a:blipFill>
        <a:ln w="9525" cap="flat" cmpd="sng">
          <a:solidFill>
            <a:srgbClr val="000000"/>
          </a:solidFill>
          <a:prstDash val="solid"/>
          <a:round/>
          <a:headEnd/>
          <a:tailEnd/>
        </a:ln>
      </xdr:spPr>
    </xdr:sp>
    <xdr:clientData/>
  </xdr:twoCellAnchor>
  <xdr:twoCellAnchor>
    <xdr:from>
      <xdr:col>1</xdr:col>
      <xdr:colOff>506186</xdr:colOff>
      <xdr:row>66</xdr:row>
      <xdr:rowOff>68036</xdr:rowOff>
    </xdr:from>
    <xdr:to>
      <xdr:col>2</xdr:col>
      <xdr:colOff>70757</xdr:colOff>
      <xdr:row>68</xdr:row>
      <xdr:rowOff>144236</xdr:rowOff>
    </xdr:to>
    <xdr:sp macro="" textlink="">
      <xdr:nvSpPr>
        <xdr:cNvPr id="3237" name="AutoShape 148">
          <a:extLst>
            <a:ext uri="{FF2B5EF4-FFF2-40B4-BE49-F238E27FC236}">
              <a16:creationId xmlns:a16="http://schemas.microsoft.com/office/drawing/2014/main" id="{93F26EDE-87E1-5F5F-7B41-628117E6A7B7}"/>
            </a:ext>
          </a:extLst>
        </xdr:cNvPr>
        <xdr:cNvSpPr>
          <a:spLocks noChangeArrowheads="1"/>
        </xdr:cNvSpPr>
      </xdr:nvSpPr>
      <xdr:spPr bwMode="auto">
        <a:xfrm rot="2715337">
          <a:off x="1040946" y="11330668"/>
          <a:ext cx="405493" cy="212272"/>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2</xdr:col>
      <xdr:colOff>334736</xdr:colOff>
      <xdr:row>67</xdr:row>
      <xdr:rowOff>0</xdr:rowOff>
    </xdr:from>
    <xdr:to>
      <xdr:col>3</xdr:col>
      <xdr:colOff>111579</xdr:colOff>
      <xdr:row>68</xdr:row>
      <xdr:rowOff>48986</xdr:rowOff>
    </xdr:to>
    <xdr:sp macro="" textlink="">
      <xdr:nvSpPr>
        <xdr:cNvPr id="3238" name="AutoShape 150">
          <a:extLst>
            <a:ext uri="{FF2B5EF4-FFF2-40B4-BE49-F238E27FC236}">
              <a16:creationId xmlns:a16="http://schemas.microsoft.com/office/drawing/2014/main" id="{1B06F25E-E27E-F20C-3D70-6C4082C63E0C}"/>
            </a:ext>
          </a:extLst>
        </xdr:cNvPr>
        <xdr:cNvSpPr>
          <a:spLocks noChangeArrowheads="1"/>
        </xdr:cNvSpPr>
      </xdr:nvSpPr>
      <xdr:spPr bwMode="auto">
        <a:xfrm rot="-2615918">
          <a:off x="1613807" y="11332029"/>
          <a:ext cx="424543" cy="212271"/>
        </a:xfrm>
        <a:prstGeom prst="triangle">
          <a:avLst>
            <a:gd name="adj" fmla="val 50000"/>
          </a:avLst>
        </a:prstGeom>
        <a:solidFill>
          <a:srgbClr val="FF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10</xdr:col>
          <xdr:colOff>40821</xdr:colOff>
          <xdr:row>1</xdr:row>
          <xdr:rowOff>57150</xdr:rowOff>
        </xdr:from>
        <xdr:to>
          <xdr:col>12</xdr:col>
          <xdr:colOff>10886</xdr:colOff>
          <xdr:row>3</xdr:row>
          <xdr:rowOff>29936</xdr:rowOff>
        </xdr:to>
        <xdr:sp macro="" textlink="">
          <xdr:nvSpPr>
            <xdr:cNvPr id="3209" name="Button 137" hidden="1">
              <a:extLst>
                <a:ext uri="{63B3BB69-23CF-44E3-9099-C40C66FF867C}">
                  <a14:compatExt spid="_x0000_s3209"/>
                </a:ext>
                <a:ext uri="{FF2B5EF4-FFF2-40B4-BE49-F238E27FC236}">
                  <a16:creationId xmlns:a16="http://schemas.microsoft.com/office/drawing/2014/main" id="{00000000-0008-0000-1500-0000890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Graphics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40821</xdr:colOff>
          <xdr:row>3</xdr:row>
          <xdr:rowOff>57150</xdr:rowOff>
        </xdr:from>
        <xdr:to>
          <xdr:col>12</xdr:col>
          <xdr:colOff>19050</xdr:colOff>
          <xdr:row>4</xdr:row>
          <xdr:rowOff>108857</xdr:rowOff>
        </xdr:to>
        <xdr:sp macro="" textlink="">
          <xdr:nvSpPr>
            <xdr:cNvPr id="3218" name="Button 146" hidden="1">
              <a:extLst>
                <a:ext uri="{63B3BB69-23CF-44E3-9099-C40C66FF867C}">
                  <a14:compatExt spid="_x0000_s3218"/>
                </a:ext>
                <a:ext uri="{FF2B5EF4-FFF2-40B4-BE49-F238E27FC236}">
                  <a16:creationId xmlns:a16="http://schemas.microsoft.com/office/drawing/2014/main" id="{00000000-0008-0000-1500-0000920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0</xdr:col>
      <xdr:colOff>127907</xdr:colOff>
      <xdr:row>55</xdr:row>
      <xdr:rowOff>10886</xdr:rowOff>
    </xdr:from>
    <xdr:to>
      <xdr:col>11</xdr:col>
      <xdr:colOff>514350</xdr:colOff>
      <xdr:row>60</xdr:row>
      <xdr:rowOff>133350</xdr:rowOff>
    </xdr:to>
    <xdr:sp macro="" textlink="">
      <xdr:nvSpPr>
        <xdr:cNvPr id="47115" name="Text Box 5">
          <a:extLst>
            <a:ext uri="{FF2B5EF4-FFF2-40B4-BE49-F238E27FC236}">
              <a16:creationId xmlns:a16="http://schemas.microsoft.com/office/drawing/2014/main" id="{F03E9B11-69CE-A908-0634-0C204659759C}"/>
            </a:ext>
          </a:extLst>
        </xdr:cNvPr>
        <xdr:cNvSpPr txBox="1">
          <a:spLocks noChangeArrowheads="1"/>
        </xdr:cNvSpPr>
      </xdr:nvSpPr>
      <xdr:spPr bwMode="auto">
        <a:xfrm>
          <a:off x="127907" y="9005207"/>
          <a:ext cx="7331529" cy="938893"/>
        </a:xfrm>
        <a:prstGeom prst="rect">
          <a:avLst/>
        </a:prstGeom>
        <a:solidFill>
          <a:srgbClr val="FF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10886</xdr:rowOff>
        </xdr:from>
        <xdr:to>
          <xdr:col>0</xdr:col>
          <xdr:colOff>533400</xdr:colOff>
          <xdr:row>1</xdr:row>
          <xdr:rowOff>57150</xdr:rowOff>
        </xdr:to>
        <xdr:sp macro="" textlink="">
          <xdr:nvSpPr>
            <xdr:cNvPr id="47106" name="Button 2" hidden="1">
              <a:extLst>
                <a:ext uri="{63B3BB69-23CF-44E3-9099-C40C66FF867C}">
                  <a14:compatExt spid="_x0000_s47106"/>
                </a:ext>
                <a:ext uri="{FF2B5EF4-FFF2-40B4-BE49-F238E27FC236}">
                  <a16:creationId xmlns:a16="http://schemas.microsoft.com/office/drawing/2014/main" id="{00000000-0008-0000-1600-000002B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465364</xdr:colOff>
          <xdr:row>0</xdr:row>
          <xdr:rowOff>103414</xdr:rowOff>
        </xdr:from>
        <xdr:to>
          <xdr:col>10</xdr:col>
          <xdr:colOff>100693</xdr:colOff>
          <xdr:row>1</xdr:row>
          <xdr:rowOff>46264</xdr:rowOff>
        </xdr:to>
        <xdr:sp macro="" textlink="">
          <xdr:nvSpPr>
            <xdr:cNvPr id="73731" name="Button 3" hidden="1">
              <a:extLst>
                <a:ext uri="{63B3BB69-23CF-44E3-9099-C40C66FF867C}">
                  <a14:compatExt spid="_x0000_s73731"/>
                </a:ext>
                <a:ext uri="{FF2B5EF4-FFF2-40B4-BE49-F238E27FC236}">
                  <a16:creationId xmlns:a16="http://schemas.microsoft.com/office/drawing/2014/main" id="{00000000-0008-0000-1700-00000320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100693</xdr:colOff>
          <xdr:row>0</xdr:row>
          <xdr:rowOff>106136</xdr:rowOff>
        </xdr:from>
        <xdr:to>
          <xdr:col>10</xdr:col>
          <xdr:colOff>0</xdr:colOff>
          <xdr:row>1</xdr:row>
          <xdr:rowOff>144236</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1900-0000027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106136</xdr:rowOff>
        </xdr:from>
        <xdr:to>
          <xdr:col>0</xdr:col>
          <xdr:colOff>525236</xdr:colOff>
          <xdr:row>74</xdr:row>
          <xdr:rowOff>27214</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1900-0000037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Rig Hr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62593</xdr:rowOff>
        </xdr:from>
        <xdr:to>
          <xdr:col>0</xdr:col>
          <xdr:colOff>525236</xdr:colOff>
          <xdr:row>75</xdr:row>
          <xdr:rowOff>114300</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1900-0000047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To Top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19050</xdr:rowOff>
        </xdr:from>
        <xdr:to>
          <xdr:col>0</xdr:col>
          <xdr:colOff>525236</xdr:colOff>
          <xdr:row>77</xdr:row>
          <xdr:rowOff>70757</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1900-0000057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15</xdr:col>
      <xdr:colOff>385082</xdr:colOff>
      <xdr:row>16</xdr:row>
      <xdr:rowOff>133350</xdr:rowOff>
    </xdr:from>
    <xdr:to>
      <xdr:col>21</xdr:col>
      <xdr:colOff>145605</xdr:colOff>
      <xdr:row>35</xdr:row>
      <xdr:rowOff>133350</xdr:rowOff>
    </xdr:to>
    <xdr:sp macro="" textlink="">
      <xdr:nvSpPr>
        <xdr:cNvPr id="34826" name="Text Box 10">
          <a:extLst>
            <a:ext uri="{FF2B5EF4-FFF2-40B4-BE49-F238E27FC236}">
              <a16:creationId xmlns:a16="http://schemas.microsoft.com/office/drawing/2014/main" id="{B5F7CB93-AF34-CCDA-5713-A1CCC7E1EBAE}"/>
            </a:ext>
          </a:extLst>
        </xdr:cNvPr>
        <xdr:cNvSpPr txBox="1">
          <a:spLocks noChangeArrowheads="1"/>
        </xdr:cNvSpPr>
      </xdr:nvSpPr>
      <xdr:spPr bwMode="auto">
        <a:xfrm>
          <a:off x="9515475" y="2971800"/>
          <a:ext cx="3429000" cy="30861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FF0000"/>
              </a:solidFill>
              <a:latin typeface="Arial"/>
              <a:cs typeface="Arial"/>
            </a:rPr>
            <a:t>After entering costs here, check the purchord sheet to make sure the total equals the total here.  It is helpful to enter each service cost here first, then put the same amount in the purchord sheet.  If there is a difference between the two, the purchord sheet, page 1 at the bottom, will tell you by how much.  The Cost Control is the rig report that the purchord refers to.  All costs entered here will automatically populate the OPERATIONS sheet in the correct place.</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8164</xdr:rowOff>
        </xdr:from>
        <xdr:to>
          <xdr:col>1</xdr:col>
          <xdr:colOff>533400</xdr:colOff>
          <xdr:row>1</xdr:row>
          <xdr:rowOff>46264</xdr:rowOff>
        </xdr:to>
        <xdr:sp macro="" textlink="">
          <xdr:nvSpPr>
            <xdr:cNvPr id="34820" name="Button 4" hidden="1">
              <a:extLst>
                <a:ext uri="{63B3BB69-23CF-44E3-9099-C40C66FF867C}">
                  <a14:compatExt spid="_x0000_s34820"/>
                </a:ext>
                <a:ext uri="{FF2B5EF4-FFF2-40B4-BE49-F238E27FC236}">
                  <a16:creationId xmlns:a16="http://schemas.microsoft.com/office/drawing/2014/main" id="{00000000-0008-0000-1A00-0000048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225879</xdr:colOff>
          <xdr:row>0</xdr:row>
          <xdr:rowOff>57150</xdr:rowOff>
        </xdr:from>
        <xdr:to>
          <xdr:col>4</xdr:col>
          <xdr:colOff>127907</xdr:colOff>
          <xdr:row>1</xdr:row>
          <xdr:rowOff>95250</xdr:rowOff>
        </xdr:to>
        <xdr:sp macro="" textlink="">
          <xdr:nvSpPr>
            <xdr:cNvPr id="34821" name="Button 5" hidden="1">
              <a:extLst>
                <a:ext uri="{63B3BB69-23CF-44E3-9099-C40C66FF867C}">
                  <a14:compatExt spid="_x0000_s34821"/>
                </a:ext>
                <a:ext uri="{FF2B5EF4-FFF2-40B4-BE49-F238E27FC236}">
                  <a16:creationId xmlns:a16="http://schemas.microsoft.com/office/drawing/2014/main" id="{00000000-0008-0000-1A00-0000058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AFE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10886</xdr:colOff>
          <xdr:row>0</xdr:row>
          <xdr:rowOff>46264</xdr:rowOff>
        </xdr:from>
        <xdr:to>
          <xdr:col>3</xdr:col>
          <xdr:colOff>78921</xdr:colOff>
          <xdr:row>1</xdr:row>
          <xdr:rowOff>87086</xdr:rowOff>
        </xdr:to>
        <xdr:sp macro="" textlink="">
          <xdr:nvSpPr>
            <xdr:cNvPr id="34822" name="Button 6" hidden="1">
              <a:extLst>
                <a:ext uri="{63B3BB69-23CF-44E3-9099-C40C66FF867C}">
                  <a14:compatExt spid="_x0000_s34822"/>
                </a:ext>
                <a:ext uri="{FF2B5EF4-FFF2-40B4-BE49-F238E27FC236}">
                  <a16:creationId xmlns:a16="http://schemas.microsoft.com/office/drawing/2014/main" id="{00000000-0008-0000-1A00-0000068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Purchord</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3</xdr:col>
      <xdr:colOff>304800</xdr:colOff>
      <xdr:row>5</xdr:row>
      <xdr:rowOff>108857</xdr:rowOff>
    </xdr:from>
    <xdr:to>
      <xdr:col>5</xdr:col>
      <xdr:colOff>10886</xdr:colOff>
      <xdr:row>6</xdr:row>
      <xdr:rowOff>163286</xdr:rowOff>
    </xdr:to>
    <xdr:sp macro="" textlink="">
      <xdr:nvSpPr>
        <xdr:cNvPr id="41991" name="Line 2">
          <a:extLst>
            <a:ext uri="{FF2B5EF4-FFF2-40B4-BE49-F238E27FC236}">
              <a16:creationId xmlns:a16="http://schemas.microsoft.com/office/drawing/2014/main" id="{AEC15D34-9487-4A92-39CE-34A31BFC8F48}"/>
            </a:ext>
          </a:extLst>
        </xdr:cNvPr>
        <xdr:cNvSpPr>
          <a:spLocks noChangeShapeType="1"/>
        </xdr:cNvSpPr>
      </xdr:nvSpPr>
      <xdr:spPr bwMode="auto">
        <a:xfrm>
          <a:off x="2198914" y="925286"/>
          <a:ext cx="968829" cy="22043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38100</xdr:rowOff>
        </xdr:from>
        <xdr:to>
          <xdr:col>0</xdr:col>
          <xdr:colOff>552450</xdr:colOff>
          <xdr:row>1</xdr:row>
          <xdr:rowOff>87086</xdr:rowOff>
        </xdr:to>
        <xdr:sp macro="" textlink="">
          <xdr:nvSpPr>
            <xdr:cNvPr id="41987" name="Button 3" hidden="1">
              <a:extLst>
                <a:ext uri="{63B3BB69-23CF-44E3-9099-C40C66FF867C}">
                  <a14:compatExt spid="_x0000_s41987"/>
                </a:ext>
                <a:ext uri="{FF2B5EF4-FFF2-40B4-BE49-F238E27FC236}">
                  <a16:creationId xmlns:a16="http://schemas.microsoft.com/office/drawing/2014/main" id="{00000000-0008-0000-1B00-000003A4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xdr:row>
          <xdr:rowOff>106136</xdr:rowOff>
        </xdr:from>
        <xdr:to>
          <xdr:col>0</xdr:col>
          <xdr:colOff>552450</xdr:colOff>
          <xdr:row>2</xdr:row>
          <xdr:rowOff>152400</xdr:rowOff>
        </xdr:to>
        <xdr:sp macro="" textlink="">
          <xdr:nvSpPr>
            <xdr:cNvPr id="41988" name="Button 4" hidden="1">
              <a:extLst>
                <a:ext uri="{63B3BB69-23CF-44E3-9099-C40C66FF867C}">
                  <a14:compatExt spid="_x0000_s41988"/>
                </a:ext>
                <a:ext uri="{FF2B5EF4-FFF2-40B4-BE49-F238E27FC236}">
                  <a16:creationId xmlns:a16="http://schemas.microsoft.com/office/drawing/2014/main" id="{00000000-0008-0000-1B00-000004A4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AFE</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5</xdr:col>
      <xdr:colOff>59871</xdr:colOff>
      <xdr:row>13</xdr:row>
      <xdr:rowOff>111579</xdr:rowOff>
    </xdr:from>
    <xdr:to>
      <xdr:col>10</xdr:col>
      <xdr:colOff>615043</xdr:colOff>
      <xdr:row>13</xdr:row>
      <xdr:rowOff>111579</xdr:rowOff>
    </xdr:to>
    <xdr:sp macro="" textlink="">
      <xdr:nvSpPr>
        <xdr:cNvPr id="36483" name="Line 1">
          <a:extLst>
            <a:ext uri="{FF2B5EF4-FFF2-40B4-BE49-F238E27FC236}">
              <a16:creationId xmlns:a16="http://schemas.microsoft.com/office/drawing/2014/main" id="{77195DC6-2FD9-DDCE-9A14-C9813FD64D50}"/>
            </a:ext>
          </a:extLst>
        </xdr:cNvPr>
        <xdr:cNvSpPr>
          <a:spLocks noChangeShapeType="1"/>
        </xdr:cNvSpPr>
      </xdr:nvSpPr>
      <xdr:spPr bwMode="auto">
        <a:xfrm>
          <a:off x="1978479" y="24030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14</xdr:row>
      <xdr:rowOff>111579</xdr:rowOff>
    </xdr:from>
    <xdr:to>
      <xdr:col>10</xdr:col>
      <xdr:colOff>615043</xdr:colOff>
      <xdr:row>14</xdr:row>
      <xdr:rowOff>111579</xdr:rowOff>
    </xdr:to>
    <xdr:sp macro="" textlink="">
      <xdr:nvSpPr>
        <xdr:cNvPr id="36484" name="Line 2">
          <a:extLst>
            <a:ext uri="{FF2B5EF4-FFF2-40B4-BE49-F238E27FC236}">
              <a16:creationId xmlns:a16="http://schemas.microsoft.com/office/drawing/2014/main" id="{FEDDB19D-A292-3732-5472-7D5D55BFA160}"/>
            </a:ext>
          </a:extLst>
        </xdr:cNvPr>
        <xdr:cNvSpPr>
          <a:spLocks noChangeShapeType="1"/>
        </xdr:cNvSpPr>
      </xdr:nvSpPr>
      <xdr:spPr bwMode="auto">
        <a:xfrm>
          <a:off x="1978479" y="25989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10</xdr:row>
      <xdr:rowOff>111579</xdr:rowOff>
    </xdr:from>
    <xdr:to>
      <xdr:col>10</xdr:col>
      <xdr:colOff>615043</xdr:colOff>
      <xdr:row>10</xdr:row>
      <xdr:rowOff>111579</xdr:rowOff>
    </xdr:to>
    <xdr:sp macro="" textlink="">
      <xdr:nvSpPr>
        <xdr:cNvPr id="36485" name="Line 3">
          <a:extLst>
            <a:ext uri="{FF2B5EF4-FFF2-40B4-BE49-F238E27FC236}">
              <a16:creationId xmlns:a16="http://schemas.microsoft.com/office/drawing/2014/main" id="{93D79357-C2F5-2F55-1C65-4352A9F20DFA}"/>
            </a:ext>
          </a:extLst>
        </xdr:cNvPr>
        <xdr:cNvSpPr>
          <a:spLocks noChangeShapeType="1"/>
        </xdr:cNvSpPr>
      </xdr:nvSpPr>
      <xdr:spPr bwMode="auto">
        <a:xfrm>
          <a:off x="1978479" y="18070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15</xdr:row>
      <xdr:rowOff>111579</xdr:rowOff>
    </xdr:from>
    <xdr:to>
      <xdr:col>10</xdr:col>
      <xdr:colOff>615043</xdr:colOff>
      <xdr:row>15</xdr:row>
      <xdr:rowOff>111579</xdr:rowOff>
    </xdr:to>
    <xdr:sp macro="" textlink="">
      <xdr:nvSpPr>
        <xdr:cNvPr id="36486" name="Line 4">
          <a:extLst>
            <a:ext uri="{FF2B5EF4-FFF2-40B4-BE49-F238E27FC236}">
              <a16:creationId xmlns:a16="http://schemas.microsoft.com/office/drawing/2014/main" id="{8AB62531-3C3A-4719-8C85-14552FE2E5F1}"/>
            </a:ext>
          </a:extLst>
        </xdr:cNvPr>
        <xdr:cNvSpPr>
          <a:spLocks noChangeShapeType="1"/>
        </xdr:cNvSpPr>
      </xdr:nvSpPr>
      <xdr:spPr bwMode="auto">
        <a:xfrm>
          <a:off x="1978479" y="27949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16</xdr:row>
      <xdr:rowOff>111579</xdr:rowOff>
    </xdr:from>
    <xdr:to>
      <xdr:col>10</xdr:col>
      <xdr:colOff>615043</xdr:colOff>
      <xdr:row>16</xdr:row>
      <xdr:rowOff>111579</xdr:rowOff>
    </xdr:to>
    <xdr:sp macro="" textlink="">
      <xdr:nvSpPr>
        <xdr:cNvPr id="36487" name="Line 5">
          <a:extLst>
            <a:ext uri="{FF2B5EF4-FFF2-40B4-BE49-F238E27FC236}">
              <a16:creationId xmlns:a16="http://schemas.microsoft.com/office/drawing/2014/main" id="{033FA77D-FDE1-9FCD-C70C-F8A954C3B380}"/>
            </a:ext>
          </a:extLst>
        </xdr:cNvPr>
        <xdr:cNvSpPr>
          <a:spLocks noChangeShapeType="1"/>
        </xdr:cNvSpPr>
      </xdr:nvSpPr>
      <xdr:spPr bwMode="auto">
        <a:xfrm>
          <a:off x="1978479" y="29908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28</xdr:row>
      <xdr:rowOff>111579</xdr:rowOff>
    </xdr:from>
    <xdr:to>
      <xdr:col>10</xdr:col>
      <xdr:colOff>615043</xdr:colOff>
      <xdr:row>28</xdr:row>
      <xdr:rowOff>111579</xdr:rowOff>
    </xdr:to>
    <xdr:sp macro="" textlink="">
      <xdr:nvSpPr>
        <xdr:cNvPr id="36488" name="Line 6">
          <a:extLst>
            <a:ext uri="{FF2B5EF4-FFF2-40B4-BE49-F238E27FC236}">
              <a16:creationId xmlns:a16="http://schemas.microsoft.com/office/drawing/2014/main" id="{1987913B-B761-3A31-C813-20446A5DB054}"/>
            </a:ext>
          </a:extLst>
        </xdr:cNvPr>
        <xdr:cNvSpPr>
          <a:spLocks noChangeShapeType="1"/>
        </xdr:cNvSpPr>
      </xdr:nvSpPr>
      <xdr:spPr bwMode="auto">
        <a:xfrm>
          <a:off x="1978479" y="51952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31</xdr:row>
      <xdr:rowOff>111579</xdr:rowOff>
    </xdr:from>
    <xdr:to>
      <xdr:col>10</xdr:col>
      <xdr:colOff>615043</xdr:colOff>
      <xdr:row>31</xdr:row>
      <xdr:rowOff>111579</xdr:rowOff>
    </xdr:to>
    <xdr:sp macro="" textlink="">
      <xdr:nvSpPr>
        <xdr:cNvPr id="36489" name="Line 7">
          <a:extLst>
            <a:ext uri="{FF2B5EF4-FFF2-40B4-BE49-F238E27FC236}">
              <a16:creationId xmlns:a16="http://schemas.microsoft.com/office/drawing/2014/main" id="{11D404E6-7284-12DE-DAA8-BCEAC2928F1E}"/>
            </a:ext>
          </a:extLst>
        </xdr:cNvPr>
        <xdr:cNvSpPr>
          <a:spLocks noChangeShapeType="1"/>
        </xdr:cNvSpPr>
      </xdr:nvSpPr>
      <xdr:spPr bwMode="auto">
        <a:xfrm>
          <a:off x="1978479" y="57912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32</xdr:row>
      <xdr:rowOff>111579</xdr:rowOff>
    </xdr:from>
    <xdr:to>
      <xdr:col>10</xdr:col>
      <xdr:colOff>615043</xdr:colOff>
      <xdr:row>32</xdr:row>
      <xdr:rowOff>111579</xdr:rowOff>
    </xdr:to>
    <xdr:sp macro="" textlink="">
      <xdr:nvSpPr>
        <xdr:cNvPr id="36490" name="Line 8">
          <a:extLst>
            <a:ext uri="{FF2B5EF4-FFF2-40B4-BE49-F238E27FC236}">
              <a16:creationId xmlns:a16="http://schemas.microsoft.com/office/drawing/2014/main" id="{9F7B9AF9-80CF-D3CE-E36C-1BE2A942B9DB}"/>
            </a:ext>
          </a:extLst>
        </xdr:cNvPr>
        <xdr:cNvSpPr>
          <a:spLocks noChangeShapeType="1"/>
        </xdr:cNvSpPr>
      </xdr:nvSpPr>
      <xdr:spPr bwMode="auto">
        <a:xfrm>
          <a:off x="1978479" y="59871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33</xdr:row>
      <xdr:rowOff>111579</xdr:rowOff>
    </xdr:from>
    <xdr:to>
      <xdr:col>10</xdr:col>
      <xdr:colOff>615043</xdr:colOff>
      <xdr:row>33</xdr:row>
      <xdr:rowOff>111579</xdr:rowOff>
    </xdr:to>
    <xdr:sp macro="" textlink="">
      <xdr:nvSpPr>
        <xdr:cNvPr id="36491" name="Line 9">
          <a:extLst>
            <a:ext uri="{FF2B5EF4-FFF2-40B4-BE49-F238E27FC236}">
              <a16:creationId xmlns:a16="http://schemas.microsoft.com/office/drawing/2014/main" id="{1AB6EB0A-124F-165E-DDCE-9A9C39DAA6C7}"/>
            </a:ext>
          </a:extLst>
        </xdr:cNvPr>
        <xdr:cNvSpPr>
          <a:spLocks noChangeShapeType="1"/>
        </xdr:cNvSpPr>
      </xdr:nvSpPr>
      <xdr:spPr bwMode="auto">
        <a:xfrm>
          <a:off x="1978479" y="61830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34</xdr:row>
      <xdr:rowOff>111579</xdr:rowOff>
    </xdr:from>
    <xdr:to>
      <xdr:col>10</xdr:col>
      <xdr:colOff>615043</xdr:colOff>
      <xdr:row>34</xdr:row>
      <xdr:rowOff>111579</xdr:rowOff>
    </xdr:to>
    <xdr:sp macro="" textlink="">
      <xdr:nvSpPr>
        <xdr:cNvPr id="36492" name="Line 10">
          <a:extLst>
            <a:ext uri="{FF2B5EF4-FFF2-40B4-BE49-F238E27FC236}">
              <a16:creationId xmlns:a16="http://schemas.microsoft.com/office/drawing/2014/main" id="{08409FED-D390-B690-4412-721242FE170D}"/>
            </a:ext>
          </a:extLst>
        </xdr:cNvPr>
        <xdr:cNvSpPr>
          <a:spLocks noChangeShapeType="1"/>
        </xdr:cNvSpPr>
      </xdr:nvSpPr>
      <xdr:spPr bwMode="auto">
        <a:xfrm>
          <a:off x="1978479" y="63790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46</xdr:row>
      <xdr:rowOff>111579</xdr:rowOff>
    </xdr:from>
    <xdr:to>
      <xdr:col>10</xdr:col>
      <xdr:colOff>615043</xdr:colOff>
      <xdr:row>46</xdr:row>
      <xdr:rowOff>111579</xdr:rowOff>
    </xdr:to>
    <xdr:sp macro="" textlink="">
      <xdr:nvSpPr>
        <xdr:cNvPr id="36493" name="Line 11">
          <a:extLst>
            <a:ext uri="{FF2B5EF4-FFF2-40B4-BE49-F238E27FC236}">
              <a16:creationId xmlns:a16="http://schemas.microsoft.com/office/drawing/2014/main" id="{99D41F01-19AB-1F15-7982-23918CC7472F}"/>
            </a:ext>
          </a:extLst>
        </xdr:cNvPr>
        <xdr:cNvSpPr>
          <a:spLocks noChangeShapeType="1"/>
        </xdr:cNvSpPr>
      </xdr:nvSpPr>
      <xdr:spPr bwMode="auto">
        <a:xfrm>
          <a:off x="1978479" y="85833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49</xdr:row>
      <xdr:rowOff>111579</xdr:rowOff>
    </xdr:from>
    <xdr:to>
      <xdr:col>10</xdr:col>
      <xdr:colOff>615043</xdr:colOff>
      <xdr:row>49</xdr:row>
      <xdr:rowOff>111579</xdr:rowOff>
    </xdr:to>
    <xdr:sp macro="" textlink="">
      <xdr:nvSpPr>
        <xdr:cNvPr id="36494" name="Line 12">
          <a:extLst>
            <a:ext uri="{FF2B5EF4-FFF2-40B4-BE49-F238E27FC236}">
              <a16:creationId xmlns:a16="http://schemas.microsoft.com/office/drawing/2014/main" id="{5E1DA91D-2891-F16A-C0BE-B6992222C27A}"/>
            </a:ext>
          </a:extLst>
        </xdr:cNvPr>
        <xdr:cNvSpPr>
          <a:spLocks noChangeShapeType="1"/>
        </xdr:cNvSpPr>
      </xdr:nvSpPr>
      <xdr:spPr bwMode="auto">
        <a:xfrm>
          <a:off x="1978479" y="91793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50</xdr:row>
      <xdr:rowOff>111579</xdr:rowOff>
    </xdr:from>
    <xdr:to>
      <xdr:col>10</xdr:col>
      <xdr:colOff>615043</xdr:colOff>
      <xdr:row>50</xdr:row>
      <xdr:rowOff>111579</xdr:rowOff>
    </xdr:to>
    <xdr:sp macro="" textlink="">
      <xdr:nvSpPr>
        <xdr:cNvPr id="36495" name="Line 13">
          <a:extLst>
            <a:ext uri="{FF2B5EF4-FFF2-40B4-BE49-F238E27FC236}">
              <a16:creationId xmlns:a16="http://schemas.microsoft.com/office/drawing/2014/main" id="{F3BAF1EF-A1C0-F980-8E59-75E5A559217B}"/>
            </a:ext>
          </a:extLst>
        </xdr:cNvPr>
        <xdr:cNvSpPr>
          <a:spLocks noChangeShapeType="1"/>
        </xdr:cNvSpPr>
      </xdr:nvSpPr>
      <xdr:spPr bwMode="auto">
        <a:xfrm>
          <a:off x="1978479" y="93753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51</xdr:row>
      <xdr:rowOff>111579</xdr:rowOff>
    </xdr:from>
    <xdr:to>
      <xdr:col>10</xdr:col>
      <xdr:colOff>615043</xdr:colOff>
      <xdr:row>51</xdr:row>
      <xdr:rowOff>111579</xdr:rowOff>
    </xdr:to>
    <xdr:sp macro="" textlink="">
      <xdr:nvSpPr>
        <xdr:cNvPr id="36496" name="Line 14">
          <a:extLst>
            <a:ext uri="{FF2B5EF4-FFF2-40B4-BE49-F238E27FC236}">
              <a16:creationId xmlns:a16="http://schemas.microsoft.com/office/drawing/2014/main" id="{F401E2BF-9CD2-DD0C-986F-836D90627D44}"/>
            </a:ext>
          </a:extLst>
        </xdr:cNvPr>
        <xdr:cNvSpPr>
          <a:spLocks noChangeShapeType="1"/>
        </xdr:cNvSpPr>
      </xdr:nvSpPr>
      <xdr:spPr bwMode="auto">
        <a:xfrm>
          <a:off x="1978479" y="95712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52</xdr:row>
      <xdr:rowOff>111579</xdr:rowOff>
    </xdr:from>
    <xdr:to>
      <xdr:col>10</xdr:col>
      <xdr:colOff>615043</xdr:colOff>
      <xdr:row>52</xdr:row>
      <xdr:rowOff>111579</xdr:rowOff>
    </xdr:to>
    <xdr:sp macro="" textlink="">
      <xdr:nvSpPr>
        <xdr:cNvPr id="36497" name="Line 15">
          <a:extLst>
            <a:ext uri="{FF2B5EF4-FFF2-40B4-BE49-F238E27FC236}">
              <a16:creationId xmlns:a16="http://schemas.microsoft.com/office/drawing/2014/main" id="{7A5DCA10-F94E-99DB-BE43-78E8D0364022}"/>
            </a:ext>
          </a:extLst>
        </xdr:cNvPr>
        <xdr:cNvSpPr>
          <a:spLocks noChangeShapeType="1"/>
        </xdr:cNvSpPr>
      </xdr:nvSpPr>
      <xdr:spPr bwMode="auto">
        <a:xfrm>
          <a:off x="1978479" y="97672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64</xdr:row>
      <xdr:rowOff>111579</xdr:rowOff>
    </xdr:from>
    <xdr:to>
      <xdr:col>10</xdr:col>
      <xdr:colOff>615043</xdr:colOff>
      <xdr:row>64</xdr:row>
      <xdr:rowOff>111579</xdr:rowOff>
    </xdr:to>
    <xdr:sp macro="" textlink="">
      <xdr:nvSpPr>
        <xdr:cNvPr id="36498" name="Line 16">
          <a:extLst>
            <a:ext uri="{FF2B5EF4-FFF2-40B4-BE49-F238E27FC236}">
              <a16:creationId xmlns:a16="http://schemas.microsoft.com/office/drawing/2014/main" id="{61FFD04C-7F67-B355-CE44-E250F7323890}"/>
            </a:ext>
          </a:extLst>
        </xdr:cNvPr>
        <xdr:cNvSpPr>
          <a:spLocks noChangeShapeType="1"/>
        </xdr:cNvSpPr>
      </xdr:nvSpPr>
      <xdr:spPr bwMode="auto">
        <a:xfrm>
          <a:off x="1978479" y="119715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67</xdr:row>
      <xdr:rowOff>111579</xdr:rowOff>
    </xdr:from>
    <xdr:to>
      <xdr:col>10</xdr:col>
      <xdr:colOff>615043</xdr:colOff>
      <xdr:row>67</xdr:row>
      <xdr:rowOff>111579</xdr:rowOff>
    </xdr:to>
    <xdr:sp macro="" textlink="">
      <xdr:nvSpPr>
        <xdr:cNvPr id="36499" name="Line 17">
          <a:extLst>
            <a:ext uri="{FF2B5EF4-FFF2-40B4-BE49-F238E27FC236}">
              <a16:creationId xmlns:a16="http://schemas.microsoft.com/office/drawing/2014/main" id="{763894B5-B8EA-94CB-B47F-32471FBE9121}"/>
            </a:ext>
          </a:extLst>
        </xdr:cNvPr>
        <xdr:cNvSpPr>
          <a:spLocks noChangeShapeType="1"/>
        </xdr:cNvSpPr>
      </xdr:nvSpPr>
      <xdr:spPr bwMode="auto">
        <a:xfrm>
          <a:off x="1978479" y="125675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68</xdr:row>
      <xdr:rowOff>111579</xdr:rowOff>
    </xdr:from>
    <xdr:to>
      <xdr:col>10</xdr:col>
      <xdr:colOff>615043</xdr:colOff>
      <xdr:row>68</xdr:row>
      <xdr:rowOff>111579</xdr:rowOff>
    </xdr:to>
    <xdr:sp macro="" textlink="">
      <xdr:nvSpPr>
        <xdr:cNvPr id="36500" name="Line 18">
          <a:extLst>
            <a:ext uri="{FF2B5EF4-FFF2-40B4-BE49-F238E27FC236}">
              <a16:creationId xmlns:a16="http://schemas.microsoft.com/office/drawing/2014/main" id="{9B257503-D423-0588-73FE-C1A535F4E8FD}"/>
            </a:ext>
          </a:extLst>
        </xdr:cNvPr>
        <xdr:cNvSpPr>
          <a:spLocks noChangeShapeType="1"/>
        </xdr:cNvSpPr>
      </xdr:nvSpPr>
      <xdr:spPr bwMode="auto">
        <a:xfrm>
          <a:off x="1978479" y="127635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69</xdr:row>
      <xdr:rowOff>111579</xdr:rowOff>
    </xdr:from>
    <xdr:to>
      <xdr:col>10</xdr:col>
      <xdr:colOff>615043</xdr:colOff>
      <xdr:row>69</xdr:row>
      <xdr:rowOff>111579</xdr:rowOff>
    </xdr:to>
    <xdr:sp macro="" textlink="">
      <xdr:nvSpPr>
        <xdr:cNvPr id="36501" name="Line 19">
          <a:extLst>
            <a:ext uri="{FF2B5EF4-FFF2-40B4-BE49-F238E27FC236}">
              <a16:creationId xmlns:a16="http://schemas.microsoft.com/office/drawing/2014/main" id="{5EE8BB5A-4A79-D0A2-E8CC-ED049EE50D39}"/>
            </a:ext>
          </a:extLst>
        </xdr:cNvPr>
        <xdr:cNvSpPr>
          <a:spLocks noChangeShapeType="1"/>
        </xdr:cNvSpPr>
      </xdr:nvSpPr>
      <xdr:spPr bwMode="auto">
        <a:xfrm>
          <a:off x="1978479" y="129594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70</xdr:row>
      <xdr:rowOff>111579</xdr:rowOff>
    </xdr:from>
    <xdr:to>
      <xdr:col>10</xdr:col>
      <xdr:colOff>615043</xdr:colOff>
      <xdr:row>70</xdr:row>
      <xdr:rowOff>111579</xdr:rowOff>
    </xdr:to>
    <xdr:sp macro="" textlink="">
      <xdr:nvSpPr>
        <xdr:cNvPr id="36502" name="Line 20">
          <a:extLst>
            <a:ext uri="{FF2B5EF4-FFF2-40B4-BE49-F238E27FC236}">
              <a16:creationId xmlns:a16="http://schemas.microsoft.com/office/drawing/2014/main" id="{FFA8FD3E-F4F1-FDA9-089B-509AF98AD4D3}"/>
            </a:ext>
          </a:extLst>
        </xdr:cNvPr>
        <xdr:cNvSpPr>
          <a:spLocks noChangeShapeType="1"/>
        </xdr:cNvSpPr>
      </xdr:nvSpPr>
      <xdr:spPr bwMode="auto">
        <a:xfrm>
          <a:off x="1978479" y="131553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82</xdr:row>
      <xdr:rowOff>111579</xdr:rowOff>
    </xdr:from>
    <xdr:to>
      <xdr:col>10</xdr:col>
      <xdr:colOff>615043</xdr:colOff>
      <xdr:row>82</xdr:row>
      <xdr:rowOff>111579</xdr:rowOff>
    </xdr:to>
    <xdr:sp macro="" textlink="">
      <xdr:nvSpPr>
        <xdr:cNvPr id="36503" name="Line 21">
          <a:extLst>
            <a:ext uri="{FF2B5EF4-FFF2-40B4-BE49-F238E27FC236}">
              <a16:creationId xmlns:a16="http://schemas.microsoft.com/office/drawing/2014/main" id="{22420819-BFDB-7621-C6C1-D88327CCB139}"/>
            </a:ext>
          </a:extLst>
        </xdr:cNvPr>
        <xdr:cNvSpPr>
          <a:spLocks noChangeShapeType="1"/>
        </xdr:cNvSpPr>
      </xdr:nvSpPr>
      <xdr:spPr bwMode="auto">
        <a:xfrm>
          <a:off x="1978479" y="153597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85</xdr:row>
      <xdr:rowOff>111579</xdr:rowOff>
    </xdr:from>
    <xdr:to>
      <xdr:col>10</xdr:col>
      <xdr:colOff>615043</xdr:colOff>
      <xdr:row>85</xdr:row>
      <xdr:rowOff>111579</xdr:rowOff>
    </xdr:to>
    <xdr:sp macro="" textlink="">
      <xdr:nvSpPr>
        <xdr:cNvPr id="36504" name="Line 22">
          <a:extLst>
            <a:ext uri="{FF2B5EF4-FFF2-40B4-BE49-F238E27FC236}">
              <a16:creationId xmlns:a16="http://schemas.microsoft.com/office/drawing/2014/main" id="{F90DA907-D140-DA80-A6DC-B8F212DECCD8}"/>
            </a:ext>
          </a:extLst>
        </xdr:cNvPr>
        <xdr:cNvSpPr>
          <a:spLocks noChangeShapeType="1"/>
        </xdr:cNvSpPr>
      </xdr:nvSpPr>
      <xdr:spPr bwMode="auto">
        <a:xfrm>
          <a:off x="1978479" y="159557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86</xdr:row>
      <xdr:rowOff>111579</xdr:rowOff>
    </xdr:from>
    <xdr:to>
      <xdr:col>10</xdr:col>
      <xdr:colOff>615043</xdr:colOff>
      <xdr:row>86</xdr:row>
      <xdr:rowOff>111579</xdr:rowOff>
    </xdr:to>
    <xdr:sp macro="" textlink="">
      <xdr:nvSpPr>
        <xdr:cNvPr id="36505" name="Line 23">
          <a:extLst>
            <a:ext uri="{FF2B5EF4-FFF2-40B4-BE49-F238E27FC236}">
              <a16:creationId xmlns:a16="http://schemas.microsoft.com/office/drawing/2014/main" id="{E55D937C-023C-5AFD-EDD8-8C15782F05B4}"/>
            </a:ext>
          </a:extLst>
        </xdr:cNvPr>
        <xdr:cNvSpPr>
          <a:spLocks noChangeShapeType="1"/>
        </xdr:cNvSpPr>
      </xdr:nvSpPr>
      <xdr:spPr bwMode="auto">
        <a:xfrm>
          <a:off x="1978479" y="161516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87</xdr:row>
      <xdr:rowOff>111579</xdr:rowOff>
    </xdr:from>
    <xdr:to>
      <xdr:col>10</xdr:col>
      <xdr:colOff>615043</xdr:colOff>
      <xdr:row>87</xdr:row>
      <xdr:rowOff>111579</xdr:rowOff>
    </xdr:to>
    <xdr:sp macro="" textlink="">
      <xdr:nvSpPr>
        <xdr:cNvPr id="36506" name="Line 24">
          <a:extLst>
            <a:ext uri="{FF2B5EF4-FFF2-40B4-BE49-F238E27FC236}">
              <a16:creationId xmlns:a16="http://schemas.microsoft.com/office/drawing/2014/main" id="{9079C04E-5C70-ACCE-E4CE-71F8FE156E8F}"/>
            </a:ext>
          </a:extLst>
        </xdr:cNvPr>
        <xdr:cNvSpPr>
          <a:spLocks noChangeShapeType="1"/>
        </xdr:cNvSpPr>
      </xdr:nvSpPr>
      <xdr:spPr bwMode="auto">
        <a:xfrm>
          <a:off x="1978479" y="163476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88</xdr:row>
      <xdr:rowOff>111579</xdr:rowOff>
    </xdr:from>
    <xdr:to>
      <xdr:col>10</xdr:col>
      <xdr:colOff>615043</xdr:colOff>
      <xdr:row>88</xdr:row>
      <xdr:rowOff>111579</xdr:rowOff>
    </xdr:to>
    <xdr:sp macro="" textlink="">
      <xdr:nvSpPr>
        <xdr:cNvPr id="36507" name="Line 25">
          <a:extLst>
            <a:ext uri="{FF2B5EF4-FFF2-40B4-BE49-F238E27FC236}">
              <a16:creationId xmlns:a16="http://schemas.microsoft.com/office/drawing/2014/main" id="{47C85FEF-C3FE-8FCA-D5F1-2959314843CC}"/>
            </a:ext>
          </a:extLst>
        </xdr:cNvPr>
        <xdr:cNvSpPr>
          <a:spLocks noChangeShapeType="1"/>
        </xdr:cNvSpPr>
      </xdr:nvSpPr>
      <xdr:spPr bwMode="auto">
        <a:xfrm>
          <a:off x="1978479" y="165435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100</xdr:row>
      <xdr:rowOff>111579</xdr:rowOff>
    </xdr:from>
    <xdr:to>
      <xdr:col>10</xdr:col>
      <xdr:colOff>615043</xdr:colOff>
      <xdr:row>100</xdr:row>
      <xdr:rowOff>111579</xdr:rowOff>
    </xdr:to>
    <xdr:sp macro="" textlink="">
      <xdr:nvSpPr>
        <xdr:cNvPr id="36508" name="Line 26">
          <a:extLst>
            <a:ext uri="{FF2B5EF4-FFF2-40B4-BE49-F238E27FC236}">
              <a16:creationId xmlns:a16="http://schemas.microsoft.com/office/drawing/2014/main" id="{3993B785-C778-4E25-CEE7-8411C4CBD8FC}"/>
            </a:ext>
          </a:extLst>
        </xdr:cNvPr>
        <xdr:cNvSpPr>
          <a:spLocks noChangeShapeType="1"/>
        </xdr:cNvSpPr>
      </xdr:nvSpPr>
      <xdr:spPr bwMode="auto">
        <a:xfrm>
          <a:off x="1978479" y="187479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103</xdr:row>
      <xdr:rowOff>111579</xdr:rowOff>
    </xdr:from>
    <xdr:to>
      <xdr:col>10</xdr:col>
      <xdr:colOff>615043</xdr:colOff>
      <xdr:row>103</xdr:row>
      <xdr:rowOff>111579</xdr:rowOff>
    </xdr:to>
    <xdr:sp macro="" textlink="">
      <xdr:nvSpPr>
        <xdr:cNvPr id="36509" name="Line 27">
          <a:extLst>
            <a:ext uri="{FF2B5EF4-FFF2-40B4-BE49-F238E27FC236}">
              <a16:creationId xmlns:a16="http://schemas.microsoft.com/office/drawing/2014/main" id="{826034A4-8788-EB80-E842-168C7776C939}"/>
            </a:ext>
          </a:extLst>
        </xdr:cNvPr>
        <xdr:cNvSpPr>
          <a:spLocks noChangeShapeType="1"/>
        </xdr:cNvSpPr>
      </xdr:nvSpPr>
      <xdr:spPr bwMode="auto">
        <a:xfrm>
          <a:off x="1978479" y="193439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104</xdr:row>
      <xdr:rowOff>111579</xdr:rowOff>
    </xdr:from>
    <xdr:to>
      <xdr:col>10</xdr:col>
      <xdr:colOff>615043</xdr:colOff>
      <xdr:row>104</xdr:row>
      <xdr:rowOff>111579</xdr:rowOff>
    </xdr:to>
    <xdr:sp macro="" textlink="">
      <xdr:nvSpPr>
        <xdr:cNvPr id="36510" name="Line 28">
          <a:extLst>
            <a:ext uri="{FF2B5EF4-FFF2-40B4-BE49-F238E27FC236}">
              <a16:creationId xmlns:a16="http://schemas.microsoft.com/office/drawing/2014/main" id="{52D920D8-4041-C79A-7BC4-F703400A94D9}"/>
            </a:ext>
          </a:extLst>
        </xdr:cNvPr>
        <xdr:cNvSpPr>
          <a:spLocks noChangeShapeType="1"/>
        </xdr:cNvSpPr>
      </xdr:nvSpPr>
      <xdr:spPr bwMode="auto">
        <a:xfrm>
          <a:off x="1978479" y="195398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105</xdr:row>
      <xdr:rowOff>111579</xdr:rowOff>
    </xdr:from>
    <xdr:to>
      <xdr:col>10</xdr:col>
      <xdr:colOff>615043</xdr:colOff>
      <xdr:row>105</xdr:row>
      <xdr:rowOff>111579</xdr:rowOff>
    </xdr:to>
    <xdr:sp macro="" textlink="">
      <xdr:nvSpPr>
        <xdr:cNvPr id="36511" name="Line 29">
          <a:extLst>
            <a:ext uri="{FF2B5EF4-FFF2-40B4-BE49-F238E27FC236}">
              <a16:creationId xmlns:a16="http://schemas.microsoft.com/office/drawing/2014/main" id="{E1DFB46C-662D-5B8D-78D1-D43C44A31B71}"/>
            </a:ext>
          </a:extLst>
        </xdr:cNvPr>
        <xdr:cNvSpPr>
          <a:spLocks noChangeShapeType="1"/>
        </xdr:cNvSpPr>
      </xdr:nvSpPr>
      <xdr:spPr bwMode="auto">
        <a:xfrm>
          <a:off x="1978479" y="197358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106</xdr:row>
      <xdr:rowOff>111579</xdr:rowOff>
    </xdr:from>
    <xdr:to>
      <xdr:col>10</xdr:col>
      <xdr:colOff>615043</xdr:colOff>
      <xdr:row>106</xdr:row>
      <xdr:rowOff>111579</xdr:rowOff>
    </xdr:to>
    <xdr:sp macro="" textlink="">
      <xdr:nvSpPr>
        <xdr:cNvPr id="36512" name="Line 30">
          <a:extLst>
            <a:ext uri="{FF2B5EF4-FFF2-40B4-BE49-F238E27FC236}">
              <a16:creationId xmlns:a16="http://schemas.microsoft.com/office/drawing/2014/main" id="{DF7EDCD4-F1A7-84D2-C3F3-3CBEB95C19ED}"/>
            </a:ext>
          </a:extLst>
        </xdr:cNvPr>
        <xdr:cNvSpPr>
          <a:spLocks noChangeShapeType="1"/>
        </xdr:cNvSpPr>
      </xdr:nvSpPr>
      <xdr:spPr bwMode="auto">
        <a:xfrm>
          <a:off x="1978479" y="199317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118</xdr:row>
      <xdr:rowOff>111579</xdr:rowOff>
    </xdr:from>
    <xdr:to>
      <xdr:col>10</xdr:col>
      <xdr:colOff>615043</xdr:colOff>
      <xdr:row>118</xdr:row>
      <xdr:rowOff>111579</xdr:rowOff>
    </xdr:to>
    <xdr:sp macro="" textlink="">
      <xdr:nvSpPr>
        <xdr:cNvPr id="36513" name="Line 31">
          <a:extLst>
            <a:ext uri="{FF2B5EF4-FFF2-40B4-BE49-F238E27FC236}">
              <a16:creationId xmlns:a16="http://schemas.microsoft.com/office/drawing/2014/main" id="{B38B5EEB-9564-D8FD-9F15-AA0BF0EDD215}"/>
            </a:ext>
          </a:extLst>
        </xdr:cNvPr>
        <xdr:cNvSpPr>
          <a:spLocks noChangeShapeType="1"/>
        </xdr:cNvSpPr>
      </xdr:nvSpPr>
      <xdr:spPr bwMode="auto">
        <a:xfrm>
          <a:off x="1978479" y="221361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121</xdr:row>
      <xdr:rowOff>111579</xdr:rowOff>
    </xdr:from>
    <xdr:to>
      <xdr:col>10</xdr:col>
      <xdr:colOff>615043</xdr:colOff>
      <xdr:row>121</xdr:row>
      <xdr:rowOff>111579</xdr:rowOff>
    </xdr:to>
    <xdr:sp macro="" textlink="">
      <xdr:nvSpPr>
        <xdr:cNvPr id="36514" name="Line 32">
          <a:extLst>
            <a:ext uri="{FF2B5EF4-FFF2-40B4-BE49-F238E27FC236}">
              <a16:creationId xmlns:a16="http://schemas.microsoft.com/office/drawing/2014/main" id="{C887F6E6-2489-4999-141C-990CB851EDD7}"/>
            </a:ext>
          </a:extLst>
        </xdr:cNvPr>
        <xdr:cNvSpPr>
          <a:spLocks noChangeShapeType="1"/>
        </xdr:cNvSpPr>
      </xdr:nvSpPr>
      <xdr:spPr bwMode="auto">
        <a:xfrm>
          <a:off x="1978479" y="227320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122</xdr:row>
      <xdr:rowOff>111579</xdr:rowOff>
    </xdr:from>
    <xdr:to>
      <xdr:col>10</xdr:col>
      <xdr:colOff>615043</xdr:colOff>
      <xdr:row>122</xdr:row>
      <xdr:rowOff>111579</xdr:rowOff>
    </xdr:to>
    <xdr:sp macro="" textlink="">
      <xdr:nvSpPr>
        <xdr:cNvPr id="36515" name="Line 33">
          <a:extLst>
            <a:ext uri="{FF2B5EF4-FFF2-40B4-BE49-F238E27FC236}">
              <a16:creationId xmlns:a16="http://schemas.microsoft.com/office/drawing/2014/main" id="{749CCF0E-5F82-4A96-310C-AF856D45A9FF}"/>
            </a:ext>
          </a:extLst>
        </xdr:cNvPr>
        <xdr:cNvSpPr>
          <a:spLocks noChangeShapeType="1"/>
        </xdr:cNvSpPr>
      </xdr:nvSpPr>
      <xdr:spPr bwMode="auto">
        <a:xfrm>
          <a:off x="1978479" y="229280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123</xdr:row>
      <xdr:rowOff>111579</xdr:rowOff>
    </xdr:from>
    <xdr:to>
      <xdr:col>10</xdr:col>
      <xdr:colOff>615043</xdr:colOff>
      <xdr:row>123</xdr:row>
      <xdr:rowOff>111579</xdr:rowOff>
    </xdr:to>
    <xdr:sp macro="" textlink="">
      <xdr:nvSpPr>
        <xdr:cNvPr id="36516" name="Line 34">
          <a:extLst>
            <a:ext uri="{FF2B5EF4-FFF2-40B4-BE49-F238E27FC236}">
              <a16:creationId xmlns:a16="http://schemas.microsoft.com/office/drawing/2014/main" id="{83C95AC1-159E-8FB4-C923-ACD7279F1B3A}"/>
            </a:ext>
          </a:extLst>
        </xdr:cNvPr>
        <xdr:cNvSpPr>
          <a:spLocks noChangeShapeType="1"/>
        </xdr:cNvSpPr>
      </xdr:nvSpPr>
      <xdr:spPr bwMode="auto">
        <a:xfrm>
          <a:off x="1978479" y="231239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124</xdr:row>
      <xdr:rowOff>111579</xdr:rowOff>
    </xdr:from>
    <xdr:to>
      <xdr:col>10</xdr:col>
      <xdr:colOff>615043</xdr:colOff>
      <xdr:row>124</xdr:row>
      <xdr:rowOff>111579</xdr:rowOff>
    </xdr:to>
    <xdr:sp macro="" textlink="">
      <xdr:nvSpPr>
        <xdr:cNvPr id="36517" name="Line 35">
          <a:extLst>
            <a:ext uri="{FF2B5EF4-FFF2-40B4-BE49-F238E27FC236}">
              <a16:creationId xmlns:a16="http://schemas.microsoft.com/office/drawing/2014/main" id="{BCB1BFAF-836A-D9E8-3BE1-850E0C2FE99B}"/>
            </a:ext>
          </a:extLst>
        </xdr:cNvPr>
        <xdr:cNvSpPr>
          <a:spLocks noChangeShapeType="1"/>
        </xdr:cNvSpPr>
      </xdr:nvSpPr>
      <xdr:spPr bwMode="auto">
        <a:xfrm>
          <a:off x="1978479" y="233199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136</xdr:row>
      <xdr:rowOff>111579</xdr:rowOff>
    </xdr:from>
    <xdr:to>
      <xdr:col>10</xdr:col>
      <xdr:colOff>615043</xdr:colOff>
      <xdr:row>136</xdr:row>
      <xdr:rowOff>111579</xdr:rowOff>
    </xdr:to>
    <xdr:sp macro="" textlink="">
      <xdr:nvSpPr>
        <xdr:cNvPr id="36518" name="Line 36">
          <a:extLst>
            <a:ext uri="{FF2B5EF4-FFF2-40B4-BE49-F238E27FC236}">
              <a16:creationId xmlns:a16="http://schemas.microsoft.com/office/drawing/2014/main" id="{F959BDE2-64D4-E15E-1399-EBDAE17F159F}"/>
            </a:ext>
          </a:extLst>
        </xdr:cNvPr>
        <xdr:cNvSpPr>
          <a:spLocks noChangeShapeType="1"/>
        </xdr:cNvSpPr>
      </xdr:nvSpPr>
      <xdr:spPr bwMode="auto">
        <a:xfrm>
          <a:off x="1978479" y="255242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139</xdr:row>
      <xdr:rowOff>111579</xdr:rowOff>
    </xdr:from>
    <xdr:to>
      <xdr:col>10</xdr:col>
      <xdr:colOff>615043</xdr:colOff>
      <xdr:row>139</xdr:row>
      <xdr:rowOff>111579</xdr:rowOff>
    </xdr:to>
    <xdr:sp macro="" textlink="">
      <xdr:nvSpPr>
        <xdr:cNvPr id="36519" name="Line 37">
          <a:extLst>
            <a:ext uri="{FF2B5EF4-FFF2-40B4-BE49-F238E27FC236}">
              <a16:creationId xmlns:a16="http://schemas.microsoft.com/office/drawing/2014/main" id="{969083FD-2A50-C0DE-A667-8AC09F282D01}"/>
            </a:ext>
          </a:extLst>
        </xdr:cNvPr>
        <xdr:cNvSpPr>
          <a:spLocks noChangeShapeType="1"/>
        </xdr:cNvSpPr>
      </xdr:nvSpPr>
      <xdr:spPr bwMode="auto">
        <a:xfrm>
          <a:off x="1978479" y="261202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140</xdr:row>
      <xdr:rowOff>111579</xdr:rowOff>
    </xdr:from>
    <xdr:to>
      <xdr:col>10</xdr:col>
      <xdr:colOff>615043</xdr:colOff>
      <xdr:row>140</xdr:row>
      <xdr:rowOff>111579</xdr:rowOff>
    </xdr:to>
    <xdr:sp macro="" textlink="">
      <xdr:nvSpPr>
        <xdr:cNvPr id="36520" name="Line 38">
          <a:extLst>
            <a:ext uri="{FF2B5EF4-FFF2-40B4-BE49-F238E27FC236}">
              <a16:creationId xmlns:a16="http://schemas.microsoft.com/office/drawing/2014/main" id="{4E2D32B6-BF7B-BD5B-67A6-3034FAA6B764}"/>
            </a:ext>
          </a:extLst>
        </xdr:cNvPr>
        <xdr:cNvSpPr>
          <a:spLocks noChangeShapeType="1"/>
        </xdr:cNvSpPr>
      </xdr:nvSpPr>
      <xdr:spPr bwMode="auto">
        <a:xfrm>
          <a:off x="1978479" y="263162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141</xdr:row>
      <xdr:rowOff>111579</xdr:rowOff>
    </xdr:from>
    <xdr:to>
      <xdr:col>10</xdr:col>
      <xdr:colOff>615043</xdr:colOff>
      <xdr:row>141</xdr:row>
      <xdr:rowOff>111579</xdr:rowOff>
    </xdr:to>
    <xdr:sp macro="" textlink="">
      <xdr:nvSpPr>
        <xdr:cNvPr id="36521" name="Line 39">
          <a:extLst>
            <a:ext uri="{FF2B5EF4-FFF2-40B4-BE49-F238E27FC236}">
              <a16:creationId xmlns:a16="http://schemas.microsoft.com/office/drawing/2014/main" id="{7064BC00-77C8-3C13-B46D-EED0BF652A1B}"/>
            </a:ext>
          </a:extLst>
        </xdr:cNvPr>
        <xdr:cNvSpPr>
          <a:spLocks noChangeShapeType="1"/>
        </xdr:cNvSpPr>
      </xdr:nvSpPr>
      <xdr:spPr bwMode="auto">
        <a:xfrm>
          <a:off x="1978479" y="265121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142</xdr:row>
      <xdr:rowOff>111579</xdr:rowOff>
    </xdr:from>
    <xdr:to>
      <xdr:col>10</xdr:col>
      <xdr:colOff>615043</xdr:colOff>
      <xdr:row>142</xdr:row>
      <xdr:rowOff>111579</xdr:rowOff>
    </xdr:to>
    <xdr:sp macro="" textlink="">
      <xdr:nvSpPr>
        <xdr:cNvPr id="36522" name="Line 40">
          <a:extLst>
            <a:ext uri="{FF2B5EF4-FFF2-40B4-BE49-F238E27FC236}">
              <a16:creationId xmlns:a16="http://schemas.microsoft.com/office/drawing/2014/main" id="{871EC9D1-B74C-448E-8A40-98E6EAEABA2C}"/>
            </a:ext>
          </a:extLst>
        </xdr:cNvPr>
        <xdr:cNvSpPr>
          <a:spLocks noChangeShapeType="1"/>
        </xdr:cNvSpPr>
      </xdr:nvSpPr>
      <xdr:spPr bwMode="auto">
        <a:xfrm>
          <a:off x="1978479" y="267081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154</xdr:row>
      <xdr:rowOff>111579</xdr:rowOff>
    </xdr:from>
    <xdr:to>
      <xdr:col>10</xdr:col>
      <xdr:colOff>615043</xdr:colOff>
      <xdr:row>154</xdr:row>
      <xdr:rowOff>111579</xdr:rowOff>
    </xdr:to>
    <xdr:sp macro="" textlink="">
      <xdr:nvSpPr>
        <xdr:cNvPr id="36523" name="Line 41">
          <a:extLst>
            <a:ext uri="{FF2B5EF4-FFF2-40B4-BE49-F238E27FC236}">
              <a16:creationId xmlns:a16="http://schemas.microsoft.com/office/drawing/2014/main" id="{5FC8B808-FCB9-CAC9-6403-C46E52EE467B}"/>
            </a:ext>
          </a:extLst>
        </xdr:cNvPr>
        <xdr:cNvSpPr>
          <a:spLocks noChangeShapeType="1"/>
        </xdr:cNvSpPr>
      </xdr:nvSpPr>
      <xdr:spPr bwMode="auto">
        <a:xfrm>
          <a:off x="1978479" y="289124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157</xdr:row>
      <xdr:rowOff>111579</xdr:rowOff>
    </xdr:from>
    <xdr:to>
      <xdr:col>10</xdr:col>
      <xdr:colOff>615043</xdr:colOff>
      <xdr:row>157</xdr:row>
      <xdr:rowOff>111579</xdr:rowOff>
    </xdr:to>
    <xdr:sp macro="" textlink="">
      <xdr:nvSpPr>
        <xdr:cNvPr id="36524" name="Line 42">
          <a:extLst>
            <a:ext uri="{FF2B5EF4-FFF2-40B4-BE49-F238E27FC236}">
              <a16:creationId xmlns:a16="http://schemas.microsoft.com/office/drawing/2014/main" id="{85AFF594-D8F6-CAFA-A9D6-FB22AAD11690}"/>
            </a:ext>
          </a:extLst>
        </xdr:cNvPr>
        <xdr:cNvSpPr>
          <a:spLocks noChangeShapeType="1"/>
        </xdr:cNvSpPr>
      </xdr:nvSpPr>
      <xdr:spPr bwMode="auto">
        <a:xfrm>
          <a:off x="1978479" y="295084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158</xdr:row>
      <xdr:rowOff>111579</xdr:rowOff>
    </xdr:from>
    <xdr:to>
      <xdr:col>10</xdr:col>
      <xdr:colOff>615043</xdr:colOff>
      <xdr:row>158</xdr:row>
      <xdr:rowOff>111579</xdr:rowOff>
    </xdr:to>
    <xdr:sp macro="" textlink="">
      <xdr:nvSpPr>
        <xdr:cNvPr id="36525" name="Line 43">
          <a:extLst>
            <a:ext uri="{FF2B5EF4-FFF2-40B4-BE49-F238E27FC236}">
              <a16:creationId xmlns:a16="http://schemas.microsoft.com/office/drawing/2014/main" id="{FC8B9477-505A-FDBA-B3C3-80A2D733154D}"/>
            </a:ext>
          </a:extLst>
        </xdr:cNvPr>
        <xdr:cNvSpPr>
          <a:spLocks noChangeShapeType="1"/>
        </xdr:cNvSpPr>
      </xdr:nvSpPr>
      <xdr:spPr bwMode="auto">
        <a:xfrm>
          <a:off x="1978479" y="297043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159</xdr:row>
      <xdr:rowOff>111579</xdr:rowOff>
    </xdr:from>
    <xdr:to>
      <xdr:col>10</xdr:col>
      <xdr:colOff>615043</xdr:colOff>
      <xdr:row>159</xdr:row>
      <xdr:rowOff>111579</xdr:rowOff>
    </xdr:to>
    <xdr:sp macro="" textlink="">
      <xdr:nvSpPr>
        <xdr:cNvPr id="36526" name="Line 44">
          <a:extLst>
            <a:ext uri="{FF2B5EF4-FFF2-40B4-BE49-F238E27FC236}">
              <a16:creationId xmlns:a16="http://schemas.microsoft.com/office/drawing/2014/main" id="{16C17084-E9C7-D3F8-760B-13CB3BEF95D9}"/>
            </a:ext>
          </a:extLst>
        </xdr:cNvPr>
        <xdr:cNvSpPr>
          <a:spLocks noChangeShapeType="1"/>
        </xdr:cNvSpPr>
      </xdr:nvSpPr>
      <xdr:spPr bwMode="auto">
        <a:xfrm>
          <a:off x="1978479" y="299003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160</xdr:row>
      <xdr:rowOff>111579</xdr:rowOff>
    </xdr:from>
    <xdr:to>
      <xdr:col>10</xdr:col>
      <xdr:colOff>615043</xdr:colOff>
      <xdr:row>160</xdr:row>
      <xdr:rowOff>111579</xdr:rowOff>
    </xdr:to>
    <xdr:sp macro="" textlink="">
      <xdr:nvSpPr>
        <xdr:cNvPr id="36527" name="Line 45">
          <a:extLst>
            <a:ext uri="{FF2B5EF4-FFF2-40B4-BE49-F238E27FC236}">
              <a16:creationId xmlns:a16="http://schemas.microsoft.com/office/drawing/2014/main" id="{04D120CF-1B6A-2244-B1F8-D8D65EA01DD2}"/>
            </a:ext>
          </a:extLst>
        </xdr:cNvPr>
        <xdr:cNvSpPr>
          <a:spLocks noChangeShapeType="1"/>
        </xdr:cNvSpPr>
      </xdr:nvSpPr>
      <xdr:spPr bwMode="auto">
        <a:xfrm>
          <a:off x="1978479" y="300962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172</xdr:row>
      <xdr:rowOff>111579</xdr:rowOff>
    </xdr:from>
    <xdr:to>
      <xdr:col>10</xdr:col>
      <xdr:colOff>615043</xdr:colOff>
      <xdr:row>172</xdr:row>
      <xdr:rowOff>111579</xdr:rowOff>
    </xdr:to>
    <xdr:sp macro="" textlink="">
      <xdr:nvSpPr>
        <xdr:cNvPr id="36528" name="Line 46">
          <a:extLst>
            <a:ext uri="{FF2B5EF4-FFF2-40B4-BE49-F238E27FC236}">
              <a16:creationId xmlns:a16="http://schemas.microsoft.com/office/drawing/2014/main" id="{955C4618-FFA6-C564-66DA-8971186ECF5B}"/>
            </a:ext>
          </a:extLst>
        </xdr:cNvPr>
        <xdr:cNvSpPr>
          <a:spLocks noChangeShapeType="1"/>
        </xdr:cNvSpPr>
      </xdr:nvSpPr>
      <xdr:spPr bwMode="auto">
        <a:xfrm>
          <a:off x="1978479" y="323006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175</xdr:row>
      <xdr:rowOff>111579</xdr:rowOff>
    </xdr:from>
    <xdr:to>
      <xdr:col>10</xdr:col>
      <xdr:colOff>615043</xdr:colOff>
      <xdr:row>175</xdr:row>
      <xdr:rowOff>111579</xdr:rowOff>
    </xdr:to>
    <xdr:sp macro="" textlink="">
      <xdr:nvSpPr>
        <xdr:cNvPr id="36529" name="Line 47">
          <a:extLst>
            <a:ext uri="{FF2B5EF4-FFF2-40B4-BE49-F238E27FC236}">
              <a16:creationId xmlns:a16="http://schemas.microsoft.com/office/drawing/2014/main" id="{7264D83D-03A9-06ED-7910-CC952A766B7D}"/>
            </a:ext>
          </a:extLst>
        </xdr:cNvPr>
        <xdr:cNvSpPr>
          <a:spLocks noChangeShapeType="1"/>
        </xdr:cNvSpPr>
      </xdr:nvSpPr>
      <xdr:spPr bwMode="auto">
        <a:xfrm>
          <a:off x="1978479" y="328966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176</xdr:row>
      <xdr:rowOff>111579</xdr:rowOff>
    </xdr:from>
    <xdr:to>
      <xdr:col>10</xdr:col>
      <xdr:colOff>615043</xdr:colOff>
      <xdr:row>176</xdr:row>
      <xdr:rowOff>111579</xdr:rowOff>
    </xdr:to>
    <xdr:sp macro="" textlink="">
      <xdr:nvSpPr>
        <xdr:cNvPr id="36530" name="Line 48">
          <a:extLst>
            <a:ext uri="{FF2B5EF4-FFF2-40B4-BE49-F238E27FC236}">
              <a16:creationId xmlns:a16="http://schemas.microsoft.com/office/drawing/2014/main" id="{26465D9F-1CBF-AD2B-FDF0-9658EC94FD2C}"/>
            </a:ext>
          </a:extLst>
        </xdr:cNvPr>
        <xdr:cNvSpPr>
          <a:spLocks noChangeShapeType="1"/>
        </xdr:cNvSpPr>
      </xdr:nvSpPr>
      <xdr:spPr bwMode="auto">
        <a:xfrm>
          <a:off x="1978479" y="330925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177</xdr:row>
      <xdr:rowOff>111579</xdr:rowOff>
    </xdr:from>
    <xdr:to>
      <xdr:col>10</xdr:col>
      <xdr:colOff>615043</xdr:colOff>
      <xdr:row>177</xdr:row>
      <xdr:rowOff>111579</xdr:rowOff>
    </xdr:to>
    <xdr:sp macro="" textlink="">
      <xdr:nvSpPr>
        <xdr:cNvPr id="36531" name="Line 49">
          <a:extLst>
            <a:ext uri="{FF2B5EF4-FFF2-40B4-BE49-F238E27FC236}">
              <a16:creationId xmlns:a16="http://schemas.microsoft.com/office/drawing/2014/main" id="{45ABA043-1EB4-2D7C-AF3D-530638847550}"/>
            </a:ext>
          </a:extLst>
        </xdr:cNvPr>
        <xdr:cNvSpPr>
          <a:spLocks noChangeShapeType="1"/>
        </xdr:cNvSpPr>
      </xdr:nvSpPr>
      <xdr:spPr bwMode="auto">
        <a:xfrm>
          <a:off x="1978479" y="332885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178</xdr:row>
      <xdr:rowOff>111579</xdr:rowOff>
    </xdr:from>
    <xdr:to>
      <xdr:col>10</xdr:col>
      <xdr:colOff>615043</xdr:colOff>
      <xdr:row>178</xdr:row>
      <xdr:rowOff>111579</xdr:rowOff>
    </xdr:to>
    <xdr:sp macro="" textlink="">
      <xdr:nvSpPr>
        <xdr:cNvPr id="36532" name="Line 50">
          <a:extLst>
            <a:ext uri="{FF2B5EF4-FFF2-40B4-BE49-F238E27FC236}">
              <a16:creationId xmlns:a16="http://schemas.microsoft.com/office/drawing/2014/main" id="{F14497B9-BDEE-7D2F-A9C2-974256FA73C0}"/>
            </a:ext>
          </a:extLst>
        </xdr:cNvPr>
        <xdr:cNvSpPr>
          <a:spLocks noChangeShapeType="1"/>
        </xdr:cNvSpPr>
      </xdr:nvSpPr>
      <xdr:spPr bwMode="auto">
        <a:xfrm>
          <a:off x="1978479" y="334844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190</xdr:row>
      <xdr:rowOff>111579</xdr:rowOff>
    </xdr:from>
    <xdr:to>
      <xdr:col>10</xdr:col>
      <xdr:colOff>615043</xdr:colOff>
      <xdr:row>190</xdr:row>
      <xdr:rowOff>111579</xdr:rowOff>
    </xdr:to>
    <xdr:sp macro="" textlink="">
      <xdr:nvSpPr>
        <xdr:cNvPr id="36533" name="Line 51">
          <a:extLst>
            <a:ext uri="{FF2B5EF4-FFF2-40B4-BE49-F238E27FC236}">
              <a16:creationId xmlns:a16="http://schemas.microsoft.com/office/drawing/2014/main" id="{9AD66B13-0F0F-01FC-0CBE-1480A9D84297}"/>
            </a:ext>
          </a:extLst>
        </xdr:cNvPr>
        <xdr:cNvSpPr>
          <a:spLocks noChangeShapeType="1"/>
        </xdr:cNvSpPr>
      </xdr:nvSpPr>
      <xdr:spPr bwMode="auto">
        <a:xfrm>
          <a:off x="1978479" y="356888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193</xdr:row>
      <xdr:rowOff>111579</xdr:rowOff>
    </xdr:from>
    <xdr:to>
      <xdr:col>10</xdr:col>
      <xdr:colOff>615043</xdr:colOff>
      <xdr:row>193</xdr:row>
      <xdr:rowOff>111579</xdr:rowOff>
    </xdr:to>
    <xdr:sp macro="" textlink="">
      <xdr:nvSpPr>
        <xdr:cNvPr id="36534" name="Line 52">
          <a:extLst>
            <a:ext uri="{FF2B5EF4-FFF2-40B4-BE49-F238E27FC236}">
              <a16:creationId xmlns:a16="http://schemas.microsoft.com/office/drawing/2014/main" id="{BEC4BCB3-B0D7-DD3E-0AC0-82C6003AA42A}"/>
            </a:ext>
          </a:extLst>
        </xdr:cNvPr>
        <xdr:cNvSpPr>
          <a:spLocks noChangeShapeType="1"/>
        </xdr:cNvSpPr>
      </xdr:nvSpPr>
      <xdr:spPr bwMode="auto">
        <a:xfrm>
          <a:off x="1978479" y="362848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194</xdr:row>
      <xdr:rowOff>111579</xdr:rowOff>
    </xdr:from>
    <xdr:to>
      <xdr:col>10</xdr:col>
      <xdr:colOff>615043</xdr:colOff>
      <xdr:row>194</xdr:row>
      <xdr:rowOff>111579</xdr:rowOff>
    </xdr:to>
    <xdr:sp macro="" textlink="">
      <xdr:nvSpPr>
        <xdr:cNvPr id="36535" name="Line 53">
          <a:extLst>
            <a:ext uri="{FF2B5EF4-FFF2-40B4-BE49-F238E27FC236}">
              <a16:creationId xmlns:a16="http://schemas.microsoft.com/office/drawing/2014/main" id="{DEE69A9A-41ED-6007-31F6-CD92E50D853E}"/>
            </a:ext>
          </a:extLst>
        </xdr:cNvPr>
        <xdr:cNvSpPr>
          <a:spLocks noChangeShapeType="1"/>
        </xdr:cNvSpPr>
      </xdr:nvSpPr>
      <xdr:spPr bwMode="auto">
        <a:xfrm>
          <a:off x="1978479" y="364807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195</xdr:row>
      <xdr:rowOff>111579</xdr:rowOff>
    </xdr:from>
    <xdr:to>
      <xdr:col>10</xdr:col>
      <xdr:colOff>615043</xdr:colOff>
      <xdr:row>195</xdr:row>
      <xdr:rowOff>111579</xdr:rowOff>
    </xdr:to>
    <xdr:sp macro="" textlink="">
      <xdr:nvSpPr>
        <xdr:cNvPr id="36536" name="Line 54">
          <a:extLst>
            <a:ext uri="{FF2B5EF4-FFF2-40B4-BE49-F238E27FC236}">
              <a16:creationId xmlns:a16="http://schemas.microsoft.com/office/drawing/2014/main" id="{B225B47D-4A14-6ADD-AAF7-7F80BCC4C54B}"/>
            </a:ext>
          </a:extLst>
        </xdr:cNvPr>
        <xdr:cNvSpPr>
          <a:spLocks noChangeShapeType="1"/>
        </xdr:cNvSpPr>
      </xdr:nvSpPr>
      <xdr:spPr bwMode="auto">
        <a:xfrm>
          <a:off x="1978479" y="366766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196</xdr:row>
      <xdr:rowOff>111579</xdr:rowOff>
    </xdr:from>
    <xdr:to>
      <xdr:col>10</xdr:col>
      <xdr:colOff>615043</xdr:colOff>
      <xdr:row>196</xdr:row>
      <xdr:rowOff>111579</xdr:rowOff>
    </xdr:to>
    <xdr:sp macro="" textlink="">
      <xdr:nvSpPr>
        <xdr:cNvPr id="36537" name="Line 55">
          <a:extLst>
            <a:ext uri="{FF2B5EF4-FFF2-40B4-BE49-F238E27FC236}">
              <a16:creationId xmlns:a16="http://schemas.microsoft.com/office/drawing/2014/main" id="{FB0361B5-0BBE-3CAA-2218-58ADC50A5A06}"/>
            </a:ext>
          </a:extLst>
        </xdr:cNvPr>
        <xdr:cNvSpPr>
          <a:spLocks noChangeShapeType="1"/>
        </xdr:cNvSpPr>
      </xdr:nvSpPr>
      <xdr:spPr bwMode="auto">
        <a:xfrm>
          <a:off x="1978479" y="368726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208</xdr:row>
      <xdr:rowOff>111579</xdr:rowOff>
    </xdr:from>
    <xdr:to>
      <xdr:col>10</xdr:col>
      <xdr:colOff>615043</xdr:colOff>
      <xdr:row>208</xdr:row>
      <xdr:rowOff>111579</xdr:rowOff>
    </xdr:to>
    <xdr:sp macro="" textlink="">
      <xdr:nvSpPr>
        <xdr:cNvPr id="36538" name="Line 56">
          <a:extLst>
            <a:ext uri="{FF2B5EF4-FFF2-40B4-BE49-F238E27FC236}">
              <a16:creationId xmlns:a16="http://schemas.microsoft.com/office/drawing/2014/main" id="{484EC249-5B46-109D-6B9C-6DBA679395F9}"/>
            </a:ext>
          </a:extLst>
        </xdr:cNvPr>
        <xdr:cNvSpPr>
          <a:spLocks noChangeShapeType="1"/>
        </xdr:cNvSpPr>
      </xdr:nvSpPr>
      <xdr:spPr bwMode="auto">
        <a:xfrm>
          <a:off x="1978479" y="390769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211</xdr:row>
      <xdr:rowOff>111579</xdr:rowOff>
    </xdr:from>
    <xdr:to>
      <xdr:col>10</xdr:col>
      <xdr:colOff>615043</xdr:colOff>
      <xdr:row>211</xdr:row>
      <xdr:rowOff>111579</xdr:rowOff>
    </xdr:to>
    <xdr:sp macro="" textlink="">
      <xdr:nvSpPr>
        <xdr:cNvPr id="36539" name="Line 57">
          <a:extLst>
            <a:ext uri="{FF2B5EF4-FFF2-40B4-BE49-F238E27FC236}">
              <a16:creationId xmlns:a16="http://schemas.microsoft.com/office/drawing/2014/main" id="{FA5D06EF-90CC-8AE0-0058-35B95A5E713A}"/>
            </a:ext>
          </a:extLst>
        </xdr:cNvPr>
        <xdr:cNvSpPr>
          <a:spLocks noChangeShapeType="1"/>
        </xdr:cNvSpPr>
      </xdr:nvSpPr>
      <xdr:spPr bwMode="auto">
        <a:xfrm>
          <a:off x="1978479" y="396729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212</xdr:row>
      <xdr:rowOff>111579</xdr:rowOff>
    </xdr:from>
    <xdr:to>
      <xdr:col>10</xdr:col>
      <xdr:colOff>615043</xdr:colOff>
      <xdr:row>212</xdr:row>
      <xdr:rowOff>111579</xdr:rowOff>
    </xdr:to>
    <xdr:sp macro="" textlink="">
      <xdr:nvSpPr>
        <xdr:cNvPr id="36540" name="Line 58">
          <a:extLst>
            <a:ext uri="{FF2B5EF4-FFF2-40B4-BE49-F238E27FC236}">
              <a16:creationId xmlns:a16="http://schemas.microsoft.com/office/drawing/2014/main" id="{15937844-25A7-3630-87EA-85FD76D5F731}"/>
            </a:ext>
          </a:extLst>
        </xdr:cNvPr>
        <xdr:cNvSpPr>
          <a:spLocks noChangeShapeType="1"/>
        </xdr:cNvSpPr>
      </xdr:nvSpPr>
      <xdr:spPr bwMode="auto">
        <a:xfrm>
          <a:off x="1978479" y="398689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213</xdr:row>
      <xdr:rowOff>111579</xdr:rowOff>
    </xdr:from>
    <xdr:to>
      <xdr:col>10</xdr:col>
      <xdr:colOff>615043</xdr:colOff>
      <xdr:row>213</xdr:row>
      <xdr:rowOff>111579</xdr:rowOff>
    </xdr:to>
    <xdr:sp macro="" textlink="">
      <xdr:nvSpPr>
        <xdr:cNvPr id="36541" name="Line 59">
          <a:extLst>
            <a:ext uri="{FF2B5EF4-FFF2-40B4-BE49-F238E27FC236}">
              <a16:creationId xmlns:a16="http://schemas.microsoft.com/office/drawing/2014/main" id="{5BE7412F-3E92-4A0D-8CB1-97DBD6FDACA9}"/>
            </a:ext>
          </a:extLst>
        </xdr:cNvPr>
        <xdr:cNvSpPr>
          <a:spLocks noChangeShapeType="1"/>
        </xdr:cNvSpPr>
      </xdr:nvSpPr>
      <xdr:spPr bwMode="auto">
        <a:xfrm>
          <a:off x="1978479" y="400648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214</xdr:row>
      <xdr:rowOff>111579</xdr:rowOff>
    </xdr:from>
    <xdr:to>
      <xdr:col>10</xdr:col>
      <xdr:colOff>615043</xdr:colOff>
      <xdr:row>214</xdr:row>
      <xdr:rowOff>111579</xdr:rowOff>
    </xdr:to>
    <xdr:sp macro="" textlink="">
      <xdr:nvSpPr>
        <xdr:cNvPr id="36542" name="Line 60">
          <a:extLst>
            <a:ext uri="{FF2B5EF4-FFF2-40B4-BE49-F238E27FC236}">
              <a16:creationId xmlns:a16="http://schemas.microsoft.com/office/drawing/2014/main" id="{FBC1EE86-ED9B-80A0-B079-11244E6F6C1A}"/>
            </a:ext>
          </a:extLst>
        </xdr:cNvPr>
        <xdr:cNvSpPr>
          <a:spLocks noChangeShapeType="1"/>
        </xdr:cNvSpPr>
      </xdr:nvSpPr>
      <xdr:spPr bwMode="auto">
        <a:xfrm>
          <a:off x="1978479" y="402608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226</xdr:row>
      <xdr:rowOff>111579</xdr:rowOff>
    </xdr:from>
    <xdr:to>
      <xdr:col>10</xdr:col>
      <xdr:colOff>615043</xdr:colOff>
      <xdr:row>226</xdr:row>
      <xdr:rowOff>111579</xdr:rowOff>
    </xdr:to>
    <xdr:sp macro="" textlink="">
      <xdr:nvSpPr>
        <xdr:cNvPr id="36543" name="Line 61">
          <a:extLst>
            <a:ext uri="{FF2B5EF4-FFF2-40B4-BE49-F238E27FC236}">
              <a16:creationId xmlns:a16="http://schemas.microsoft.com/office/drawing/2014/main" id="{8624758B-45E9-59F9-6610-AD5451DC8790}"/>
            </a:ext>
          </a:extLst>
        </xdr:cNvPr>
        <xdr:cNvSpPr>
          <a:spLocks noChangeShapeType="1"/>
        </xdr:cNvSpPr>
      </xdr:nvSpPr>
      <xdr:spPr bwMode="auto">
        <a:xfrm>
          <a:off x="1978479" y="424651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229</xdr:row>
      <xdr:rowOff>111579</xdr:rowOff>
    </xdr:from>
    <xdr:to>
      <xdr:col>10</xdr:col>
      <xdr:colOff>615043</xdr:colOff>
      <xdr:row>229</xdr:row>
      <xdr:rowOff>111579</xdr:rowOff>
    </xdr:to>
    <xdr:sp macro="" textlink="">
      <xdr:nvSpPr>
        <xdr:cNvPr id="36544" name="Line 62">
          <a:extLst>
            <a:ext uri="{FF2B5EF4-FFF2-40B4-BE49-F238E27FC236}">
              <a16:creationId xmlns:a16="http://schemas.microsoft.com/office/drawing/2014/main" id="{F2E7960F-E119-06A1-F0A7-32694C30D3C1}"/>
            </a:ext>
          </a:extLst>
        </xdr:cNvPr>
        <xdr:cNvSpPr>
          <a:spLocks noChangeShapeType="1"/>
        </xdr:cNvSpPr>
      </xdr:nvSpPr>
      <xdr:spPr bwMode="auto">
        <a:xfrm>
          <a:off x="1978479" y="430611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230</xdr:row>
      <xdr:rowOff>111579</xdr:rowOff>
    </xdr:from>
    <xdr:to>
      <xdr:col>10</xdr:col>
      <xdr:colOff>615043</xdr:colOff>
      <xdr:row>230</xdr:row>
      <xdr:rowOff>111579</xdr:rowOff>
    </xdr:to>
    <xdr:sp macro="" textlink="">
      <xdr:nvSpPr>
        <xdr:cNvPr id="36545" name="Line 63">
          <a:extLst>
            <a:ext uri="{FF2B5EF4-FFF2-40B4-BE49-F238E27FC236}">
              <a16:creationId xmlns:a16="http://schemas.microsoft.com/office/drawing/2014/main" id="{668A65A2-75EB-102B-2A71-E0B0218C6E34}"/>
            </a:ext>
          </a:extLst>
        </xdr:cNvPr>
        <xdr:cNvSpPr>
          <a:spLocks noChangeShapeType="1"/>
        </xdr:cNvSpPr>
      </xdr:nvSpPr>
      <xdr:spPr bwMode="auto">
        <a:xfrm>
          <a:off x="1978479" y="432571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231</xdr:row>
      <xdr:rowOff>111579</xdr:rowOff>
    </xdr:from>
    <xdr:to>
      <xdr:col>10</xdr:col>
      <xdr:colOff>615043</xdr:colOff>
      <xdr:row>231</xdr:row>
      <xdr:rowOff>111579</xdr:rowOff>
    </xdr:to>
    <xdr:sp macro="" textlink="">
      <xdr:nvSpPr>
        <xdr:cNvPr id="36546" name="Line 64">
          <a:extLst>
            <a:ext uri="{FF2B5EF4-FFF2-40B4-BE49-F238E27FC236}">
              <a16:creationId xmlns:a16="http://schemas.microsoft.com/office/drawing/2014/main" id="{015EF1F7-9C0C-4C63-F0C1-A8D0CFF8EB00}"/>
            </a:ext>
          </a:extLst>
        </xdr:cNvPr>
        <xdr:cNvSpPr>
          <a:spLocks noChangeShapeType="1"/>
        </xdr:cNvSpPr>
      </xdr:nvSpPr>
      <xdr:spPr bwMode="auto">
        <a:xfrm>
          <a:off x="1978479" y="434530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232</xdr:row>
      <xdr:rowOff>111579</xdr:rowOff>
    </xdr:from>
    <xdr:to>
      <xdr:col>10</xdr:col>
      <xdr:colOff>615043</xdr:colOff>
      <xdr:row>232</xdr:row>
      <xdr:rowOff>111579</xdr:rowOff>
    </xdr:to>
    <xdr:sp macro="" textlink="">
      <xdr:nvSpPr>
        <xdr:cNvPr id="36547" name="Line 65">
          <a:extLst>
            <a:ext uri="{FF2B5EF4-FFF2-40B4-BE49-F238E27FC236}">
              <a16:creationId xmlns:a16="http://schemas.microsoft.com/office/drawing/2014/main" id="{C7288DC3-22BB-91E0-D351-D7BAD0D4362E}"/>
            </a:ext>
          </a:extLst>
        </xdr:cNvPr>
        <xdr:cNvSpPr>
          <a:spLocks noChangeShapeType="1"/>
        </xdr:cNvSpPr>
      </xdr:nvSpPr>
      <xdr:spPr bwMode="auto">
        <a:xfrm>
          <a:off x="1978479" y="436489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244</xdr:row>
      <xdr:rowOff>111579</xdr:rowOff>
    </xdr:from>
    <xdr:to>
      <xdr:col>10</xdr:col>
      <xdr:colOff>615043</xdr:colOff>
      <xdr:row>244</xdr:row>
      <xdr:rowOff>111579</xdr:rowOff>
    </xdr:to>
    <xdr:sp macro="" textlink="">
      <xdr:nvSpPr>
        <xdr:cNvPr id="36548" name="Line 66">
          <a:extLst>
            <a:ext uri="{FF2B5EF4-FFF2-40B4-BE49-F238E27FC236}">
              <a16:creationId xmlns:a16="http://schemas.microsoft.com/office/drawing/2014/main" id="{AC2A3EB2-93AB-E9BC-0F18-AD43FDF5718C}"/>
            </a:ext>
          </a:extLst>
        </xdr:cNvPr>
        <xdr:cNvSpPr>
          <a:spLocks noChangeShapeType="1"/>
        </xdr:cNvSpPr>
      </xdr:nvSpPr>
      <xdr:spPr bwMode="auto">
        <a:xfrm>
          <a:off x="1978479" y="458533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247</xdr:row>
      <xdr:rowOff>111579</xdr:rowOff>
    </xdr:from>
    <xdr:to>
      <xdr:col>10</xdr:col>
      <xdr:colOff>615043</xdr:colOff>
      <xdr:row>247</xdr:row>
      <xdr:rowOff>111579</xdr:rowOff>
    </xdr:to>
    <xdr:sp macro="" textlink="">
      <xdr:nvSpPr>
        <xdr:cNvPr id="36549" name="Line 67">
          <a:extLst>
            <a:ext uri="{FF2B5EF4-FFF2-40B4-BE49-F238E27FC236}">
              <a16:creationId xmlns:a16="http://schemas.microsoft.com/office/drawing/2014/main" id="{2E39EA5C-92D0-5304-366B-CDE14C78C05E}"/>
            </a:ext>
          </a:extLst>
        </xdr:cNvPr>
        <xdr:cNvSpPr>
          <a:spLocks noChangeShapeType="1"/>
        </xdr:cNvSpPr>
      </xdr:nvSpPr>
      <xdr:spPr bwMode="auto">
        <a:xfrm>
          <a:off x="1978479" y="464493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248</xdr:row>
      <xdr:rowOff>111579</xdr:rowOff>
    </xdr:from>
    <xdr:to>
      <xdr:col>10</xdr:col>
      <xdr:colOff>615043</xdr:colOff>
      <xdr:row>248</xdr:row>
      <xdr:rowOff>111579</xdr:rowOff>
    </xdr:to>
    <xdr:sp macro="" textlink="">
      <xdr:nvSpPr>
        <xdr:cNvPr id="36550" name="Line 68">
          <a:extLst>
            <a:ext uri="{FF2B5EF4-FFF2-40B4-BE49-F238E27FC236}">
              <a16:creationId xmlns:a16="http://schemas.microsoft.com/office/drawing/2014/main" id="{ED049546-1FFE-3EC6-3B0E-D74487791857}"/>
            </a:ext>
          </a:extLst>
        </xdr:cNvPr>
        <xdr:cNvSpPr>
          <a:spLocks noChangeShapeType="1"/>
        </xdr:cNvSpPr>
      </xdr:nvSpPr>
      <xdr:spPr bwMode="auto">
        <a:xfrm>
          <a:off x="1978479" y="466452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249</xdr:row>
      <xdr:rowOff>111579</xdr:rowOff>
    </xdr:from>
    <xdr:to>
      <xdr:col>10</xdr:col>
      <xdr:colOff>615043</xdr:colOff>
      <xdr:row>249</xdr:row>
      <xdr:rowOff>111579</xdr:rowOff>
    </xdr:to>
    <xdr:sp macro="" textlink="">
      <xdr:nvSpPr>
        <xdr:cNvPr id="36551" name="Line 69">
          <a:extLst>
            <a:ext uri="{FF2B5EF4-FFF2-40B4-BE49-F238E27FC236}">
              <a16:creationId xmlns:a16="http://schemas.microsoft.com/office/drawing/2014/main" id="{2418EAB3-6E59-F5EE-F619-951BF3D83BB5}"/>
            </a:ext>
          </a:extLst>
        </xdr:cNvPr>
        <xdr:cNvSpPr>
          <a:spLocks noChangeShapeType="1"/>
        </xdr:cNvSpPr>
      </xdr:nvSpPr>
      <xdr:spPr bwMode="auto">
        <a:xfrm>
          <a:off x="1978479" y="468412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250</xdr:row>
      <xdr:rowOff>111579</xdr:rowOff>
    </xdr:from>
    <xdr:to>
      <xdr:col>10</xdr:col>
      <xdr:colOff>615043</xdr:colOff>
      <xdr:row>250</xdr:row>
      <xdr:rowOff>111579</xdr:rowOff>
    </xdr:to>
    <xdr:sp macro="" textlink="">
      <xdr:nvSpPr>
        <xdr:cNvPr id="36552" name="Line 70">
          <a:extLst>
            <a:ext uri="{FF2B5EF4-FFF2-40B4-BE49-F238E27FC236}">
              <a16:creationId xmlns:a16="http://schemas.microsoft.com/office/drawing/2014/main" id="{5254652B-5F12-03E8-E9AD-52C96B4FC694}"/>
            </a:ext>
          </a:extLst>
        </xdr:cNvPr>
        <xdr:cNvSpPr>
          <a:spLocks noChangeShapeType="1"/>
        </xdr:cNvSpPr>
      </xdr:nvSpPr>
      <xdr:spPr bwMode="auto">
        <a:xfrm>
          <a:off x="1978479" y="470371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262</xdr:row>
      <xdr:rowOff>111579</xdr:rowOff>
    </xdr:from>
    <xdr:to>
      <xdr:col>10</xdr:col>
      <xdr:colOff>615043</xdr:colOff>
      <xdr:row>262</xdr:row>
      <xdr:rowOff>111579</xdr:rowOff>
    </xdr:to>
    <xdr:sp macro="" textlink="">
      <xdr:nvSpPr>
        <xdr:cNvPr id="36553" name="Line 71">
          <a:extLst>
            <a:ext uri="{FF2B5EF4-FFF2-40B4-BE49-F238E27FC236}">
              <a16:creationId xmlns:a16="http://schemas.microsoft.com/office/drawing/2014/main" id="{FA2EA977-82CD-7CFE-3074-27639BCF8671}"/>
            </a:ext>
          </a:extLst>
        </xdr:cNvPr>
        <xdr:cNvSpPr>
          <a:spLocks noChangeShapeType="1"/>
        </xdr:cNvSpPr>
      </xdr:nvSpPr>
      <xdr:spPr bwMode="auto">
        <a:xfrm>
          <a:off x="1978479" y="492415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265</xdr:row>
      <xdr:rowOff>111579</xdr:rowOff>
    </xdr:from>
    <xdr:to>
      <xdr:col>10</xdr:col>
      <xdr:colOff>615043</xdr:colOff>
      <xdr:row>265</xdr:row>
      <xdr:rowOff>111579</xdr:rowOff>
    </xdr:to>
    <xdr:sp macro="" textlink="">
      <xdr:nvSpPr>
        <xdr:cNvPr id="36554" name="Line 72">
          <a:extLst>
            <a:ext uri="{FF2B5EF4-FFF2-40B4-BE49-F238E27FC236}">
              <a16:creationId xmlns:a16="http://schemas.microsoft.com/office/drawing/2014/main" id="{64094E75-1ADD-816E-C536-C9220FF9004E}"/>
            </a:ext>
          </a:extLst>
        </xdr:cNvPr>
        <xdr:cNvSpPr>
          <a:spLocks noChangeShapeType="1"/>
        </xdr:cNvSpPr>
      </xdr:nvSpPr>
      <xdr:spPr bwMode="auto">
        <a:xfrm>
          <a:off x="1978479" y="498375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266</xdr:row>
      <xdr:rowOff>111579</xdr:rowOff>
    </xdr:from>
    <xdr:to>
      <xdr:col>10</xdr:col>
      <xdr:colOff>615043</xdr:colOff>
      <xdr:row>266</xdr:row>
      <xdr:rowOff>111579</xdr:rowOff>
    </xdr:to>
    <xdr:sp macro="" textlink="">
      <xdr:nvSpPr>
        <xdr:cNvPr id="36555" name="Line 73">
          <a:extLst>
            <a:ext uri="{FF2B5EF4-FFF2-40B4-BE49-F238E27FC236}">
              <a16:creationId xmlns:a16="http://schemas.microsoft.com/office/drawing/2014/main" id="{DE8E7BEB-8131-2A86-592F-1AE9D94ABDBC}"/>
            </a:ext>
          </a:extLst>
        </xdr:cNvPr>
        <xdr:cNvSpPr>
          <a:spLocks noChangeShapeType="1"/>
        </xdr:cNvSpPr>
      </xdr:nvSpPr>
      <xdr:spPr bwMode="auto">
        <a:xfrm>
          <a:off x="1978479" y="500334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267</xdr:row>
      <xdr:rowOff>111579</xdr:rowOff>
    </xdr:from>
    <xdr:to>
      <xdr:col>10</xdr:col>
      <xdr:colOff>615043</xdr:colOff>
      <xdr:row>267</xdr:row>
      <xdr:rowOff>111579</xdr:rowOff>
    </xdr:to>
    <xdr:sp macro="" textlink="">
      <xdr:nvSpPr>
        <xdr:cNvPr id="36556" name="Line 74">
          <a:extLst>
            <a:ext uri="{FF2B5EF4-FFF2-40B4-BE49-F238E27FC236}">
              <a16:creationId xmlns:a16="http://schemas.microsoft.com/office/drawing/2014/main" id="{92A65AC6-BFA6-5F98-50E3-008F7811AEC5}"/>
            </a:ext>
          </a:extLst>
        </xdr:cNvPr>
        <xdr:cNvSpPr>
          <a:spLocks noChangeShapeType="1"/>
        </xdr:cNvSpPr>
      </xdr:nvSpPr>
      <xdr:spPr bwMode="auto">
        <a:xfrm>
          <a:off x="1978479" y="502294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268</xdr:row>
      <xdr:rowOff>111579</xdr:rowOff>
    </xdr:from>
    <xdr:to>
      <xdr:col>10</xdr:col>
      <xdr:colOff>615043</xdr:colOff>
      <xdr:row>268</xdr:row>
      <xdr:rowOff>111579</xdr:rowOff>
    </xdr:to>
    <xdr:sp macro="" textlink="">
      <xdr:nvSpPr>
        <xdr:cNvPr id="36557" name="Line 75">
          <a:extLst>
            <a:ext uri="{FF2B5EF4-FFF2-40B4-BE49-F238E27FC236}">
              <a16:creationId xmlns:a16="http://schemas.microsoft.com/office/drawing/2014/main" id="{BEEC008E-384D-29AA-B522-254FE451E202}"/>
            </a:ext>
          </a:extLst>
        </xdr:cNvPr>
        <xdr:cNvSpPr>
          <a:spLocks noChangeShapeType="1"/>
        </xdr:cNvSpPr>
      </xdr:nvSpPr>
      <xdr:spPr bwMode="auto">
        <a:xfrm>
          <a:off x="1978479" y="504253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280</xdr:row>
      <xdr:rowOff>111579</xdr:rowOff>
    </xdr:from>
    <xdr:to>
      <xdr:col>10</xdr:col>
      <xdr:colOff>615043</xdr:colOff>
      <xdr:row>280</xdr:row>
      <xdr:rowOff>111579</xdr:rowOff>
    </xdr:to>
    <xdr:sp macro="" textlink="">
      <xdr:nvSpPr>
        <xdr:cNvPr id="36558" name="Line 76">
          <a:extLst>
            <a:ext uri="{FF2B5EF4-FFF2-40B4-BE49-F238E27FC236}">
              <a16:creationId xmlns:a16="http://schemas.microsoft.com/office/drawing/2014/main" id="{15918F01-C3CB-F480-8E66-D99B8F22D9CD}"/>
            </a:ext>
          </a:extLst>
        </xdr:cNvPr>
        <xdr:cNvSpPr>
          <a:spLocks noChangeShapeType="1"/>
        </xdr:cNvSpPr>
      </xdr:nvSpPr>
      <xdr:spPr bwMode="auto">
        <a:xfrm>
          <a:off x="1978479" y="526297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283</xdr:row>
      <xdr:rowOff>111579</xdr:rowOff>
    </xdr:from>
    <xdr:to>
      <xdr:col>10</xdr:col>
      <xdr:colOff>615043</xdr:colOff>
      <xdr:row>283</xdr:row>
      <xdr:rowOff>111579</xdr:rowOff>
    </xdr:to>
    <xdr:sp macro="" textlink="">
      <xdr:nvSpPr>
        <xdr:cNvPr id="36559" name="Line 77">
          <a:extLst>
            <a:ext uri="{FF2B5EF4-FFF2-40B4-BE49-F238E27FC236}">
              <a16:creationId xmlns:a16="http://schemas.microsoft.com/office/drawing/2014/main" id="{33BA736E-377B-6B97-8D46-2F68545D4608}"/>
            </a:ext>
          </a:extLst>
        </xdr:cNvPr>
        <xdr:cNvSpPr>
          <a:spLocks noChangeShapeType="1"/>
        </xdr:cNvSpPr>
      </xdr:nvSpPr>
      <xdr:spPr bwMode="auto">
        <a:xfrm>
          <a:off x="1978479" y="532257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284</xdr:row>
      <xdr:rowOff>111579</xdr:rowOff>
    </xdr:from>
    <xdr:to>
      <xdr:col>10</xdr:col>
      <xdr:colOff>615043</xdr:colOff>
      <xdr:row>284</xdr:row>
      <xdr:rowOff>111579</xdr:rowOff>
    </xdr:to>
    <xdr:sp macro="" textlink="">
      <xdr:nvSpPr>
        <xdr:cNvPr id="36560" name="Line 78">
          <a:extLst>
            <a:ext uri="{FF2B5EF4-FFF2-40B4-BE49-F238E27FC236}">
              <a16:creationId xmlns:a16="http://schemas.microsoft.com/office/drawing/2014/main" id="{CBEE2B42-9D49-14AB-D71B-7FFADD893F74}"/>
            </a:ext>
          </a:extLst>
        </xdr:cNvPr>
        <xdr:cNvSpPr>
          <a:spLocks noChangeShapeType="1"/>
        </xdr:cNvSpPr>
      </xdr:nvSpPr>
      <xdr:spPr bwMode="auto">
        <a:xfrm>
          <a:off x="1978479" y="534216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285</xdr:row>
      <xdr:rowOff>111579</xdr:rowOff>
    </xdr:from>
    <xdr:to>
      <xdr:col>10</xdr:col>
      <xdr:colOff>615043</xdr:colOff>
      <xdr:row>285</xdr:row>
      <xdr:rowOff>111579</xdr:rowOff>
    </xdr:to>
    <xdr:sp macro="" textlink="">
      <xdr:nvSpPr>
        <xdr:cNvPr id="36561" name="Line 79">
          <a:extLst>
            <a:ext uri="{FF2B5EF4-FFF2-40B4-BE49-F238E27FC236}">
              <a16:creationId xmlns:a16="http://schemas.microsoft.com/office/drawing/2014/main" id="{EF90E14A-2116-3D1E-F2A1-0817B07453A1}"/>
            </a:ext>
          </a:extLst>
        </xdr:cNvPr>
        <xdr:cNvSpPr>
          <a:spLocks noChangeShapeType="1"/>
        </xdr:cNvSpPr>
      </xdr:nvSpPr>
      <xdr:spPr bwMode="auto">
        <a:xfrm>
          <a:off x="1978479" y="536175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286</xdr:row>
      <xdr:rowOff>111579</xdr:rowOff>
    </xdr:from>
    <xdr:to>
      <xdr:col>10</xdr:col>
      <xdr:colOff>615043</xdr:colOff>
      <xdr:row>286</xdr:row>
      <xdr:rowOff>111579</xdr:rowOff>
    </xdr:to>
    <xdr:sp macro="" textlink="">
      <xdr:nvSpPr>
        <xdr:cNvPr id="36562" name="Line 80">
          <a:extLst>
            <a:ext uri="{FF2B5EF4-FFF2-40B4-BE49-F238E27FC236}">
              <a16:creationId xmlns:a16="http://schemas.microsoft.com/office/drawing/2014/main" id="{6BD0F0A0-950E-1884-1524-4B36C20B032A}"/>
            </a:ext>
          </a:extLst>
        </xdr:cNvPr>
        <xdr:cNvSpPr>
          <a:spLocks noChangeShapeType="1"/>
        </xdr:cNvSpPr>
      </xdr:nvSpPr>
      <xdr:spPr bwMode="auto">
        <a:xfrm>
          <a:off x="1978479" y="538135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298</xdr:row>
      <xdr:rowOff>111579</xdr:rowOff>
    </xdr:from>
    <xdr:to>
      <xdr:col>10</xdr:col>
      <xdr:colOff>615043</xdr:colOff>
      <xdr:row>298</xdr:row>
      <xdr:rowOff>111579</xdr:rowOff>
    </xdr:to>
    <xdr:sp macro="" textlink="">
      <xdr:nvSpPr>
        <xdr:cNvPr id="36563" name="Line 81">
          <a:extLst>
            <a:ext uri="{FF2B5EF4-FFF2-40B4-BE49-F238E27FC236}">
              <a16:creationId xmlns:a16="http://schemas.microsoft.com/office/drawing/2014/main" id="{A147F462-A920-C6A1-5942-30979050DB0E}"/>
            </a:ext>
          </a:extLst>
        </xdr:cNvPr>
        <xdr:cNvSpPr>
          <a:spLocks noChangeShapeType="1"/>
        </xdr:cNvSpPr>
      </xdr:nvSpPr>
      <xdr:spPr bwMode="auto">
        <a:xfrm>
          <a:off x="1978479" y="560178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301</xdr:row>
      <xdr:rowOff>111579</xdr:rowOff>
    </xdr:from>
    <xdr:to>
      <xdr:col>10</xdr:col>
      <xdr:colOff>615043</xdr:colOff>
      <xdr:row>301</xdr:row>
      <xdr:rowOff>111579</xdr:rowOff>
    </xdr:to>
    <xdr:sp macro="" textlink="">
      <xdr:nvSpPr>
        <xdr:cNvPr id="36564" name="Line 82">
          <a:extLst>
            <a:ext uri="{FF2B5EF4-FFF2-40B4-BE49-F238E27FC236}">
              <a16:creationId xmlns:a16="http://schemas.microsoft.com/office/drawing/2014/main" id="{BFE2BC3F-E2F3-33FA-FC68-548AEE24580D}"/>
            </a:ext>
          </a:extLst>
        </xdr:cNvPr>
        <xdr:cNvSpPr>
          <a:spLocks noChangeShapeType="1"/>
        </xdr:cNvSpPr>
      </xdr:nvSpPr>
      <xdr:spPr bwMode="auto">
        <a:xfrm>
          <a:off x="1978479" y="566138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302</xdr:row>
      <xdr:rowOff>111579</xdr:rowOff>
    </xdr:from>
    <xdr:to>
      <xdr:col>10</xdr:col>
      <xdr:colOff>615043</xdr:colOff>
      <xdr:row>302</xdr:row>
      <xdr:rowOff>111579</xdr:rowOff>
    </xdr:to>
    <xdr:sp macro="" textlink="">
      <xdr:nvSpPr>
        <xdr:cNvPr id="36565" name="Line 83">
          <a:extLst>
            <a:ext uri="{FF2B5EF4-FFF2-40B4-BE49-F238E27FC236}">
              <a16:creationId xmlns:a16="http://schemas.microsoft.com/office/drawing/2014/main" id="{2FCBEC48-0E38-E360-ED7A-1C730D0E6D86}"/>
            </a:ext>
          </a:extLst>
        </xdr:cNvPr>
        <xdr:cNvSpPr>
          <a:spLocks noChangeShapeType="1"/>
        </xdr:cNvSpPr>
      </xdr:nvSpPr>
      <xdr:spPr bwMode="auto">
        <a:xfrm>
          <a:off x="1978479" y="568098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303</xdr:row>
      <xdr:rowOff>111579</xdr:rowOff>
    </xdr:from>
    <xdr:to>
      <xdr:col>10</xdr:col>
      <xdr:colOff>615043</xdr:colOff>
      <xdr:row>303</xdr:row>
      <xdr:rowOff>111579</xdr:rowOff>
    </xdr:to>
    <xdr:sp macro="" textlink="">
      <xdr:nvSpPr>
        <xdr:cNvPr id="36566" name="Line 84">
          <a:extLst>
            <a:ext uri="{FF2B5EF4-FFF2-40B4-BE49-F238E27FC236}">
              <a16:creationId xmlns:a16="http://schemas.microsoft.com/office/drawing/2014/main" id="{D72B45C2-D19C-55BF-9D8F-7E083CC2626E}"/>
            </a:ext>
          </a:extLst>
        </xdr:cNvPr>
        <xdr:cNvSpPr>
          <a:spLocks noChangeShapeType="1"/>
        </xdr:cNvSpPr>
      </xdr:nvSpPr>
      <xdr:spPr bwMode="auto">
        <a:xfrm>
          <a:off x="1978479" y="570057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304</xdr:row>
      <xdr:rowOff>111579</xdr:rowOff>
    </xdr:from>
    <xdr:to>
      <xdr:col>10</xdr:col>
      <xdr:colOff>615043</xdr:colOff>
      <xdr:row>304</xdr:row>
      <xdr:rowOff>111579</xdr:rowOff>
    </xdr:to>
    <xdr:sp macro="" textlink="">
      <xdr:nvSpPr>
        <xdr:cNvPr id="36567" name="Line 85">
          <a:extLst>
            <a:ext uri="{FF2B5EF4-FFF2-40B4-BE49-F238E27FC236}">
              <a16:creationId xmlns:a16="http://schemas.microsoft.com/office/drawing/2014/main" id="{EFC4E685-32D5-6521-6E0A-065A5BF9FF99}"/>
            </a:ext>
          </a:extLst>
        </xdr:cNvPr>
        <xdr:cNvSpPr>
          <a:spLocks noChangeShapeType="1"/>
        </xdr:cNvSpPr>
      </xdr:nvSpPr>
      <xdr:spPr bwMode="auto">
        <a:xfrm>
          <a:off x="1978479" y="572017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316</xdr:row>
      <xdr:rowOff>111579</xdr:rowOff>
    </xdr:from>
    <xdr:to>
      <xdr:col>10</xdr:col>
      <xdr:colOff>615043</xdr:colOff>
      <xdr:row>316</xdr:row>
      <xdr:rowOff>111579</xdr:rowOff>
    </xdr:to>
    <xdr:sp macro="" textlink="">
      <xdr:nvSpPr>
        <xdr:cNvPr id="36568" name="Line 86">
          <a:extLst>
            <a:ext uri="{FF2B5EF4-FFF2-40B4-BE49-F238E27FC236}">
              <a16:creationId xmlns:a16="http://schemas.microsoft.com/office/drawing/2014/main" id="{42C8A993-7A1A-34CF-45DC-6C1EA3A4A646}"/>
            </a:ext>
          </a:extLst>
        </xdr:cNvPr>
        <xdr:cNvSpPr>
          <a:spLocks noChangeShapeType="1"/>
        </xdr:cNvSpPr>
      </xdr:nvSpPr>
      <xdr:spPr bwMode="auto">
        <a:xfrm>
          <a:off x="1978479" y="594060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319</xdr:row>
      <xdr:rowOff>111579</xdr:rowOff>
    </xdr:from>
    <xdr:to>
      <xdr:col>10</xdr:col>
      <xdr:colOff>615043</xdr:colOff>
      <xdr:row>319</xdr:row>
      <xdr:rowOff>111579</xdr:rowOff>
    </xdr:to>
    <xdr:sp macro="" textlink="">
      <xdr:nvSpPr>
        <xdr:cNvPr id="36569" name="Line 87">
          <a:extLst>
            <a:ext uri="{FF2B5EF4-FFF2-40B4-BE49-F238E27FC236}">
              <a16:creationId xmlns:a16="http://schemas.microsoft.com/office/drawing/2014/main" id="{A6DBF438-3B6F-9171-87B0-E70934CD63AC}"/>
            </a:ext>
          </a:extLst>
        </xdr:cNvPr>
        <xdr:cNvSpPr>
          <a:spLocks noChangeShapeType="1"/>
        </xdr:cNvSpPr>
      </xdr:nvSpPr>
      <xdr:spPr bwMode="auto">
        <a:xfrm>
          <a:off x="1978479" y="600020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320</xdr:row>
      <xdr:rowOff>111579</xdr:rowOff>
    </xdr:from>
    <xdr:to>
      <xdr:col>10</xdr:col>
      <xdr:colOff>615043</xdr:colOff>
      <xdr:row>320</xdr:row>
      <xdr:rowOff>111579</xdr:rowOff>
    </xdr:to>
    <xdr:sp macro="" textlink="">
      <xdr:nvSpPr>
        <xdr:cNvPr id="36570" name="Line 88">
          <a:extLst>
            <a:ext uri="{FF2B5EF4-FFF2-40B4-BE49-F238E27FC236}">
              <a16:creationId xmlns:a16="http://schemas.microsoft.com/office/drawing/2014/main" id="{8C525531-0838-FF8E-BA33-2E0D5BA203E9}"/>
            </a:ext>
          </a:extLst>
        </xdr:cNvPr>
        <xdr:cNvSpPr>
          <a:spLocks noChangeShapeType="1"/>
        </xdr:cNvSpPr>
      </xdr:nvSpPr>
      <xdr:spPr bwMode="auto">
        <a:xfrm>
          <a:off x="1978479" y="601980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321</xdr:row>
      <xdr:rowOff>111579</xdr:rowOff>
    </xdr:from>
    <xdr:to>
      <xdr:col>10</xdr:col>
      <xdr:colOff>615043</xdr:colOff>
      <xdr:row>321</xdr:row>
      <xdr:rowOff>111579</xdr:rowOff>
    </xdr:to>
    <xdr:sp macro="" textlink="">
      <xdr:nvSpPr>
        <xdr:cNvPr id="36571" name="Line 89">
          <a:extLst>
            <a:ext uri="{FF2B5EF4-FFF2-40B4-BE49-F238E27FC236}">
              <a16:creationId xmlns:a16="http://schemas.microsoft.com/office/drawing/2014/main" id="{61A0032F-39B4-8001-E266-775BEB4CE9DA}"/>
            </a:ext>
          </a:extLst>
        </xdr:cNvPr>
        <xdr:cNvSpPr>
          <a:spLocks noChangeShapeType="1"/>
        </xdr:cNvSpPr>
      </xdr:nvSpPr>
      <xdr:spPr bwMode="auto">
        <a:xfrm>
          <a:off x="1978479" y="603939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322</xdr:row>
      <xdr:rowOff>111579</xdr:rowOff>
    </xdr:from>
    <xdr:to>
      <xdr:col>10</xdr:col>
      <xdr:colOff>615043</xdr:colOff>
      <xdr:row>322</xdr:row>
      <xdr:rowOff>111579</xdr:rowOff>
    </xdr:to>
    <xdr:sp macro="" textlink="">
      <xdr:nvSpPr>
        <xdr:cNvPr id="36572" name="Line 90">
          <a:extLst>
            <a:ext uri="{FF2B5EF4-FFF2-40B4-BE49-F238E27FC236}">
              <a16:creationId xmlns:a16="http://schemas.microsoft.com/office/drawing/2014/main" id="{B2EB6532-385C-A323-AFA6-B0E546CB00C8}"/>
            </a:ext>
          </a:extLst>
        </xdr:cNvPr>
        <xdr:cNvSpPr>
          <a:spLocks noChangeShapeType="1"/>
        </xdr:cNvSpPr>
      </xdr:nvSpPr>
      <xdr:spPr bwMode="auto">
        <a:xfrm>
          <a:off x="1978479" y="605898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334</xdr:row>
      <xdr:rowOff>111579</xdr:rowOff>
    </xdr:from>
    <xdr:to>
      <xdr:col>10</xdr:col>
      <xdr:colOff>615043</xdr:colOff>
      <xdr:row>334</xdr:row>
      <xdr:rowOff>111579</xdr:rowOff>
    </xdr:to>
    <xdr:sp macro="" textlink="">
      <xdr:nvSpPr>
        <xdr:cNvPr id="36573" name="Line 91">
          <a:extLst>
            <a:ext uri="{FF2B5EF4-FFF2-40B4-BE49-F238E27FC236}">
              <a16:creationId xmlns:a16="http://schemas.microsoft.com/office/drawing/2014/main" id="{61942970-6138-8568-6A74-92745BD53955}"/>
            </a:ext>
          </a:extLst>
        </xdr:cNvPr>
        <xdr:cNvSpPr>
          <a:spLocks noChangeShapeType="1"/>
        </xdr:cNvSpPr>
      </xdr:nvSpPr>
      <xdr:spPr bwMode="auto">
        <a:xfrm>
          <a:off x="1978479" y="627942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337</xdr:row>
      <xdr:rowOff>111579</xdr:rowOff>
    </xdr:from>
    <xdr:to>
      <xdr:col>10</xdr:col>
      <xdr:colOff>615043</xdr:colOff>
      <xdr:row>337</xdr:row>
      <xdr:rowOff>111579</xdr:rowOff>
    </xdr:to>
    <xdr:sp macro="" textlink="">
      <xdr:nvSpPr>
        <xdr:cNvPr id="36574" name="Line 92">
          <a:extLst>
            <a:ext uri="{FF2B5EF4-FFF2-40B4-BE49-F238E27FC236}">
              <a16:creationId xmlns:a16="http://schemas.microsoft.com/office/drawing/2014/main" id="{C063212F-F959-A60C-6786-69904105551F}"/>
            </a:ext>
          </a:extLst>
        </xdr:cNvPr>
        <xdr:cNvSpPr>
          <a:spLocks noChangeShapeType="1"/>
        </xdr:cNvSpPr>
      </xdr:nvSpPr>
      <xdr:spPr bwMode="auto">
        <a:xfrm>
          <a:off x="1978479" y="633902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338</xdr:row>
      <xdr:rowOff>111579</xdr:rowOff>
    </xdr:from>
    <xdr:to>
      <xdr:col>10</xdr:col>
      <xdr:colOff>615043</xdr:colOff>
      <xdr:row>338</xdr:row>
      <xdr:rowOff>111579</xdr:rowOff>
    </xdr:to>
    <xdr:sp macro="" textlink="">
      <xdr:nvSpPr>
        <xdr:cNvPr id="36575" name="Line 93">
          <a:extLst>
            <a:ext uri="{FF2B5EF4-FFF2-40B4-BE49-F238E27FC236}">
              <a16:creationId xmlns:a16="http://schemas.microsoft.com/office/drawing/2014/main" id="{440C8DC7-A369-CE94-F7EB-73209FA7C857}"/>
            </a:ext>
          </a:extLst>
        </xdr:cNvPr>
        <xdr:cNvSpPr>
          <a:spLocks noChangeShapeType="1"/>
        </xdr:cNvSpPr>
      </xdr:nvSpPr>
      <xdr:spPr bwMode="auto">
        <a:xfrm>
          <a:off x="1978479" y="635861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339</xdr:row>
      <xdr:rowOff>111579</xdr:rowOff>
    </xdr:from>
    <xdr:to>
      <xdr:col>10</xdr:col>
      <xdr:colOff>615043</xdr:colOff>
      <xdr:row>339</xdr:row>
      <xdr:rowOff>111579</xdr:rowOff>
    </xdr:to>
    <xdr:sp macro="" textlink="">
      <xdr:nvSpPr>
        <xdr:cNvPr id="36576" name="Line 94">
          <a:extLst>
            <a:ext uri="{FF2B5EF4-FFF2-40B4-BE49-F238E27FC236}">
              <a16:creationId xmlns:a16="http://schemas.microsoft.com/office/drawing/2014/main" id="{B1C39922-63EC-D820-D739-6C008732FB2E}"/>
            </a:ext>
          </a:extLst>
        </xdr:cNvPr>
        <xdr:cNvSpPr>
          <a:spLocks noChangeShapeType="1"/>
        </xdr:cNvSpPr>
      </xdr:nvSpPr>
      <xdr:spPr bwMode="auto">
        <a:xfrm>
          <a:off x="1978479" y="637821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340</xdr:row>
      <xdr:rowOff>111579</xdr:rowOff>
    </xdr:from>
    <xdr:to>
      <xdr:col>10</xdr:col>
      <xdr:colOff>615043</xdr:colOff>
      <xdr:row>340</xdr:row>
      <xdr:rowOff>111579</xdr:rowOff>
    </xdr:to>
    <xdr:sp macro="" textlink="">
      <xdr:nvSpPr>
        <xdr:cNvPr id="36577" name="Line 95">
          <a:extLst>
            <a:ext uri="{FF2B5EF4-FFF2-40B4-BE49-F238E27FC236}">
              <a16:creationId xmlns:a16="http://schemas.microsoft.com/office/drawing/2014/main" id="{FE1C01B0-0EEC-D2BD-EF75-69CC3D197640}"/>
            </a:ext>
          </a:extLst>
        </xdr:cNvPr>
        <xdr:cNvSpPr>
          <a:spLocks noChangeShapeType="1"/>
        </xdr:cNvSpPr>
      </xdr:nvSpPr>
      <xdr:spPr bwMode="auto">
        <a:xfrm>
          <a:off x="1978479" y="639780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352</xdr:row>
      <xdr:rowOff>111579</xdr:rowOff>
    </xdr:from>
    <xdr:to>
      <xdr:col>10</xdr:col>
      <xdr:colOff>615043</xdr:colOff>
      <xdr:row>352</xdr:row>
      <xdr:rowOff>111579</xdr:rowOff>
    </xdr:to>
    <xdr:sp macro="" textlink="">
      <xdr:nvSpPr>
        <xdr:cNvPr id="36578" name="Line 96">
          <a:extLst>
            <a:ext uri="{FF2B5EF4-FFF2-40B4-BE49-F238E27FC236}">
              <a16:creationId xmlns:a16="http://schemas.microsoft.com/office/drawing/2014/main" id="{F543DD90-F545-4E1E-400F-7F626BFF9F61}"/>
            </a:ext>
          </a:extLst>
        </xdr:cNvPr>
        <xdr:cNvSpPr>
          <a:spLocks noChangeShapeType="1"/>
        </xdr:cNvSpPr>
      </xdr:nvSpPr>
      <xdr:spPr bwMode="auto">
        <a:xfrm>
          <a:off x="1978479" y="661824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355</xdr:row>
      <xdr:rowOff>111579</xdr:rowOff>
    </xdr:from>
    <xdr:to>
      <xdr:col>10</xdr:col>
      <xdr:colOff>615043</xdr:colOff>
      <xdr:row>355</xdr:row>
      <xdr:rowOff>111579</xdr:rowOff>
    </xdr:to>
    <xdr:sp macro="" textlink="">
      <xdr:nvSpPr>
        <xdr:cNvPr id="36579" name="Line 97">
          <a:extLst>
            <a:ext uri="{FF2B5EF4-FFF2-40B4-BE49-F238E27FC236}">
              <a16:creationId xmlns:a16="http://schemas.microsoft.com/office/drawing/2014/main" id="{1A684E21-5C40-C86E-D7A5-AB293018504E}"/>
            </a:ext>
          </a:extLst>
        </xdr:cNvPr>
        <xdr:cNvSpPr>
          <a:spLocks noChangeShapeType="1"/>
        </xdr:cNvSpPr>
      </xdr:nvSpPr>
      <xdr:spPr bwMode="auto">
        <a:xfrm>
          <a:off x="1978479" y="667784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356</xdr:row>
      <xdr:rowOff>111579</xdr:rowOff>
    </xdr:from>
    <xdr:to>
      <xdr:col>10</xdr:col>
      <xdr:colOff>615043</xdr:colOff>
      <xdr:row>356</xdr:row>
      <xdr:rowOff>111579</xdr:rowOff>
    </xdr:to>
    <xdr:sp macro="" textlink="">
      <xdr:nvSpPr>
        <xdr:cNvPr id="36580" name="Line 98">
          <a:extLst>
            <a:ext uri="{FF2B5EF4-FFF2-40B4-BE49-F238E27FC236}">
              <a16:creationId xmlns:a16="http://schemas.microsoft.com/office/drawing/2014/main" id="{3D187819-36BE-E6C8-0A22-FDB3B22BDEAA}"/>
            </a:ext>
          </a:extLst>
        </xdr:cNvPr>
        <xdr:cNvSpPr>
          <a:spLocks noChangeShapeType="1"/>
        </xdr:cNvSpPr>
      </xdr:nvSpPr>
      <xdr:spPr bwMode="auto">
        <a:xfrm>
          <a:off x="1978479" y="669743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357</xdr:row>
      <xdr:rowOff>111579</xdr:rowOff>
    </xdr:from>
    <xdr:to>
      <xdr:col>10</xdr:col>
      <xdr:colOff>615043</xdr:colOff>
      <xdr:row>357</xdr:row>
      <xdr:rowOff>111579</xdr:rowOff>
    </xdr:to>
    <xdr:sp macro="" textlink="">
      <xdr:nvSpPr>
        <xdr:cNvPr id="36581" name="Line 99">
          <a:extLst>
            <a:ext uri="{FF2B5EF4-FFF2-40B4-BE49-F238E27FC236}">
              <a16:creationId xmlns:a16="http://schemas.microsoft.com/office/drawing/2014/main" id="{793C4C1B-DAAE-2604-E384-DC4DA13A268B}"/>
            </a:ext>
          </a:extLst>
        </xdr:cNvPr>
        <xdr:cNvSpPr>
          <a:spLocks noChangeShapeType="1"/>
        </xdr:cNvSpPr>
      </xdr:nvSpPr>
      <xdr:spPr bwMode="auto">
        <a:xfrm>
          <a:off x="1978479" y="671703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358</xdr:row>
      <xdr:rowOff>111579</xdr:rowOff>
    </xdr:from>
    <xdr:to>
      <xdr:col>10</xdr:col>
      <xdr:colOff>615043</xdr:colOff>
      <xdr:row>358</xdr:row>
      <xdr:rowOff>111579</xdr:rowOff>
    </xdr:to>
    <xdr:sp macro="" textlink="">
      <xdr:nvSpPr>
        <xdr:cNvPr id="36582" name="Line 100">
          <a:extLst>
            <a:ext uri="{FF2B5EF4-FFF2-40B4-BE49-F238E27FC236}">
              <a16:creationId xmlns:a16="http://schemas.microsoft.com/office/drawing/2014/main" id="{D399F38C-80B1-7B61-2622-2A508543CF7A}"/>
            </a:ext>
          </a:extLst>
        </xdr:cNvPr>
        <xdr:cNvSpPr>
          <a:spLocks noChangeShapeType="1"/>
        </xdr:cNvSpPr>
      </xdr:nvSpPr>
      <xdr:spPr bwMode="auto">
        <a:xfrm>
          <a:off x="1978479" y="673662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370</xdr:row>
      <xdr:rowOff>111579</xdr:rowOff>
    </xdr:from>
    <xdr:to>
      <xdr:col>10</xdr:col>
      <xdr:colOff>615043</xdr:colOff>
      <xdr:row>370</xdr:row>
      <xdr:rowOff>111579</xdr:rowOff>
    </xdr:to>
    <xdr:sp macro="" textlink="">
      <xdr:nvSpPr>
        <xdr:cNvPr id="36583" name="Line 101">
          <a:extLst>
            <a:ext uri="{FF2B5EF4-FFF2-40B4-BE49-F238E27FC236}">
              <a16:creationId xmlns:a16="http://schemas.microsoft.com/office/drawing/2014/main" id="{A90F919E-9355-C4E9-43E2-B8F771FC414E}"/>
            </a:ext>
          </a:extLst>
        </xdr:cNvPr>
        <xdr:cNvSpPr>
          <a:spLocks noChangeShapeType="1"/>
        </xdr:cNvSpPr>
      </xdr:nvSpPr>
      <xdr:spPr bwMode="auto">
        <a:xfrm>
          <a:off x="1978479" y="695706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373</xdr:row>
      <xdr:rowOff>111579</xdr:rowOff>
    </xdr:from>
    <xdr:to>
      <xdr:col>10</xdr:col>
      <xdr:colOff>615043</xdr:colOff>
      <xdr:row>373</xdr:row>
      <xdr:rowOff>111579</xdr:rowOff>
    </xdr:to>
    <xdr:sp macro="" textlink="">
      <xdr:nvSpPr>
        <xdr:cNvPr id="36584" name="Line 102">
          <a:extLst>
            <a:ext uri="{FF2B5EF4-FFF2-40B4-BE49-F238E27FC236}">
              <a16:creationId xmlns:a16="http://schemas.microsoft.com/office/drawing/2014/main" id="{9835C9BA-6A45-D5F1-6E86-5AD7081D4769}"/>
            </a:ext>
          </a:extLst>
        </xdr:cNvPr>
        <xdr:cNvSpPr>
          <a:spLocks noChangeShapeType="1"/>
        </xdr:cNvSpPr>
      </xdr:nvSpPr>
      <xdr:spPr bwMode="auto">
        <a:xfrm>
          <a:off x="1978479" y="701665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374</xdr:row>
      <xdr:rowOff>111579</xdr:rowOff>
    </xdr:from>
    <xdr:to>
      <xdr:col>10</xdr:col>
      <xdr:colOff>615043</xdr:colOff>
      <xdr:row>374</xdr:row>
      <xdr:rowOff>111579</xdr:rowOff>
    </xdr:to>
    <xdr:sp macro="" textlink="">
      <xdr:nvSpPr>
        <xdr:cNvPr id="36585" name="Line 103">
          <a:extLst>
            <a:ext uri="{FF2B5EF4-FFF2-40B4-BE49-F238E27FC236}">
              <a16:creationId xmlns:a16="http://schemas.microsoft.com/office/drawing/2014/main" id="{F4903FEE-434A-3B3C-14CC-88DD427BCBE0}"/>
            </a:ext>
          </a:extLst>
        </xdr:cNvPr>
        <xdr:cNvSpPr>
          <a:spLocks noChangeShapeType="1"/>
        </xdr:cNvSpPr>
      </xdr:nvSpPr>
      <xdr:spPr bwMode="auto">
        <a:xfrm>
          <a:off x="1978479" y="703625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375</xdr:row>
      <xdr:rowOff>111579</xdr:rowOff>
    </xdr:from>
    <xdr:to>
      <xdr:col>10</xdr:col>
      <xdr:colOff>615043</xdr:colOff>
      <xdr:row>375</xdr:row>
      <xdr:rowOff>111579</xdr:rowOff>
    </xdr:to>
    <xdr:sp macro="" textlink="">
      <xdr:nvSpPr>
        <xdr:cNvPr id="36586" name="Line 104">
          <a:extLst>
            <a:ext uri="{FF2B5EF4-FFF2-40B4-BE49-F238E27FC236}">
              <a16:creationId xmlns:a16="http://schemas.microsoft.com/office/drawing/2014/main" id="{BD96EFDA-F521-93B6-4D59-29A2A9055F11}"/>
            </a:ext>
          </a:extLst>
        </xdr:cNvPr>
        <xdr:cNvSpPr>
          <a:spLocks noChangeShapeType="1"/>
        </xdr:cNvSpPr>
      </xdr:nvSpPr>
      <xdr:spPr bwMode="auto">
        <a:xfrm>
          <a:off x="1978479" y="705584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376</xdr:row>
      <xdr:rowOff>111579</xdr:rowOff>
    </xdr:from>
    <xdr:to>
      <xdr:col>10</xdr:col>
      <xdr:colOff>615043</xdr:colOff>
      <xdr:row>376</xdr:row>
      <xdr:rowOff>111579</xdr:rowOff>
    </xdr:to>
    <xdr:sp macro="" textlink="">
      <xdr:nvSpPr>
        <xdr:cNvPr id="36587" name="Line 105">
          <a:extLst>
            <a:ext uri="{FF2B5EF4-FFF2-40B4-BE49-F238E27FC236}">
              <a16:creationId xmlns:a16="http://schemas.microsoft.com/office/drawing/2014/main" id="{5CF7CA02-C645-AB0F-4B1F-EB6750171D4B}"/>
            </a:ext>
          </a:extLst>
        </xdr:cNvPr>
        <xdr:cNvSpPr>
          <a:spLocks noChangeShapeType="1"/>
        </xdr:cNvSpPr>
      </xdr:nvSpPr>
      <xdr:spPr bwMode="auto">
        <a:xfrm>
          <a:off x="1978479" y="707544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388</xdr:row>
      <xdr:rowOff>111579</xdr:rowOff>
    </xdr:from>
    <xdr:to>
      <xdr:col>10</xdr:col>
      <xdr:colOff>615043</xdr:colOff>
      <xdr:row>388</xdr:row>
      <xdr:rowOff>111579</xdr:rowOff>
    </xdr:to>
    <xdr:sp macro="" textlink="">
      <xdr:nvSpPr>
        <xdr:cNvPr id="36588" name="Line 106">
          <a:extLst>
            <a:ext uri="{FF2B5EF4-FFF2-40B4-BE49-F238E27FC236}">
              <a16:creationId xmlns:a16="http://schemas.microsoft.com/office/drawing/2014/main" id="{739F9E87-69B9-0848-4DCC-1BCB30E5D02E}"/>
            </a:ext>
          </a:extLst>
        </xdr:cNvPr>
        <xdr:cNvSpPr>
          <a:spLocks noChangeShapeType="1"/>
        </xdr:cNvSpPr>
      </xdr:nvSpPr>
      <xdr:spPr bwMode="auto">
        <a:xfrm>
          <a:off x="1978479" y="729587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391</xdr:row>
      <xdr:rowOff>111579</xdr:rowOff>
    </xdr:from>
    <xdr:to>
      <xdr:col>10</xdr:col>
      <xdr:colOff>615043</xdr:colOff>
      <xdr:row>391</xdr:row>
      <xdr:rowOff>111579</xdr:rowOff>
    </xdr:to>
    <xdr:sp macro="" textlink="">
      <xdr:nvSpPr>
        <xdr:cNvPr id="36589" name="Line 107">
          <a:extLst>
            <a:ext uri="{FF2B5EF4-FFF2-40B4-BE49-F238E27FC236}">
              <a16:creationId xmlns:a16="http://schemas.microsoft.com/office/drawing/2014/main" id="{F23C9D2D-BF23-B613-1A27-CD477C63A954}"/>
            </a:ext>
          </a:extLst>
        </xdr:cNvPr>
        <xdr:cNvSpPr>
          <a:spLocks noChangeShapeType="1"/>
        </xdr:cNvSpPr>
      </xdr:nvSpPr>
      <xdr:spPr bwMode="auto">
        <a:xfrm>
          <a:off x="1978479" y="735547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392</xdr:row>
      <xdr:rowOff>111579</xdr:rowOff>
    </xdr:from>
    <xdr:to>
      <xdr:col>10</xdr:col>
      <xdr:colOff>615043</xdr:colOff>
      <xdr:row>392</xdr:row>
      <xdr:rowOff>111579</xdr:rowOff>
    </xdr:to>
    <xdr:sp macro="" textlink="">
      <xdr:nvSpPr>
        <xdr:cNvPr id="36590" name="Line 108">
          <a:extLst>
            <a:ext uri="{FF2B5EF4-FFF2-40B4-BE49-F238E27FC236}">
              <a16:creationId xmlns:a16="http://schemas.microsoft.com/office/drawing/2014/main" id="{8FC37A26-E9B9-C5A9-2973-8C9B6B169F33}"/>
            </a:ext>
          </a:extLst>
        </xdr:cNvPr>
        <xdr:cNvSpPr>
          <a:spLocks noChangeShapeType="1"/>
        </xdr:cNvSpPr>
      </xdr:nvSpPr>
      <xdr:spPr bwMode="auto">
        <a:xfrm>
          <a:off x="1978479" y="737507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393</xdr:row>
      <xdr:rowOff>111579</xdr:rowOff>
    </xdr:from>
    <xdr:to>
      <xdr:col>10</xdr:col>
      <xdr:colOff>615043</xdr:colOff>
      <xdr:row>393</xdr:row>
      <xdr:rowOff>111579</xdr:rowOff>
    </xdr:to>
    <xdr:sp macro="" textlink="">
      <xdr:nvSpPr>
        <xdr:cNvPr id="36591" name="Line 109">
          <a:extLst>
            <a:ext uri="{FF2B5EF4-FFF2-40B4-BE49-F238E27FC236}">
              <a16:creationId xmlns:a16="http://schemas.microsoft.com/office/drawing/2014/main" id="{D20FA1E9-6C4F-35F2-7D15-2351227DEFA0}"/>
            </a:ext>
          </a:extLst>
        </xdr:cNvPr>
        <xdr:cNvSpPr>
          <a:spLocks noChangeShapeType="1"/>
        </xdr:cNvSpPr>
      </xdr:nvSpPr>
      <xdr:spPr bwMode="auto">
        <a:xfrm>
          <a:off x="1978479" y="739466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394</xdr:row>
      <xdr:rowOff>111579</xdr:rowOff>
    </xdr:from>
    <xdr:to>
      <xdr:col>10</xdr:col>
      <xdr:colOff>615043</xdr:colOff>
      <xdr:row>394</xdr:row>
      <xdr:rowOff>111579</xdr:rowOff>
    </xdr:to>
    <xdr:sp macro="" textlink="">
      <xdr:nvSpPr>
        <xdr:cNvPr id="36592" name="Line 110">
          <a:extLst>
            <a:ext uri="{FF2B5EF4-FFF2-40B4-BE49-F238E27FC236}">
              <a16:creationId xmlns:a16="http://schemas.microsoft.com/office/drawing/2014/main" id="{D23A2DB5-B12D-52FF-DFE3-9C32917FC949}"/>
            </a:ext>
          </a:extLst>
        </xdr:cNvPr>
        <xdr:cNvSpPr>
          <a:spLocks noChangeShapeType="1"/>
        </xdr:cNvSpPr>
      </xdr:nvSpPr>
      <xdr:spPr bwMode="auto">
        <a:xfrm>
          <a:off x="1978479" y="741426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406</xdr:row>
      <xdr:rowOff>111579</xdr:rowOff>
    </xdr:from>
    <xdr:to>
      <xdr:col>10</xdr:col>
      <xdr:colOff>615043</xdr:colOff>
      <xdr:row>406</xdr:row>
      <xdr:rowOff>111579</xdr:rowOff>
    </xdr:to>
    <xdr:sp macro="" textlink="">
      <xdr:nvSpPr>
        <xdr:cNvPr id="36593" name="Line 111">
          <a:extLst>
            <a:ext uri="{FF2B5EF4-FFF2-40B4-BE49-F238E27FC236}">
              <a16:creationId xmlns:a16="http://schemas.microsoft.com/office/drawing/2014/main" id="{74164A9F-79B7-4E82-8655-5DC3992A2554}"/>
            </a:ext>
          </a:extLst>
        </xdr:cNvPr>
        <xdr:cNvSpPr>
          <a:spLocks noChangeShapeType="1"/>
        </xdr:cNvSpPr>
      </xdr:nvSpPr>
      <xdr:spPr bwMode="auto">
        <a:xfrm>
          <a:off x="1978479" y="763469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409</xdr:row>
      <xdr:rowOff>111579</xdr:rowOff>
    </xdr:from>
    <xdr:to>
      <xdr:col>10</xdr:col>
      <xdr:colOff>615043</xdr:colOff>
      <xdr:row>409</xdr:row>
      <xdr:rowOff>111579</xdr:rowOff>
    </xdr:to>
    <xdr:sp macro="" textlink="">
      <xdr:nvSpPr>
        <xdr:cNvPr id="36594" name="Line 112">
          <a:extLst>
            <a:ext uri="{FF2B5EF4-FFF2-40B4-BE49-F238E27FC236}">
              <a16:creationId xmlns:a16="http://schemas.microsoft.com/office/drawing/2014/main" id="{A420C38A-B6FE-7572-C459-5F71BB5C9FBC}"/>
            </a:ext>
          </a:extLst>
        </xdr:cNvPr>
        <xdr:cNvSpPr>
          <a:spLocks noChangeShapeType="1"/>
        </xdr:cNvSpPr>
      </xdr:nvSpPr>
      <xdr:spPr bwMode="auto">
        <a:xfrm>
          <a:off x="1978479" y="769429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410</xdr:row>
      <xdr:rowOff>111579</xdr:rowOff>
    </xdr:from>
    <xdr:to>
      <xdr:col>10</xdr:col>
      <xdr:colOff>615043</xdr:colOff>
      <xdr:row>410</xdr:row>
      <xdr:rowOff>111579</xdr:rowOff>
    </xdr:to>
    <xdr:sp macro="" textlink="">
      <xdr:nvSpPr>
        <xdr:cNvPr id="36595" name="Line 113">
          <a:extLst>
            <a:ext uri="{FF2B5EF4-FFF2-40B4-BE49-F238E27FC236}">
              <a16:creationId xmlns:a16="http://schemas.microsoft.com/office/drawing/2014/main" id="{664E9B60-8007-98EC-F3D4-F0C85DB1E09C}"/>
            </a:ext>
          </a:extLst>
        </xdr:cNvPr>
        <xdr:cNvSpPr>
          <a:spLocks noChangeShapeType="1"/>
        </xdr:cNvSpPr>
      </xdr:nvSpPr>
      <xdr:spPr bwMode="auto">
        <a:xfrm>
          <a:off x="1978479" y="771388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411</xdr:row>
      <xdr:rowOff>111579</xdr:rowOff>
    </xdr:from>
    <xdr:to>
      <xdr:col>10</xdr:col>
      <xdr:colOff>615043</xdr:colOff>
      <xdr:row>411</xdr:row>
      <xdr:rowOff>111579</xdr:rowOff>
    </xdr:to>
    <xdr:sp macro="" textlink="">
      <xdr:nvSpPr>
        <xdr:cNvPr id="36596" name="Line 114">
          <a:extLst>
            <a:ext uri="{FF2B5EF4-FFF2-40B4-BE49-F238E27FC236}">
              <a16:creationId xmlns:a16="http://schemas.microsoft.com/office/drawing/2014/main" id="{E5116EC1-26A8-CC7E-915D-03BA9FE87DD3}"/>
            </a:ext>
          </a:extLst>
        </xdr:cNvPr>
        <xdr:cNvSpPr>
          <a:spLocks noChangeShapeType="1"/>
        </xdr:cNvSpPr>
      </xdr:nvSpPr>
      <xdr:spPr bwMode="auto">
        <a:xfrm>
          <a:off x="1978479" y="773348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412</xdr:row>
      <xdr:rowOff>111579</xdr:rowOff>
    </xdr:from>
    <xdr:to>
      <xdr:col>10</xdr:col>
      <xdr:colOff>615043</xdr:colOff>
      <xdr:row>412</xdr:row>
      <xdr:rowOff>111579</xdr:rowOff>
    </xdr:to>
    <xdr:sp macro="" textlink="">
      <xdr:nvSpPr>
        <xdr:cNvPr id="36597" name="Line 115">
          <a:extLst>
            <a:ext uri="{FF2B5EF4-FFF2-40B4-BE49-F238E27FC236}">
              <a16:creationId xmlns:a16="http://schemas.microsoft.com/office/drawing/2014/main" id="{72B1219F-6C3B-CF00-45DC-D1C83E99F180}"/>
            </a:ext>
          </a:extLst>
        </xdr:cNvPr>
        <xdr:cNvSpPr>
          <a:spLocks noChangeShapeType="1"/>
        </xdr:cNvSpPr>
      </xdr:nvSpPr>
      <xdr:spPr bwMode="auto">
        <a:xfrm>
          <a:off x="1978479" y="775307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424</xdr:row>
      <xdr:rowOff>111579</xdr:rowOff>
    </xdr:from>
    <xdr:to>
      <xdr:col>10</xdr:col>
      <xdr:colOff>615043</xdr:colOff>
      <xdr:row>424</xdr:row>
      <xdr:rowOff>111579</xdr:rowOff>
    </xdr:to>
    <xdr:sp macro="" textlink="">
      <xdr:nvSpPr>
        <xdr:cNvPr id="36598" name="Line 116">
          <a:extLst>
            <a:ext uri="{FF2B5EF4-FFF2-40B4-BE49-F238E27FC236}">
              <a16:creationId xmlns:a16="http://schemas.microsoft.com/office/drawing/2014/main" id="{C7472934-0131-FCF2-089B-3F71A3FDEE01}"/>
            </a:ext>
          </a:extLst>
        </xdr:cNvPr>
        <xdr:cNvSpPr>
          <a:spLocks noChangeShapeType="1"/>
        </xdr:cNvSpPr>
      </xdr:nvSpPr>
      <xdr:spPr bwMode="auto">
        <a:xfrm>
          <a:off x="1978479" y="797351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427</xdr:row>
      <xdr:rowOff>111579</xdr:rowOff>
    </xdr:from>
    <xdr:to>
      <xdr:col>10</xdr:col>
      <xdr:colOff>615043</xdr:colOff>
      <xdr:row>427</xdr:row>
      <xdr:rowOff>111579</xdr:rowOff>
    </xdr:to>
    <xdr:sp macro="" textlink="">
      <xdr:nvSpPr>
        <xdr:cNvPr id="36599" name="Line 117">
          <a:extLst>
            <a:ext uri="{FF2B5EF4-FFF2-40B4-BE49-F238E27FC236}">
              <a16:creationId xmlns:a16="http://schemas.microsoft.com/office/drawing/2014/main" id="{F6E7C635-B264-48EF-D55D-F3D7B2E991B6}"/>
            </a:ext>
          </a:extLst>
        </xdr:cNvPr>
        <xdr:cNvSpPr>
          <a:spLocks noChangeShapeType="1"/>
        </xdr:cNvSpPr>
      </xdr:nvSpPr>
      <xdr:spPr bwMode="auto">
        <a:xfrm>
          <a:off x="1978479" y="803311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428</xdr:row>
      <xdr:rowOff>111579</xdr:rowOff>
    </xdr:from>
    <xdr:to>
      <xdr:col>10</xdr:col>
      <xdr:colOff>615043</xdr:colOff>
      <xdr:row>428</xdr:row>
      <xdr:rowOff>111579</xdr:rowOff>
    </xdr:to>
    <xdr:sp macro="" textlink="">
      <xdr:nvSpPr>
        <xdr:cNvPr id="36600" name="Line 118">
          <a:extLst>
            <a:ext uri="{FF2B5EF4-FFF2-40B4-BE49-F238E27FC236}">
              <a16:creationId xmlns:a16="http://schemas.microsoft.com/office/drawing/2014/main" id="{86334C73-A7B6-D771-C0CC-EABD9D6330EF}"/>
            </a:ext>
          </a:extLst>
        </xdr:cNvPr>
        <xdr:cNvSpPr>
          <a:spLocks noChangeShapeType="1"/>
        </xdr:cNvSpPr>
      </xdr:nvSpPr>
      <xdr:spPr bwMode="auto">
        <a:xfrm>
          <a:off x="1978479" y="805270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429</xdr:row>
      <xdr:rowOff>111579</xdr:rowOff>
    </xdr:from>
    <xdr:to>
      <xdr:col>10</xdr:col>
      <xdr:colOff>615043</xdr:colOff>
      <xdr:row>429</xdr:row>
      <xdr:rowOff>111579</xdr:rowOff>
    </xdr:to>
    <xdr:sp macro="" textlink="">
      <xdr:nvSpPr>
        <xdr:cNvPr id="36601" name="Line 119">
          <a:extLst>
            <a:ext uri="{FF2B5EF4-FFF2-40B4-BE49-F238E27FC236}">
              <a16:creationId xmlns:a16="http://schemas.microsoft.com/office/drawing/2014/main" id="{AE97847D-6847-7A1E-17B7-44CDB4A9DE20}"/>
            </a:ext>
          </a:extLst>
        </xdr:cNvPr>
        <xdr:cNvSpPr>
          <a:spLocks noChangeShapeType="1"/>
        </xdr:cNvSpPr>
      </xdr:nvSpPr>
      <xdr:spPr bwMode="auto">
        <a:xfrm>
          <a:off x="1978479" y="807230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430</xdr:row>
      <xdr:rowOff>111579</xdr:rowOff>
    </xdr:from>
    <xdr:to>
      <xdr:col>10</xdr:col>
      <xdr:colOff>615043</xdr:colOff>
      <xdr:row>430</xdr:row>
      <xdr:rowOff>111579</xdr:rowOff>
    </xdr:to>
    <xdr:sp macro="" textlink="">
      <xdr:nvSpPr>
        <xdr:cNvPr id="36602" name="Line 120">
          <a:extLst>
            <a:ext uri="{FF2B5EF4-FFF2-40B4-BE49-F238E27FC236}">
              <a16:creationId xmlns:a16="http://schemas.microsoft.com/office/drawing/2014/main" id="{C1BB1307-CDE6-B4EE-05CF-175A56493ABB}"/>
            </a:ext>
          </a:extLst>
        </xdr:cNvPr>
        <xdr:cNvSpPr>
          <a:spLocks noChangeShapeType="1"/>
        </xdr:cNvSpPr>
      </xdr:nvSpPr>
      <xdr:spPr bwMode="auto">
        <a:xfrm>
          <a:off x="1978479" y="809189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442</xdr:row>
      <xdr:rowOff>111579</xdr:rowOff>
    </xdr:from>
    <xdr:to>
      <xdr:col>10</xdr:col>
      <xdr:colOff>615043</xdr:colOff>
      <xdr:row>442</xdr:row>
      <xdr:rowOff>111579</xdr:rowOff>
    </xdr:to>
    <xdr:sp macro="" textlink="">
      <xdr:nvSpPr>
        <xdr:cNvPr id="36603" name="Line 121">
          <a:extLst>
            <a:ext uri="{FF2B5EF4-FFF2-40B4-BE49-F238E27FC236}">
              <a16:creationId xmlns:a16="http://schemas.microsoft.com/office/drawing/2014/main" id="{6A455811-5931-ED5B-5BB9-B16FCFB9CB7E}"/>
            </a:ext>
          </a:extLst>
        </xdr:cNvPr>
        <xdr:cNvSpPr>
          <a:spLocks noChangeShapeType="1"/>
        </xdr:cNvSpPr>
      </xdr:nvSpPr>
      <xdr:spPr bwMode="auto">
        <a:xfrm>
          <a:off x="1978479" y="831233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445</xdr:row>
      <xdr:rowOff>111579</xdr:rowOff>
    </xdr:from>
    <xdr:to>
      <xdr:col>10</xdr:col>
      <xdr:colOff>615043</xdr:colOff>
      <xdr:row>445</xdr:row>
      <xdr:rowOff>111579</xdr:rowOff>
    </xdr:to>
    <xdr:sp macro="" textlink="">
      <xdr:nvSpPr>
        <xdr:cNvPr id="36604" name="Line 122">
          <a:extLst>
            <a:ext uri="{FF2B5EF4-FFF2-40B4-BE49-F238E27FC236}">
              <a16:creationId xmlns:a16="http://schemas.microsoft.com/office/drawing/2014/main" id="{3845290F-4537-3349-602A-057427C9458F}"/>
            </a:ext>
          </a:extLst>
        </xdr:cNvPr>
        <xdr:cNvSpPr>
          <a:spLocks noChangeShapeType="1"/>
        </xdr:cNvSpPr>
      </xdr:nvSpPr>
      <xdr:spPr bwMode="auto">
        <a:xfrm>
          <a:off x="1978479" y="837193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446</xdr:row>
      <xdr:rowOff>111579</xdr:rowOff>
    </xdr:from>
    <xdr:to>
      <xdr:col>10</xdr:col>
      <xdr:colOff>615043</xdr:colOff>
      <xdr:row>446</xdr:row>
      <xdr:rowOff>111579</xdr:rowOff>
    </xdr:to>
    <xdr:sp macro="" textlink="">
      <xdr:nvSpPr>
        <xdr:cNvPr id="36605" name="Line 123">
          <a:extLst>
            <a:ext uri="{FF2B5EF4-FFF2-40B4-BE49-F238E27FC236}">
              <a16:creationId xmlns:a16="http://schemas.microsoft.com/office/drawing/2014/main" id="{9E3360C1-4567-78BD-AF6C-30457BDBFE90}"/>
            </a:ext>
          </a:extLst>
        </xdr:cNvPr>
        <xdr:cNvSpPr>
          <a:spLocks noChangeShapeType="1"/>
        </xdr:cNvSpPr>
      </xdr:nvSpPr>
      <xdr:spPr bwMode="auto">
        <a:xfrm>
          <a:off x="1978479" y="839152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447</xdr:row>
      <xdr:rowOff>111579</xdr:rowOff>
    </xdr:from>
    <xdr:to>
      <xdr:col>10</xdr:col>
      <xdr:colOff>615043</xdr:colOff>
      <xdr:row>447</xdr:row>
      <xdr:rowOff>111579</xdr:rowOff>
    </xdr:to>
    <xdr:sp macro="" textlink="">
      <xdr:nvSpPr>
        <xdr:cNvPr id="36606" name="Line 124">
          <a:extLst>
            <a:ext uri="{FF2B5EF4-FFF2-40B4-BE49-F238E27FC236}">
              <a16:creationId xmlns:a16="http://schemas.microsoft.com/office/drawing/2014/main" id="{3B83AF07-801D-B4AC-F8D3-87FB60D00CDB}"/>
            </a:ext>
          </a:extLst>
        </xdr:cNvPr>
        <xdr:cNvSpPr>
          <a:spLocks noChangeShapeType="1"/>
        </xdr:cNvSpPr>
      </xdr:nvSpPr>
      <xdr:spPr bwMode="auto">
        <a:xfrm>
          <a:off x="1978479" y="841111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448</xdr:row>
      <xdr:rowOff>111579</xdr:rowOff>
    </xdr:from>
    <xdr:to>
      <xdr:col>10</xdr:col>
      <xdr:colOff>615043</xdr:colOff>
      <xdr:row>448</xdr:row>
      <xdr:rowOff>111579</xdr:rowOff>
    </xdr:to>
    <xdr:sp macro="" textlink="">
      <xdr:nvSpPr>
        <xdr:cNvPr id="36607" name="Line 125">
          <a:extLst>
            <a:ext uri="{FF2B5EF4-FFF2-40B4-BE49-F238E27FC236}">
              <a16:creationId xmlns:a16="http://schemas.microsoft.com/office/drawing/2014/main" id="{968D2120-6F5D-63DD-869E-D0C5D37AE2BB}"/>
            </a:ext>
          </a:extLst>
        </xdr:cNvPr>
        <xdr:cNvSpPr>
          <a:spLocks noChangeShapeType="1"/>
        </xdr:cNvSpPr>
      </xdr:nvSpPr>
      <xdr:spPr bwMode="auto">
        <a:xfrm>
          <a:off x="1978479" y="843071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460</xdr:row>
      <xdr:rowOff>111579</xdr:rowOff>
    </xdr:from>
    <xdr:to>
      <xdr:col>10</xdr:col>
      <xdr:colOff>615043</xdr:colOff>
      <xdr:row>460</xdr:row>
      <xdr:rowOff>111579</xdr:rowOff>
    </xdr:to>
    <xdr:sp macro="" textlink="">
      <xdr:nvSpPr>
        <xdr:cNvPr id="36608" name="Line 126">
          <a:extLst>
            <a:ext uri="{FF2B5EF4-FFF2-40B4-BE49-F238E27FC236}">
              <a16:creationId xmlns:a16="http://schemas.microsoft.com/office/drawing/2014/main" id="{FC34AFE3-7458-0BE5-DA00-5858206D3748}"/>
            </a:ext>
          </a:extLst>
        </xdr:cNvPr>
        <xdr:cNvSpPr>
          <a:spLocks noChangeShapeType="1"/>
        </xdr:cNvSpPr>
      </xdr:nvSpPr>
      <xdr:spPr bwMode="auto">
        <a:xfrm>
          <a:off x="1978479" y="865114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463</xdr:row>
      <xdr:rowOff>111579</xdr:rowOff>
    </xdr:from>
    <xdr:to>
      <xdr:col>10</xdr:col>
      <xdr:colOff>615043</xdr:colOff>
      <xdr:row>463</xdr:row>
      <xdr:rowOff>111579</xdr:rowOff>
    </xdr:to>
    <xdr:sp macro="" textlink="">
      <xdr:nvSpPr>
        <xdr:cNvPr id="36609" name="Line 127">
          <a:extLst>
            <a:ext uri="{FF2B5EF4-FFF2-40B4-BE49-F238E27FC236}">
              <a16:creationId xmlns:a16="http://schemas.microsoft.com/office/drawing/2014/main" id="{3C69EA82-9C58-1D57-1359-C2FC45FBBC67}"/>
            </a:ext>
          </a:extLst>
        </xdr:cNvPr>
        <xdr:cNvSpPr>
          <a:spLocks noChangeShapeType="1"/>
        </xdr:cNvSpPr>
      </xdr:nvSpPr>
      <xdr:spPr bwMode="auto">
        <a:xfrm>
          <a:off x="1978479" y="871074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464</xdr:row>
      <xdr:rowOff>111579</xdr:rowOff>
    </xdr:from>
    <xdr:to>
      <xdr:col>10</xdr:col>
      <xdr:colOff>615043</xdr:colOff>
      <xdr:row>464</xdr:row>
      <xdr:rowOff>111579</xdr:rowOff>
    </xdr:to>
    <xdr:sp macro="" textlink="">
      <xdr:nvSpPr>
        <xdr:cNvPr id="36610" name="Line 128">
          <a:extLst>
            <a:ext uri="{FF2B5EF4-FFF2-40B4-BE49-F238E27FC236}">
              <a16:creationId xmlns:a16="http://schemas.microsoft.com/office/drawing/2014/main" id="{EE7F9E04-1DB7-B81E-53AB-FC1EDBECB669}"/>
            </a:ext>
          </a:extLst>
        </xdr:cNvPr>
        <xdr:cNvSpPr>
          <a:spLocks noChangeShapeType="1"/>
        </xdr:cNvSpPr>
      </xdr:nvSpPr>
      <xdr:spPr bwMode="auto">
        <a:xfrm>
          <a:off x="1978479" y="873034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465</xdr:row>
      <xdr:rowOff>111579</xdr:rowOff>
    </xdr:from>
    <xdr:to>
      <xdr:col>10</xdr:col>
      <xdr:colOff>615043</xdr:colOff>
      <xdr:row>465</xdr:row>
      <xdr:rowOff>111579</xdr:rowOff>
    </xdr:to>
    <xdr:sp macro="" textlink="">
      <xdr:nvSpPr>
        <xdr:cNvPr id="36611" name="Line 129">
          <a:extLst>
            <a:ext uri="{FF2B5EF4-FFF2-40B4-BE49-F238E27FC236}">
              <a16:creationId xmlns:a16="http://schemas.microsoft.com/office/drawing/2014/main" id="{272426AE-6659-1C45-DDEB-C25BB2BBC17E}"/>
            </a:ext>
          </a:extLst>
        </xdr:cNvPr>
        <xdr:cNvSpPr>
          <a:spLocks noChangeShapeType="1"/>
        </xdr:cNvSpPr>
      </xdr:nvSpPr>
      <xdr:spPr bwMode="auto">
        <a:xfrm>
          <a:off x="1978479" y="874993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466</xdr:row>
      <xdr:rowOff>111579</xdr:rowOff>
    </xdr:from>
    <xdr:to>
      <xdr:col>10</xdr:col>
      <xdr:colOff>615043</xdr:colOff>
      <xdr:row>466</xdr:row>
      <xdr:rowOff>111579</xdr:rowOff>
    </xdr:to>
    <xdr:sp macro="" textlink="">
      <xdr:nvSpPr>
        <xdr:cNvPr id="36612" name="Line 130">
          <a:extLst>
            <a:ext uri="{FF2B5EF4-FFF2-40B4-BE49-F238E27FC236}">
              <a16:creationId xmlns:a16="http://schemas.microsoft.com/office/drawing/2014/main" id="{02E5A0A1-3C3F-FC0F-2253-99FC60EEB0F2}"/>
            </a:ext>
          </a:extLst>
        </xdr:cNvPr>
        <xdr:cNvSpPr>
          <a:spLocks noChangeShapeType="1"/>
        </xdr:cNvSpPr>
      </xdr:nvSpPr>
      <xdr:spPr bwMode="auto">
        <a:xfrm>
          <a:off x="1978479" y="876953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478</xdr:row>
      <xdr:rowOff>111579</xdr:rowOff>
    </xdr:from>
    <xdr:to>
      <xdr:col>10</xdr:col>
      <xdr:colOff>615043</xdr:colOff>
      <xdr:row>478</xdr:row>
      <xdr:rowOff>111579</xdr:rowOff>
    </xdr:to>
    <xdr:sp macro="" textlink="">
      <xdr:nvSpPr>
        <xdr:cNvPr id="36613" name="Line 131">
          <a:extLst>
            <a:ext uri="{FF2B5EF4-FFF2-40B4-BE49-F238E27FC236}">
              <a16:creationId xmlns:a16="http://schemas.microsoft.com/office/drawing/2014/main" id="{8114B843-63C7-3C39-0E96-EC43A9A7AE86}"/>
            </a:ext>
          </a:extLst>
        </xdr:cNvPr>
        <xdr:cNvSpPr>
          <a:spLocks noChangeShapeType="1"/>
        </xdr:cNvSpPr>
      </xdr:nvSpPr>
      <xdr:spPr bwMode="auto">
        <a:xfrm>
          <a:off x="1978479" y="898996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481</xdr:row>
      <xdr:rowOff>111579</xdr:rowOff>
    </xdr:from>
    <xdr:to>
      <xdr:col>10</xdr:col>
      <xdr:colOff>615043</xdr:colOff>
      <xdr:row>481</xdr:row>
      <xdr:rowOff>111579</xdr:rowOff>
    </xdr:to>
    <xdr:sp macro="" textlink="">
      <xdr:nvSpPr>
        <xdr:cNvPr id="36614" name="Line 132">
          <a:extLst>
            <a:ext uri="{FF2B5EF4-FFF2-40B4-BE49-F238E27FC236}">
              <a16:creationId xmlns:a16="http://schemas.microsoft.com/office/drawing/2014/main" id="{C9A29100-456C-2E3D-C48F-54A3FBE8FE84}"/>
            </a:ext>
          </a:extLst>
        </xdr:cNvPr>
        <xdr:cNvSpPr>
          <a:spLocks noChangeShapeType="1"/>
        </xdr:cNvSpPr>
      </xdr:nvSpPr>
      <xdr:spPr bwMode="auto">
        <a:xfrm>
          <a:off x="1978479" y="904956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482</xdr:row>
      <xdr:rowOff>111579</xdr:rowOff>
    </xdr:from>
    <xdr:to>
      <xdr:col>10</xdr:col>
      <xdr:colOff>615043</xdr:colOff>
      <xdr:row>482</xdr:row>
      <xdr:rowOff>111579</xdr:rowOff>
    </xdr:to>
    <xdr:sp macro="" textlink="">
      <xdr:nvSpPr>
        <xdr:cNvPr id="36615" name="Line 133">
          <a:extLst>
            <a:ext uri="{FF2B5EF4-FFF2-40B4-BE49-F238E27FC236}">
              <a16:creationId xmlns:a16="http://schemas.microsoft.com/office/drawing/2014/main" id="{4C75BA03-8E1F-C281-EEC5-51F116684E95}"/>
            </a:ext>
          </a:extLst>
        </xdr:cNvPr>
        <xdr:cNvSpPr>
          <a:spLocks noChangeShapeType="1"/>
        </xdr:cNvSpPr>
      </xdr:nvSpPr>
      <xdr:spPr bwMode="auto">
        <a:xfrm>
          <a:off x="1978479" y="906916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483</xdr:row>
      <xdr:rowOff>111579</xdr:rowOff>
    </xdr:from>
    <xdr:to>
      <xdr:col>10</xdr:col>
      <xdr:colOff>615043</xdr:colOff>
      <xdr:row>483</xdr:row>
      <xdr:rowOff>111579</xdr:rowOff>
    </xdr:to>
    <xdr:sp macro="" textlink="">
      <xdr:nvSpPr>
        <xdr:cNvPr id="36616" name="Line 134">
          <a:extLst>
            <a:ext uri="{FF2B5EF4-FFF2-40B4-BE49-F238E27FC236}">
              <a16:creationId xmlns:a16="http://schemas.microsoft.com/office/drawing/2014/main" id="{DC4705C8-B329-A7D4-7FC8-CD96EA642A0E}"/>
            </a:ext>
          </a:extLst>
        </xdr:cNvPr>
        <xdr:cNvSpPr>
          <a:spLocks noChangeShapeType="1"/>
        </xdr:cNvSpPr>
      </xdr:nvSpPr>
      <xdr:spPr bwMode="auto">
        <a:xfrm>
          <a:off x="1978479" y="908875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484</xdr:row>
      <xdr:rowOff>111579</xdr:rowOff>
    </xdr:from>
    <xdr:to>
      <xdr:col>10</xdr:col>
      <xdr:colOff>615043</xdr:colOff>
      <xdr:row>484</xdr:row>
      <xdr:rowOff>111579</xdr:rowOff>
    </xdr:to>
    <xdr:sp macro="" textlink="">
      <xdr:nvSpPr>
        <xdr:cNvPr id="36617" name="Line 135">
          <a:extLst>
            <a:ext uri="{FF2B5EF4-FFF2-40B4-BE49-F238E27FC236}">
              <a16:creationId xmlns:a16="http://schemas.microsoft.com/office/drawing/2014/main" id="{4D5523F7-F918-E2D0-5FE7-EBFB15D0C9CA}"/>
            </a:ext>
          </a:extLst>
        </xdr:cNvPr>
        <xdr:cNvSpPr>
          <a:spLocks noChangeShapeType="1"/>
        </xdr:cNvSpPr>
      </xdr:nvSpPr>
      <xdr:spPr bwMode="auto">
        <a:xfrm>
          <a:off x="1978479" y="910834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496</xdr:row>
      <xdr:rowOff>111579</xdr:rowOff>
    </xdr:from>
    <xdr:to>
      <xdr:col>10</xdr:col>
      <xdr:colOff>615043</xdr:colOff>
      <xdr:row>496</xdr:row>
      <xdr:rowOff>111579</xdr:rowOff>
    </xdr:to>
    <xdr:sp macro="" textlink="">
      <xdr:nvSpPr>
        <xdr:cNvPr id="36618" name="Line 136">
          <a:extLst>
            <a:ext uri="{FF2B5EF4-FFF2-40B4-BE49-F238E27FC236}">
              <a16:creationId xmlns:a16="http://schemas.microsoft.com/office/drawing/2014/main" id="{864461F0-C9A0-2248-011F-BFE90DAEEB32}"/>
            </a:ext>
          </a:extLst>
        </xdr:cNvPr>
        <xdr:cNvSpPr>
          <a:spLocks noChangeShapeType="1"/>
        </xdr:cNvSpPr>
      </xdr:nvSpPr>
      <xdr:spPr bwMode="auto">
        <a:xfrm>
          <a:off x="1978479" y="932878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499</xdr:row>
      <xdr:rowOff>111579</xdr:rowOff>
    </xdr:from>
    <xdr:to>
      <xdr:col>10</xdr:col>
      <xdr:colOff>615043</xdr:colOff>
      <xdr:row>499</xdr:row>
      <xdr:rowOff>111579</xdr:rowOff>
    </xdr:to>
    <xdr:sp macro="" textlink="">
      <xdr:nvSpPr>
        <xdr:cNvPr id="36619" name="Line 137">
          <a:extLst>
            <a:ext uri="{FF2B5EF4-FFF2-40B4-BE49-F238E27FC236}">
              <a16:creationId xmlns:a16="http://schemas.microsoft.com/office/drawing/2014/main" id="{010D8E4F-ACD6-9BAC-392F-8456EE06AD73}"/>
            </a:ext>
          </a:extLst>
        </xdr:cNvPr>
        <xdr:cNvSpPr>
          <a:spLocks noChangeShapeType="1"/>
        </xdr:cNvSpPr>
      </xdr:nvSpPr>
      <xdr:spPr bwMode="auto">
        <a:xfrm>
          <a:off x="1978479" y="938838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500</xdr:row>
      <xdr:rowOff>111579</xdr:rowOff>
    </xdr:from>
    <xdr:to>
      <xdr:col>10</xdr:col>
      <xdr:colOff>615043</xdr:colOff>
      <xdr:row>500</xdr:row>
      <xdr:rowOff>111579</xdr:rowOff>
    </xdr:to>
    <xdr:sp macro="" textlink="">
      <xdr:nvSpPr>
        <xdr:cNvPr id="36620" name="Line 138">
          <a:extLst>
            <a:ext uri="{FF2B5EF4-FFF2-40B4-BE49-F238E27FC236}">
              <a16:creationId xmlns:a16="http://schemas.microsoft.com/office/drawing/2014/main" id="{6EC0D997-171C-7C05-4346-999113001AED}"/>
            </a:ext>
          </a:extLst>
        </xdr:cNvPr>
        <xdr:cNvSpPr>
          <a:spLocks noChangeShapeType="1"/>
        </xdr:cNvSpPr>
      </xdr:nvSpPr>
      <xdr:spPr bwMode="auto">
        <a:xfrm>
          <a:off x="1978479" y="940797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501</xdr:row>
      <xdr:rowOff>111579</xdr:rowOff>
    </xdr:from>
    <xdr:to>
      <xdr:col>10</xdr:col>
      <xdr:colOff>615043</xdr:colOff>
      <xdr:row>501</xdr:row>
      <xdr:rowOff>111579</xdr:rowOff>
    </xdr:to>
    <xdr:sp macro="" textlink="">
      <xdr:nvSpPr>
        <xdr:cNvPr id="36621" name="Line 139">
          <a:extLst>
            <a:ext uri="{FF2B5EF4-FFF2-40B4-BE49-F238E27FC236}">
              <a16:creationId xmlns:a16="http://schemas.microsoft.com/office/drawing/2014/main" id="{132B2F2C-951C-AD19-7DC5-543233BDDCEE}"/>
            </a:ext>
          </a:extLst>
        </xdr:cNvPr>
        <xdr:cNvSpPr>
          <a:spLocks noChangeShapeType="1"/>
        </xdr:cNvSpPr>
      </xdr:nvSpPr>
      <xdr:spPr bwMode="auto">
        <a:xfrm>
          <a:off x="1978479" y="942757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502</xdr:row>
      <xdr:rowOff>111579</xdr:rowOff>
    </xdr:from>
    <xdr:to>
      <xdr:col>10</xdr:col>
      <xdr:colOff>615043</xdr:colOff>
      <xdr:row>502</xdr:row>
      <xdr:rowOff>111579</xdr:rowOff>
    </xdr:to>
    <xdr:sp macro="" textlink="">
      <xdr:nvSpPr>
        <xdr:cNvPr id="36622" name="Line 140">
          <a:extLst>
            <a:ext uri="{FF2B5EF4-FFF2-40B4-BE49-F238E27FC236}">
              <a16:creationId xmlns:a16="http://schemas.microsoft.com/office/drawing/2014/main" id="{7653B94D-A6F8-FD1F-6511-A0FA0B975807}"/>
            </a:ext>
          </a:extLst>
        </xdr:cNvPr>
        <xdr:cNvSpPr>
          <a:spLocks noChangeShapeType="1"/>
        </xdr:cNvSpPr>
      </xdr:nvSpPr>
      <xdr:spPr bwMode="auto">
        <a:xfrm>
          <a:off x="1978479" y="944716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514</xdr:row>
      <xdr:rowOff>111579</xdr:rowOff>
    </xdr:from>
    <xdr:to>
      <xdr:col>10</xdr:col>
      <xdr:colOff>615043</xdr:colOff>
      <xdr:row>514</xdr:row>
      <xdr:rowOff>111579</xdr:rowOff>
    </xdr:to>
    <xdr:sp macro="" textlink="">
      <xdr:nvSpPr>
        <xdr:cNvPr id="36623" name="Line 141">
          <a:extLst>
            <a:ext uri="{FF2B5EF4-FFF2-40B4-BE49-F238E27FC236}">
              <a16:creationId xmlns:a16="http://schemas.microsoft.com/office/drawing/2014/main" id="{59793225-C4A0-5045-6977-926766CDBE17}"/>
            </a:ext>
          </a:extLst>
        </xdr:cNvPr>
        <xdr:cNvSpPr>
          <a:spLocks noChangeShapeType="1"/>
        </xdr:cNvSpPr>
      </xdr:nvSpPr>
      <xdr:spPr bwMode="auto">
        <a:xfrm>
          <a:off x="1978479" y="966760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517</xdr:row>
      <xdr:rowOff>111579</xdr:rowOff>
    </xdr:from>
    <xdr:to>
      <xdr:col>10</xdr:col>
      <xdr:colOff>615043</xdr:colOff>
      <xdr:row>517</xdr:row>
      <xdr:rowOff>111579</xdr:rowOff>
    </xdr:to>
    <xdr:sp macro="" textlink="">
      <xdr:nvSpPr>
        <xdr:cNvPr id="36624" name="Line 142">
          <a:extLst>
            <a:ext uri="{FF2B5EF4-FFF2-40B4-BE49-F238E27FC236}">
              <a16:creationId xmlns:a16="http://schemas.microsoft.com/office/drawing/2014/main" id="{3636A64C-E22D-1010-4497-460EE97A8863}"/>
            </a:ext>
          </a:extLst>
        </xdr:cNvPr>
        <xdr:cNvSpPr>
          <a:spLocks noChangeShapeType="1"/>
        </xdr:cNvSpPr>
      </xdr:nvSpPr>
      <xdr:spPr bwMode="auto">
        <a:xfrm>
          <a:off x="1978479" y="972720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518</xdr:row>
      <xdr:rowOff>111579</xdr:rowOff>
    </xdr:from>
    <xdr:to>
      <xdr:col>10</xdr:col>
      <xdr:colOff>615043</xdr:colOff>
      <xdr:row>518</xdr:row>
      <xdr:rowOff>111579</xdr:rowOff>
    </xdr:to>
    <xdr:sp macro="" textlink="">
      <xdr:nvSpPr>
        <xdr:cNvPr id="36625" name="Line 143">
          <a:extLst>
            <a:ext uri="{FF2B5EF4-FFF2-40B4-BE49-F238E27FC236}">
              <a16:creationId xmlns:a16="http://schemas.microsoft.com/office/drawing/2014/main" id="{D74CDD20-34CC-B8D1-8608-5E108E4E45BE}"/>
            </a:ext>
          </a:extLst>
        </xdr:cNvPr>
        <xdr:cNvSpPr>
          <a:spLocks noChangeShapeType="1"/>
        </xdr:cNvSpPr>
      </xdr:nvSpPr>
      <xdr:spPr bwMode="auto">
        <a:xfrm>
          <a:off x="1978479" y="974679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519</xdr:row>
      <xdr:rowOff>111579</xdr:rowOff>
    </xdr:from>
    <xdr:to>
      <xdr:col>10</xdr:col>
      <xdr:colOff>615043</xdr:colOff>
      <xdr:row>519</xdr:row>
      <xdr:rowOff>111579</xdr:rowOff>
    </xdr:to>
    <xdr:sp macro="" textlink="">
      <xdr:nvSpPr>
        <xdr:cNvPr id="36626" name="Line 144">
          <a:extLst>
            <a:ext uri="{FF2B5EF4-FFF2-40B4-BE49-F238E27FC236}">
              <a16:creationId xmlns:a16="http://schemas.microsoft.com/office/drawing/2014/main" id="{1B0E87A4-ED0B-C627-F24F-919BAE1A7305}"/>
            </a:ext>
          </a:extLst>
        </xdr:cNvPr>
        <xdr:cNvSpPr>
          <a:spLocks noChangeShapeType="1"/>
        </xdr:cNvSpPr>
      </xdr:nvSpPr>
      <xdr:spPr bwMode="auto">
        <a:xfrm>
          <a:off x="1978479" y="976639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520</xdr:row>
      <xdr:rowOff>111579</xdr:rowOff>
    </xdr:from>
    <xdr:to>
      <xdr:col>10</xdr:col>
      <xdr:colOff>615043</xdr:colOff>
      <xdr:row>520</xdr:row>
      <xdr:rowOff>111579</xdr:rowOff>
    </xdr:to>
    <xdr:sp macro="" textlink="">
      <xdr:nvSpPr>
        <xdr:cNvPr id="36627" name="Line 145">
          <a:extLst>
            <a:ext uri="{FF2B5EF4-FFF2-40B4-BE49-F238E27FC236}">
              <a16:creationId xmlns:a16="http://schemas.microsoft.com/office/drawing/2014/main" id="{9DC321C2-E755-326A-E3B1-CD1B112CE6C6}"/>
            </a:ext>
          </a:extLst>
        </xdr:cNvPr>
        <xdr:cNvSpPr>
          <a:spLocks noChangeShapeType="1"/>
        </xdr:cNvSpPr>
      </xdr:nvSpPr>
      <xdr:spPr bwMode="auto">
        <a:xfrm>
          <a:off x="1978479" y="978598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532</xdr:row>
      <xdr:rowOff>111579</xdr:rowOff>
    </xdr:from>
    <xdr:to>
      <xdr:col>10</xdr:col>
      <xdr:colOff>615043</xdr:colOff>
      <xdr:row>532</xdr:row>
      <xdr:rowOff>111579</xdr:rowOff>
    </xdr:to>
    <xdr:sp macro="" textlink="">
      <xdr:nvSpPr>
        <xdr:cNvPr id="36628" name="Line 146">
          <a:extLst>
            <a:ext uri="{FF2B5EF4-FFF2-40B4-BE49-F238E27FC236}">
              <a16:creationId xmlns:a16="http://schemas.microsoft.com/office/drawing/2014/main" id="{03A6EBE5-4125-0946-CB10-9D587CCB2811}"/>
            </a:ext>
          </a:extLst>
        </xdr:cNvPr>
        <xdr:cNvSpPr>
          <a:spLocks noChangeShapeType="1"/>
        </xdr:cNvSpPr>
      </xdr:nvSpPr>
      <xdr:spPr bwMode="auto">
        <a:xfrm>
          <a:off x="1978479" y="1000642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535</xdr:row>
      <xdr:rowOff>111579</xdr:rowOff>
    </xdr:from>
    <xdr:to>
      <xdr:col>10</xdr:col>
      <xdr:colOff>615043</xdr:colOff>
      <xdr:row>535</xdr:row>
      <xdr:rowOff>111579</xdr:rowOff>
    </xdr:to>
    <xdr:sp macro="" textlink="">
      <xdr:nvSpPr>
        <xdr:cNvPr id="36629" name="Line 147">
          <a:extLst>
            <a:ext uri="{FF2B5EF4-FFF2-40B4-BE49-F238E27FC236}">
              <a16:creationId xmlns:a16="http://schemas.microsoft.com/office/drawing/2014/main" id="{E37A01DD-FA25-259B-D7EF-699639EA16E1}"/>
            </a:ext>
          </a:extLst>
        </xdr:cNvPr>
        <xdr:cNvSpPr>
          <a:spLocks noChangeShapeType="1"/>
        </xdr:cNvSpPr>
      </xdr:nvSpPr>
      <xdr:spPr bwMode="auto">
        <a:xfrm>
          <a:off x="1978479" y="1006602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536</xdr:row>
      <xdr:rowOff>111579</xdr:rowOff>
    </xdr:from>
    <xdr:to>
      <xdr:col>10</xdr:col>
      <xdr:colOff>615043</xdr:colOff>
      <xdr:row>536</xdr:row>
      <xdr:rowOff>111579</xdr:rowOff>
    </xdr:to>
    <xdr:sp macro="" textlink="">
      <xdr:nvSpPr>
        <xdr:cNvPr id="36630" name="Line 148">
          <a:extLst>
            <a:ext uri="{FF2B5EF4-FFF2-40B4-BE49-F238E27FC236}">
              <a16:creationId xmlns:a16="http://schemas.microsoft.com/office/drawing/2014/main" id="{168C6728-61BA-257A-72C2-D0BB07388614}"/>
            </a:ext>
          </a:extLst>
        </xdr:cNvPr>
        <xdr:cNvSpPr>
          <a:spLocks noChangeShapeType="1"/>
        </xdr:cNvSpPr>
      </xdr:nvSpPr>
      <xdr:spPr bwMode="auto">
        <a:xfrm>
          <a:off x="1978479" y="1008561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537</xdr:row>
      <xdr:rowOff>111579</xdr:rowOff>
    </xdr:from>
    <xdr:to>
      <xdr:col>10</xdr:col>
      <xdr:colOff>615043</xdr:colOff>
      <xdr:row>537</xdr:row>
      <xdr:rowOff>111579</xdr:rowOff>
    </xdr:to>
    <xdr:sp macro="" textlink="">
      <xdr:nvSpPr>
        <xdr:cNvPr id="36631" name="Line 149">
          <a:extLst>
            <a:ext uri="{FF2B5EF4-FFF2-40B4-BE49-F238E27FC236}">
              <a16:creationId xmlns:a16="http://schemas.microsoft.com/office/drawing/2014/main" id="{7C3B0E17-7E98-130B-8E2B-1EB4F2FD8121}"/>
            </a:ext>
          </a:extLst>
        </xdr:cNvPr>
        <xdr:cNvSpPr>
          <a:spLocks noChangeShapeType="1"/>
        </xdr:cNvSpPr>
      </xdr:nvSpPr>
      <xdr:spPr bwMode="auto">
        <a:xfrm>
          <a:off x="1978479" y="1010520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538</xdr:row>
      <xdr:rowOff>111579</xdr:rowOff>
    </xdr:from>
    <xdr:to>
      <xdr:col>10</xdr:col>
      <xdr:colOff>615043</xdr:colOff>
      <xdr:row>538</xdr:row>
      <xdr:rowOff>111579</xdr:rowOff>
    </xdr:to>
    <xdr:sp macro="" textlink="">
      <xdr:nvSpPr>
        <xdr:cNvPr id="36632" name="Line 150">
          <a:extLst>
            <a:ext uri="{FF2B5EF4-FFF2-40B4-BE49-F238E27FC236}">
              <a16:creationId xmlns:a16="http://schemas.microsoft.com/office/drawing/2014/main" id="{AE96A6D6-1181-6144-32BB-DAF1574CC395}"/>
            </a:ext>
          </a:extLst>
        </xdr:cNvPr>
        <xdr:cNvSpPr>
          <a:spLocks noChangeShapeType="1"/>
        </xdr:cNvSpPr>
      </xdr:nvSpPr>
      <xdr:spPr bwMode="auto">
        <a:xfrm>
          <a:off x="1978479" y="1012480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35</xdr:row>
      <xdr:rowOff>103414</xdr:rowOff>
    </xdr:from>
    <xdr:to>
      <xdr:col>10</xdr:col>
      <xdr:colOff>383721</xdr:colOff>
      <xdr:row>35</xdr:row>
      <xdr:rowOff>103414</xdr:rowOff>
    </xdr:to>
    <xdr:sp macro="" textlink="">
      <xdr:nvSpPr>
        <xdr:cNvPr id="36633" name="Line 160">
          <a:extLst>
            <a:ext uri="{FF2B5EF4-FFF2-40B4-BE49-F238E27FC236}">
              <a16:creationId xmlns:a16="http://schemas.microsoft.com/office/drawing/2014/main" id="{C787C363-B78B-D6CB-CD2A-0A8258BD247F}"/>
            </a:ext>
          </a:extLst>
        </xdr:cNvPr>
        <xdr:cNvSpPr>
          <a:spLocks noChangeShapeType="1"/>
        </xdr:cNvSpPr>
      </xdr:nvSpPr>
      <xdr:spPr bwMode="auto">
        <a:xfrm>
          <a:off x="1978479" y="6566807"/>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52</xdr:row>
      <xdr:rowOff>111579</xdr:rowOff>
    </xdr:from>
    <xdr:to>
      <xdr:col>10</xdr:col>
      <xdr:colOff>615043</xdr:colOff>
      <xdr:row>52</xdr:row>
      <xdr:rowOff>111579</xdr:rowOff>
    </xdr:to>
    <xdr:sp macro="" textlink="">
      <xdr:nvSpPr>
        <xdr:cNvPr id="36634" name="Line 161">
          <a:extLst>
            <a:ext uri="{FF2B5EF4-FFF2-40B4-BE49-F238E27FC236}">
              <a16:creationId xmlns:a16="http://schemas.microsoft.com/office/drawing/2014/main" id="{0BFA95EF-B6DF-9D3F-1FEC-1A891D6D30B4}"/>
            </a:ext>
          </a:extLst>
        </xdr:cNvPr>
        <xdr:cNvSpPr>
          <a:spLocks noChangeShapeType="1"/>
        </xdr:cNvSpPr>
      </xdr:nvSpPr>
      <xdr:spPr bwMode="auto">
        <a:xfrm>
          <a:off x="1978479" y="97672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53</xdr:row>
      <xdr:rowOff>103414</xdr:rowOff>
    </xdr:from>
    <xdr:to>
      <xdr:col>10</xdr:col>
      <xdr:colOff>383721</xdr:colOff>
      <xdr:row>53</xdr:row>
      <xdr:rowOff>103414</xdr:rowOff>
    </xdr:to>
    <xdr:sp macro="" textlink="">
      <xdr:nvSpPr>
        <xdr:cNvPr id="36635" name="Line 162">
          <a:extLst>
            <a:ext uri="{FF2B5EF4-FFF2-40B4-BE49-F238E27FC236}">
              <a16:creationId xmlns:a16="http://schemas.microsoft.com/office/drawing/2014/main" id="{3B9104DD-2CB0-0532-92B9-4740E7A6C1C3}"/>
            </a:ext>
          </a:extLst>
        </xdr:cNvPr>
        <xdr:cNvSpPr>
          <a:spLocks noChangeShapeType="1"/>
        </xdr:cNvSpPr>
      </xdr:nvSpPr>
      <xdr:spPr bwMode="auto">
        <a:xfrm>
          <a:off x="1978479" y="9954986"/>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70</xdr:row>
      <xdr:rowOff>111579</xdr:rowOff>
    </xdr:from>
    <xdr:to>
      <xdr:col>10</xdr:col>
      <xdr:colOff>615043</xdr:colOff>
      <xdr:row>70</xdr:row>
      <xdr:rowOff>111579</xdr:rowOff>
    </xdr:to>
    <xdr:sp macro="" textlink="">
      <xdr:nvSpPr>
        <xdr:cNvPr id="36636" name="Line 163">
          <a:extLst>
            <a:ext uri="{FF2B5EF4-FFF2-40B4-BE49-F238E27FC236}">
              <a16:creationId xmlns:a16="http://schemas.microsoft.com/office/drawing/2014/main" id="{72AA94DB-99E0-A633-57BB-6B9641171C5A}"/>
            </a:ext>
          </a:extLst>
        </xdr:cNvPr>
        <xdr:cNvSpPr>
          <a:spLocks noChangeShapeType="1"/>
        </xdr:cNvSpPr>
      </xdr:nvSpPr>
      <xdr:spPr bwMode="auto">
        <a:xfrm>
          <a:off x="1978479" y="131553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71</xdr:row>
      <xdr:rowOff>103414</xdr:rowOff>
    </xdr:from>
    <xdr:to>
      <xdr:col>10</xdr:col>
      <xdr:colOff>383721</xdr:colOff>
      <xdr:row>71</xdr:row>
      <xdr:rowOff>103414</xdr:rowOff>
    </xdr:to>
    <xdr:sp macro="" textlink="">
      <xdr:nvSpPr>
        <xdr:cNvPr id="36637" name="Line 164">
          <a:extLst>
            <a:ext uri="{FF2B5EF4-FFF2-40B4-BE49-F238E27FC236}">
              <a16:creationId xmlns:a16="http://schemas.microsoft.com/office/drawing/2014/main" id="{A01C8B88-3D70-7556-A2D2-09F884F5D25A}"/>
            </a:ext>
          </a:extLst>
        </xdr:cNvPr>
        <xdr:cNvSpPr>
          <a:spLocks noChangeShapeType="1"/>
        </xdr:cNvSpPr>
      </xdr:nvSpPr>
      <xdr:spPr bwMode="auto">
        <a:xfrm>
          <a:off x="1978479" y="13343164"/>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88</xdr:row>
      <xdr:rowOff>111579</xdr:rowOff>
    </xdr:from>
    <xdr:to>
      <xdr:col>10</xdr:col>
      <xdr:colOff>615043</xdr:colOff>
      <xdr:row>88</xdr:row>
      <xdr:rowOff>111579</xdr:rowOff>
    </xdr:to>
    <xdr:sp macro="" textlink="">
      <xdr:nvSpPr>
        <xdr:cNvPr id="36638" name="Line 165">
          <a:extLst>
            <a:ext uri="{FF2B5EF4-FFF2-40B4-BE49-F238E27FC236}">
              <a16:creationId xmlns:a16="http://schemas.microsoft.com/office/drawing/2014/main" id="{FAC4C431-BB4A-CD2B-D09A-0FCB5DD9D6FE}"/>
            </a:ext>
          </a:extLst>
        </xdr:cNvPr>
        <xdr:cNvSpPr>
          <a:spLocks noChangeShapeType="1"/>
        </xdr:cNvSpPr>
      </xdr:nvSpPr>
      <xdr:spPr bwMode="auto">
        <a:xfrm>
          <a:off x="1978479" y="165435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89</xdr:row>
      <xdr:rowOff>103414</xdr:rowOff>
    </xdr:from>
    <xdr:to>
      <xdr:col>10</xdr:col>
      <xdr:colOff>383721</xdr:colOff>
      <xdr:row>89</xdr:row>
      <xdr:rowOff>103414</xdr:rowOff>
    </xdr:to>
    <xdr:sp macro="" textlink="">
      <xdr:nvSpPr>
        <xdr:cNvPr id="36639" name="Line 166">
          <a:extLst>
            <a:ext uri="{FF2B5EF4-FFF2-40B4-BE49-F238E27FC236}">
              <a16:creationId xmlns:a16="http://schemas.microsoft.com/office/drawing/2014/main" id="{180F50A3-C2B5-F45B-E89E-B0140ACF6626}"/>
            </a:ext>
          </a:extLst>
        </xdr:cNvPr>
        <xdr:cNvSpPr>
          <a:spLocks noChangeShapeType="1"/>
        </xdr:cNvSpPr>
      </xdr:nvSpPr>
      <xdr:spPr bwMode="auto">
        <a:xfrm>
          <a:off x="1978479" y="16731343"/>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106</xdr:row>
      <xdr:rowOff>111579</xdr:rowOff>
    </xdr:from>
    <xdr:to>
      <xdr:col>10</xdr:col>
      <xdr:colOff>615043</xdr:colOff>
      <xdr:row>106</xdr:row>
      <xdr:rowOff>111579</xdr:rowOff>
    </xdr:to>
    <xdr:sp macro="" textlink="">
      <xdr:nvSpPr>
        <xdr:cNvPr id="36640" name="Line 167">
          <a:extLst>
            <a:ext uri="{FF2B5EF4-FFF2-40B4-BE49-F238E27FC236}">
              <a16:creationId xmlns:a16="http://schemas.microsoft.com/office/drawing/2014/main" id="{8BF28394-02B5-AB06-4546-29819D150D1F}"/>
            </a:ext>
          </a:extLst>
        </xdr:cNvPr>
        <xdr:cNvSpPr>
          <a:spLocks noChangeShapeType="1"/>
        </xdr:cNvSpPr>
      </xdr:nvSpPr>
      <xdr:spPr bwMode="auto">
        <a:xfrm>
          <a:off x="1978479" y="199317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107</xdr:row>
      <xdr:rowOff>103414</xdr:rowOff>
    </xdr:from>
    <xdr:to>
      <xdr:col>10</xdr:col>
      <xdr:colOff>383721</xdr:colOff>
      <xdr:row>107</xdr:row>
      <xdr:rowOff>103414</xdr:rowOff>
    </xdr:to>
    <xdr:sp macro="" textlink="">
      <xdr:nvSpPr>
        <xdr:cNvPr id="36641" name="Line 168">
          <a:extLst>
            <a:ext uri="{FF2B5EF4-FFF2-40B4-BE49-F238E27FC236}">
              <a16:creationId xmlns:a16="http://schemas.microsoft.com/office/drawing/2014/main" id="{F72AEEB5-F44C-9688-F383-63836C08FFC7}"/>
            </a:ext>
          </a:extLst>
        </xdr:cNvPr>
        <xdr:cNvSpPr>
          <a:spLocks noChangeShapeType="1"/>
        </xdr:cNvSpPr>
      </xdr:nvSpPr>
      <xdr:spPr bwMode="auto">
        <a:xfrm>
          <a:off x="1978479" y="20119521"/>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124</xdr:row>
      <xdr:rowOff>111579</xdr:rowOff>
    </xdr:from>
    <xdr:to>
      <xdr:col>10</xdr:col>
      <xdr:colOff>615043</xdr:colOff>
      <xdr:row>124</xdr:row>
      <xdr:rowOff>111579</xdr:rowOff>
    </xdr:to>
    <xdr:sp macro="" textlink="">
      <xdr:nvSpPr>
        <xdr:cNvPr id="36642" name="Line 169">
          <a:extLst>
            <a:ext uri="{FF2B5EF4-FFF2-40B4-BE49-F238E27FC236}">
              <a16:creationId xmlns:a16="http://schemas.microsoft.com/office/drawing/2014/main" id="{9E989F13-E7DC-C8FD-7090-EF2DB1AAB21F}"/>
            </a:ext>
          </a:extLst>
        </xdr:cNvPr>
        <xdr:cNvSpPr>
          <a:spLocks noChangeShapeType="1"/>
        </xdr:cNvSpPr>
      </xdr:nvSpPr>
      <xdr:spPr bwMode="auto">
        <a:xfrm>
          <a:off x="1978479" y="233199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125</xdr:row>
      <xdr:rowOff>103414</xdr:rowOff>
    </xdr:from>
    <xdr:to>
      <xdr:col>10</xdr:col>
      <xdr:colOff>383721</xdr:colOff>
      <xdr:row>125</xdr:row>
      <xdr:rowOff>103414</xdr:rowOff>
    </xdr:to>
    <xdr:sp macro="" textlink="">
      <xdr:nvSpPr>
        <xdr:cNvPr id="36643" name="Line 170">
          <a:extLst>
            <a:ext uri="{FF2B5EF4-FFF2-40B4-BE49-F238E27FC236}">
              <a16:creationId xmlns:a16="http://schemas.microsoft.com/office/drawing/2014/main" id="{DDC99F97-2999-FA5E-14EA-3DCA755B983A}"/>
            </a:ext>
          </a:extLst>
        </xdr:cNvPr>
        <xdr:cNvSpPr>
          <a:spLocks noChangeShapeType="1"/>
        </xdr:cNvSpPr>
      </xdr:nvSpPr>
      <xdr:spPr bwMode="auto">
        <a:xfrm>
          <a:off x="1978479" y="23507700"/>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142</xdr:row>
      <xdr:rowOff>111579</xdr:rowOff>
    </xdr:from>
    <xdr:to>
      <xdr:col>10</xdr:col>
      <xdr:colOff>615043</xdr:colOff>
      <xdr:row>142</xdr:row>
      <xdr:rowOff>111579</xdr:rowOff>
    </xdr:to>
    <xdr:sp macro="" textlink="">
      <xdr:nvSpPr>
        <xdr:cNvPr id="36644" name="Line 171">
          <a:extLst>
            <a:ext uri="{FF2B5EF4-FFF2-40B4-BE49-F238E27FC236}">
              <a16:creationId xmlns:a16="http://schemas.microsoft.com/office/drawing/2014/main" id="{8CBECACB-7152-669E-62CF-48B69915CEB0}"/>
            </a:ext>
          </a:extLst>
        </xdr:cNvPr>
        <xdr:cNvSpPr>
          <a:spLocks noChangeShapeType="1"/>
        </xdr:cNvSpPr>
      </xdr:nvSpPr>
      <xdr:spPr bwMode="auto">
        <a:xfrm>
          <a:off x="1978479" y="267081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143</xdr:row>
      <xdr:rowOff>103414</xdr:rowOff>
    </xdr:from>
    <xdr:to>
      <xdr:col>10</xdr:col>
      <xdr:colOff>383721</xdr:colOff>
      <xdr:row>143</xdr:row>
      <xdr:rowOff>103414</xdr:rowOff>
    </xdr:to>
    <xdr:sp macro="" textlink="">
      <xdr:nvSpPr>
        <xdr:cNvPr id="36645" name="Line 172">
          <a:extLst>
            <a:ext uri="{FF2B5EF4-FFF2-40B4-BE49-F238E27FC236}">
              <a16:creationId xmlns:a16="http://schemas.microsoft.com/office/drawing/2014/main" id="{AF4DD76E-260D-36C0-9C2B-F852E247536D}"/>
            </a:ext>
          </a:extLst>
        </xdr:cNvPr>
        <xdr:cNvSpPr>
          <a:spLocks noChangeShapeType="1"/>
        </xdr:cNvSpPr>
      </xdr:nvSpPr>
      <xdr:spPr bwMode="auto">
        <a:xfrm>
          <a:off x="1978479" y="26895879"/>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160</xdr:row>
      <xdr:rowOff>111579</xdr:rowOff>
    </xdr:from>
    <xdr:to>
      <xdr:col>10</xdr:col>
      <xdr:colOff>615043</xdr:colOff>
      <xdr:row>160</xdr:row>
      <xdr:rowOff>111579</xdr:rowOff>
    </xdr:to>
    <xdr:sp macro="" textlink="">
      <xdr:nvSpPr>
        <xdr:cNvPr id="36646" name="Line 173">
          <a:extLst>
            <a:ext uri="{FF2B5EF4-FFF2-40B4-BE49-F238E27FC236}">
              <a16:creationId xmlns:a16="http://schemas.microsoft.com/office/drawing/2014/main" id="{7DB43FA7-60A7-FA3C-B5A3-504042BEA222}"/>
            </a:ext>
          </a:extLst>
        </xdr:cNvPr>
        <xdr:cNvSpPr>
          <a:spLocks noChangeShapeType="1"/>
        </xdr:cNvSpPr>
      </xdr:nvSpPr>
      <xdr:spPr bwMode="auto">
        <a:xfrm>
          <a:off x="1978479" y="300962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161</xdr:row>
      <xdr:rowOff>103414</xdr:rowOff>
    </xdr:from>
    <xdr:to>
      <xdr:col>10</xdr:col>
      <xdr:colOff>383721</xdr:colOff>
      <xdr:row>161</xdr:row>
      <xdr:rowOff>103414</xdr:rowOff>
    </xdr:to>
    <xdr:sp macro="" textlink="">
      <xdr:nvSpPr>
        <xdr:cNvPr id="36647" name="Line 174">
          <a:extLst>
            <a:ext uri="{FF2B5EF4-FFF2-40B4-BE49-F238E27FC236}">
              <a16:creationId xmlns:a16="http://schemas.microsoft.com/office/drawing/2014/main" id="{C3D1AAC3-71CA-BEAD-065E-37898DC20146}"/>
            </a:ext>
          </a:extLst>
        </xdr:cNvPr>
        <xdr:cNvSpPr>
          <a:spLocks noChangeShapeType="1"/>
        </xdr:cNvSpPr>
      </xdr:nvSpPr>
      <xdr:spPr bwMode="auto">
        <a:xfrm>
          <a:off x="1978479" y="30284057"/>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178</xdr:row>
      <xdr:rowOff>111579</xdr:rowOff>
    </xdr:from>
    <xdr:to>
      <xdr:col>10</xdr:col>
      <xdr:colOff>615043</xdr:colOff>
      <xdr:row>178</xdr:row>
      <xdr:rowOff>111579</xdr:rowOff>
    </xdr:to>
    <xdr:sp macro="" textlink="">
      <xdr:nvSpPr>
        <xdr:cNvPr id="36648" name="Line 175">
          <a:extLst>
            <a:ext uri="{FF2B5EF4-FFF2-40B4-BE49-F238E27FC236}">
              <a16:creationId xmlns:a16="http://schemas.microsoft.com/office/drawing/2014/main" id="{DB8BB4D7-7404-7D73-AA6F-6ADE65A53356}"/>
            </a:ext>
          </a:extLst>
        </xdr:cNvPr>
        <xdr:cNvSpPr>
          <a:spLocks noChangeShapeType="1"/>
        </xdr:cNvSpPr>
      </xdr:nvSpPr>
      <xdr:spPr bwMode="auto">
        <a:xfrm>
          <a:off x="1978479" y="334844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179</xdr:row>
      <xdr:rowOff>103414</xdr:rowOff>
    </xdr:from>
    <xdr:to>
      <xdr:col>10</xdr:col>
      <xdr:colOff>383721</xdr:colOff>
      <xdr:row>179</xdr:row>
      <xdr:rowOff>103414</xdr:rowOff>
    </xdr:to>
    <xdr:sp macro="" textlink="">
      <xdr:nvSpPr>
        <xdr:cNvPr id="36649" name="Line 176">
          <a:extLst>
            <a:ext uri="{FF2B5EF4-FFF2-40B4-BE49-F238E27FC236}">
              <a16:creationId xmlns:a16="http://schemas.microsoft.com/office/drawing/2014/main" id="{F69EEEC6-5774-6ED3-AA16-A24C0DFAB040}"/>
            </a:ext>
          </a:extLst>
        </xdr:cNvPr>
        <xdr:cNvSpPr>
          <a:spLocks noChangeShapeType="1"/>
        </xdr:cNvSpPr>
      </xdr:nvSpPr>
      <xdr:spPr bwMode="auto">
        <a:xfrm>
          <a:off x="1978479" y="33672236"/>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196</xdr:row>
      <xdr:rowOff>111579</xdr:rowOff>
    </xdr:from>
    <xdr:to>
      <xdr:col>10</xdr:col>
      <xdr:colOff>615043</xdr:colOff>
      <xdr:row>196</xdr:row>
      <xdr:rowOff>111579</xdr:rowOff>
    </xdr:to>
    <xdr:sp macro="" textlink="">
      <xdr:nvSpPr>
        <xdr:cNvPr id="36650" name="Line 177">
          <a:extLst>
            <a:ext uri="{FF2B5EF4-FFF2-40B4-BE49-F238E27FC236}">
              <a16:creationId xmlns:a16="http://schemas.microsoft.com/office/drawing/2014/main" id="{2B07479C-ED1F-C5D6-8AEF-8932CA1C6946}"/>
            </a:ext>
          </a:extLst>
        </xdr:cNvPr>
        <xdr:cNvSpPr>
          <a:spLocks noChangeShapeType="1"/>
        </xdr:cNvSpPr>
      </xdr:nvSpPr>
      <xdr:spPr bwMode="auto">
        <a:xfrm>
          <a:off x="1978479" y="368726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197</xdr:row>
      <xdr:rowOff>103414</xdr:rowOff>
    </xdr:from>
    <xdr:to>
      <xdr:col>10</xdr:col>
      <xdr:colOff>383721</xdr:colOff>
      <xdr:row>197</xdr:row>
      <xdr:rowOff>103414</xdr:rowOff>
    </xdr:to>
    <xdr:sp macro="" textlink="">
      <xdr:nvSpPr>
        <xdr:cNvPr id="36651" name="Line 178">
          <a:extLst>
            <a:ext uri="{FF2B5EF4-FFF2-40B4-BE49-F238E27FC236}">
              <a16:creationId xmlns:a16="http://schemas.microsoft.com/office/drawing/2014/main" id="{A9434702-47E8-0CEA-D345-B2C7C56F7E20}"/>
            </a:ext>
          </a:extLst>
        </xdr:cNvPr>
        <xdr:cNvSpPr>
          <a:spLocks noChangeShapeType="1"/>
        </xdr:cNvSpPr>
      </xdr:nvSpPr>
      <xdr:spPr bwMode="auto">
        <a:xfrm>
          <a:off x="1978479" y="37060414"/>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214</xdr:row>
      <xdr:rowOff>111579</xdr:rowOff>
    </xdr:from>
    <xdr:to>
      <xdr:col>10</xdr:col>
      <xdr:colOff>615043</xdr:colOff>
      <xdr:row>214</xdr:row>
      <xdr:rowOff>111579</xdr:rowOff>
    </xdr:to>
    <xdr:sp macro="" textlink="">
      <xdr:nvSpPr>
        <xdr:cNvPr id="36652" name="Line 179">
          <a:extLst>
            <a:ext uri="{FF2B5EF4-FFF2-40B4-BE49-F238E27FC236}">
              <a16:creationId xmlns:a16="http://schemas.microsoft.com/office/drawing/2014/main" id="{8BAB02BC-7797-B63A-8B18-C925B8231E74}"/>
            </a:ext>
          </a:extLst>
        </xdr:cNvPr>
        <xdr:cNvSpPr>
          <a:spLocks noChangeShapeType="1"/>
        </xdr:cNvSpPr>
      </xdr:nvSpPr>
      <xdr:spPr bwMode="auto">
        <a:xfrm>
          <a:off x="1978479" y="402608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215</xdr:row>
      <xdr:rowOff>103414</xdr:rowOff>
    </xdr:from>
    <xdr:to>
      <xdr:col>10</xdr:col>
      <xdr:colOff>383721</xdr:colOff>
      <xdr:row>215</xdr:row>
      <xdr:rowOff>103414</xdr:rowOff>
    </xdr:to>
    <xdr:sp macro="" textlink="">
      <xdr:nvSpPr>
        <xdr:cNvPr id="36653" name="Line 180">
          <a:extLst>
            <a:ext uri="{FF2B5EF4-FFF2-40B4-BE49-F238E27FC236}">
              <a16:creationId xmlns:a16="http://schemas.microsoft.com/office/drawing/2014/main" id="{423D090D-2009-0EFB-C305-746E2F0CE2ED}"/>
            </a:ext>
          </a:extLst>
        </xdr:cNvPr>
        <xdr:cNvSpPr>
          <a:spLocks noChangeShapeType="1"/>
        </xdr:cNvSpPr>
      </xdr:nvSpPr>
      <xdr:spPr bwMode="auto">
        <a:xfrm>
          <a:off x="1978479" y="40448593"/>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232</xdr:row>
      <xdr:rowOff>111579</xdr:rowOff>
    </xdr:from>
    <xdr:to>
      <xdr:col>10</xdr:col>
      <xdr:colOff>615043</xdr:colOff>
      <xdr:row>232</xdr:row>
      <xdr:rowOff>111579</xdr:rowOff>
    </xdr:to>
    <xdr:sp macro="" textlink="">
      <xdr:nvSpPr>
        <xdr:cNvPr id="36654" name="Line 181">
          <a:extLst>
            <a:ext uri="{FF2B5EF4-FFF2-40B4-BE49-F238E27FC236}">
              <a16:creationId xmlns:a16="http://schemas.microsoft.com/office/drawing/2014/main" id="{6C500D84-9263-A1A9-52FF-76AFB179AB01}"/>
            </a:ext>
          </a:extLst>
        </xdr:cNvPr>
        <xdr:cNvSpPr>
          <a:spLocks noChangeShapeType="1"/>
        </xdr:cNvSpPr>
      </xdr:nvSpPr>
      <xdr:spPr bwMode="auto">
        <a:xfrm>
          <a:off x="1978479" y="436489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233</xdr:row>
      <xdr:rowOff>103414</xdr:rowOff>
    </xdr:from>
    <xdr:to>
      <xdr:col>10</xdr:col>
      <xdr:colOff>383721</xdr:colOff>
      <xdr:row>233</xdr:row>
      <xdr:rowOff>103414</xdr:rowOff>
    </xdr:to>
    <xdr:sp macro="" textlink="">
      <xdr:nvSpPr>
        <xdr:cNvPr id="36655" name="Line 182">
          <a:extLst>
            <a:ext uri="{FF2B5EF4-FFF2-40B4-BE49-F238E27FC236}">
              <a16:creationId xmlns:a16="http://schemas.microsoft.com/office/drawing/2014/main" id="{E603A6EF-F509-8BEF-6F3E-EB02E601DAF7}"/>
            </a:ext>
          </a:extLst>
        </xdr:cNvPr>
        <xdr:cNvSpPr>
          <a:spLocks noChangeShapeType="1"/>
        </xdr:cNvSpPr>
      </xdr:nvSpPr>
      <xdr:spPr bwMode="auto">
        <a:xfrm>
          <a:off x="1978479" y="43836771"/>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250</xdr:row>
      <xdr:rowOff>111579</xdr:rowOff>
    </xdr:from>
    <xdr:to>
      <xdr:col>10</xdr:col>
      <xdr:colOff>615043</xdr:colOff>
      <xdr:row>250</xdr:row>
      <xdr:rowOff>111579</xdr:rowOff>
    </xdr:to>
    <xdr:sp macro="" textlink="">
      <xdr:nvSpPr>
        <xdr:cNvPr id="36656" name="Line 183">
          <a:extLst>
            <a:ext uri="{FF2B5EF4-FFF2-40B4-BE49-F238E27FC236}">
              <a16:creationId xmlns:a16="http://schemas.microsoft.com/office/drawing/2014/main" id="{07963836-23C1-E05F-6231-7C254B7CAAE3}"/>
            </a:ext>
          </a:extLst>
        </xdr:cNvPr>
        <xdr:cNvSpPr>
          <a:spLocks noChangeShapeType="1"/>
        </xdr:cNvSpPr>
      </xdr:nvSpPr>
      <xdr:spPr bwMode="auto">
        <a:xfrm>
          <a:off x="1978479" y="470371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251</xdr:row>
      <xdr:rowOff>103414</xdr:rowOff>
    </xdr:from>
    <xdr:to>
      <xdr:col>10</xdr:col>
      <xdr:colOff>383721</xdr:colOff>
      <xdr:row>251</xdr:row>
      <xdr:rowOff>103414</xdr:rowOff>
    </xdr:to>
    <xdr:sp macro="" textlink="">
      <xdr:nvSpPr>
        <xdr:cNvPr id="36657" name="Line 184">
          <a:extLst>
            <a:ext uri="{FF2B5EF4-FFF2-40B4-BE49-F238E27FC236}">
              <a16:creationId xmlns:a16="http://schemas.microsoft.com/office/drawing/2014/main" id="{B8942C0D-3C06-0783-75F3-18EC488C69C4}"/>
            </a:ext>
          </a:extLst>
        </xdr:cNvPr>
        <xdr:cNvSpPr>
          <a:spLocks noChangeShapeType="1"/>
        </xdr:cNvSpPr>
      </xdr:nvSpPr>
      <xdr:spPr bwMode="auto">
        <a:xfrm>
          <a:off x="1978479" y="47224950"/>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268</xdr:row>
      <xdr:rowOff>111579</xdr:rowOff>
    </xdr:from>
    <xdr:to>
      <xdr:col>10</xdr:col>
      <xdr:colOff>615043</xdr:colOff>
      <xdr:row>268</xdr:row>
      <xdr:rowOff>111579</xdr:rowOff>
    </xdr:to>
    <xdr:sp macro="" textlink="">
      <xdr:nvSpPr>
        <xdr:cNvPr id="36658" name="Line 185">
          <a:extLst>
            <a:ext uri="{FF2B5EF4-FFF2-40B4-BE49-F238E27FC236}">
              <a16:creationId xmlns:a16="http://schemas.microsoft.com/office/drawing/2014/main" id="{72350B46-EDC5-15DF-317B-C725B0C40A99}"/>
            </a:ext>
          </a:extLst>
        </xdr:cNvPr>
        <xdr:cNvSpPr>
          <a:spLocks noChangeShapeType="1"/>
        </xdr:cNvSpPr>
      </xdr:nvSpPr>
      <xdr:spPr bwMode="auto">
        <a:xfrm>
          <a:off x="1978479" y="504253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269</xdr:row>
      <xdr:rowOff>103414</xdr:rowOff>
    </xdr:from>
    <xdr:to>
      <xdr:col>10</xdr:col>
      <xdr:colOff>383721</xdr:colOff>
      <xdr:row>269</xdr:row>
      <xdr:rowOff>103414</xdr:rowOff>
    </xdr:to>
    <xdr:sp macro="" textlink="">
      <xdr:nvSpPr>
        <xdr:cNvPr id="36659" name="Line 186">
          <a:extLst>
            <a:ext uri="{FF2B5EF4-FFF2-40B4-BE49-F238E27FC236}">
              <a16:creationId xmlns:a16="http://schemas.microsoft.com/office/drawing/2014/main" id="{BFEF9F8B-C1A7-1177-C912-618BE20F86DB}"/>
            </a:ext>
          </a:extLst>
        </xdr:cNvPr>
        <xdr:cNvSpPr>
          <a:spLocks noChangeShapeType="1"/>
        </xdr:cNvSpPr>
      </xdr:nvSpPr>
      <xdr:spPr bwMode="auto">
        <a:xfrm>
          <a:off x="1978479" y="50613129"/>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286</xdr:row>
      <xdr:rowOff>111579</xdr:rowOff>
    </xdr:from>
    <xdr:to>
      <xdr:col>10</xdr:col>
      <xdr:colOff>615043</xdr:colOff>
      <xdr:row>286</xdr:row>
      <xdr:rowOff>111579</xdr:rowOff>
    </xdr:to>
    <xdr:sp macro="" textlink="">
      <xdr:nvSpPr>
        <xdr:cNvPr id="36660" name="Line 187">
          <a:extLst>
            <a:ext uri="{FF2B5EF4-FFF2-40B4-BE49-F238E27FC236}">
              <a16:creationId xmlns:a16="http://schemas.microsoft.com/office/drawing/2014/main" id="{D6A1B7B5-9E19-6C06-073D-D0E6BD521357}"/>
            </a:ext>
          </a:extLst>
        </xdr:cNvPr>
        <xdr:cNvSpPr>
          <a:spLocks noChangeShapeType="1"/>
        </xdr:cNvSpPr>
      </xdr:nvSpPr>
      <xdr:spPr bwMode="auto">
        <a:xfrm>
          <a:off x="1978479" y="538135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287</xdr:row>
      <xdr:rowOff>103414</xdr:rowOff>
    </xdr:from>
    <xdr:to>
      <xdr:col>10</xdr:col>
      <xdr:colOff>383721</xdr:colOff>
      <xdr:row>287</xdr:row>
      <xdr:rowOff>103414</xdr:rowOff>
    </xdr:to>
    <xdr:sp macro="" textlink="">
      <xdr:nvSpPr>
        <xdr:cNvPr id="36661" name="Line 188">
          <a:extLst>
            <a:ext uri="{FF2B5EF4-FFF2-40B4-BE49-F238E27FC236}">
              <a16:creationId xmlns:a16="http://schemas.microsoft.com/office/drawing/2014/main" id="{1639F99E-759E-1FFD-10EE-3A9411C2ED7F}"/>
            </a:ext>
          </a:extLst>
        </xdr:cNvPr>
        <xdr:cNvSpPr>
          <a:spLocks noChangeShapeType="1"/>
        </xdr:cNvSpPr>
      </xdr:nvSpPr>
      <xdr:spPr bwMode="auto">
        <a:xfrm>
          <a:off x="1978479" y="54001307"/>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304</xdr:row>
      <xdr:rowOff>111579</xdr:rowOff>
    </xdr:from>
    <xdr:to>
      <xdr:col>10</xdr:col>
      <xdr:colOff>615043</xdr:colOff>
      <xdr:row>304</xdr:row>
      <xdr:rowOff>111579</xdr:rowOff>
    </xdr:to>
    <xdr:sp macro="" textlink="">
      <xdr:nvSpPr>
        <xdr:cNvPr id="36662" name="Line 189">
          <a:extLst>
            <a:ext uri="{FF2B5EF4-FFF2-40B4-BE49-F238E27FC236}">
              <a16:creationId xmlns:a16="http://schemas.microsoft.com/office/drawing/2014/main" id="{0C6CB660-6C8C-11E6-C331-5860A2F3B24B}"/>
            </a:ext>
          </a:extLst>
        </xdr:cNvPr>
        <xdr:cNvSpPr>
          <a:spLocks noChangeShapeType="1"/>
        </xdr:cNvSpPr>
      </xdr:nvSpPr>
      <xdr:spPr bwMode="auto">
        <a:xfrm>
          <a:off x="1978479" y="5720170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305</xdr:row>
      <xdr:rowOff>103414</xdr:rowOff>
    </xdr:from>
    <xdr:to>
      <xdr:col>10</xdr:col>
      <xdr:colOff>383721</xdr:colOff>
      <xdr:row>305</xdr:row>
      <xdr:rowOff>103414</xdr:rowOff>
    </xdr:to>
    <xdr:sp macro="" textlink="">
      <xdr:nvSpPr>
        <xdr:cNvPr id="36663" name="Line 190">
          <a:extLst>
            <a:ext uri="{FF2B5EF4-FFF2-40B4-BE49-F238E27FC236}">
              <a16:creationId xmlns:a16="http://schemas.microsoft.com/office/drawing/2014/main" id="{2A9ACDC3-4D46-3FB1-21D8-325FBD4812B2}"/>
            </a:ext>
          </a:extLst>
        </xdr:cNvPr>
        <xdr:cNvSpPr>
          <a:spLocks noChangeShapeType="1"/>
        </xdr:cNvSpPr>
      </xdr:nvSpPr>
      <xdr:spPr bwMode="auto">
        <a:xfrm>
          <a:off x="1978479" y="57389486"/>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322</xdr:row>
      <xdr:rowOff>111579</xdr:rowOff>
    </xdr:from>
    <xdr:to>
      <xdr:col>10</xdr:col>
      <xdr:colOff>615043</xdr:colOff>
      <xdr:row>322</xdr:row>
      <xdr:rowOff>111579</xdr:rowOff>
    </xdr:to>
    <xdr:sp macro="" textlink="">
      <xdr:nvSpPr>
        <xdr:cNvPr id="36664" name="Line 191">
          <a:extLst>
            <a:ext uri="{FF2B5EF4-FFF2-40B4-BE49-F238E27FC236}">
              <a16:creationId xmlns:a16="http://schemas.microsoft.com/office/drawing/2014/main" id="{1B506B3A-A21C-8229-9102-C536106DD250}"/>
            </a:ext>
          </a:extLst>
        </xdr:cNvPr>
        <xdr:cNvSpPr>
          <a:spLocks noChangeShapeType="1"/>
        </xdr:cNvSpPr>
      </xdr:nvSpPr>
      <xdr:spPr bwMode="auto">
        <a:xfrm>
          <a:off x="1978479" y="6058988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323</xdr:row>
      <xdr:rowOff>103414</xdr:rowOff>
    </xdr:from>
    <xdr:to>
      <xdr:col>10</xdr:col>
      <xdr:colOff>383721</xdr:colOff>
      <xdr:row>323</xdr:row>
      <xdr:rowOff>103414</xdr:rowOff>
    </xdr:to>
    <xdr:sp macro="" textlink="">
      <xdr:nvSpPr>
        <xdr:cNvPr id="36665" name="Line 192">
          <a:extLst>
            <a:ext uri="{FF2B5EF4-FFF2-40B4-BE49-F238E27FC236}">
              <a16:creationId xmlns:a16="http://schemas.microsoft.com/office/drawing/2014/main" id="{1FCD6A50-B81C-029B-BBC7-CC6B0ADFDC1B}"/>
            </a:ext>
          </a:extLst>
        </xdr:cNvPr>
        <xdr:cNvSpPr>
          <a:spLocks noChangeShapeType="1"/>
        </xdr:cNvSpPr>
      </xdr:nvSpPr>
      <xdr:spPr bwMode="auto">
        <a:xfrm>
          <a:off x="1978479" y="60777664"/>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340</xdr:row>
      <xdr:rowOff>111579</xdr:rowOff>
    </xdr:from>
    <xdr:to>
      <xdr:col>10</xdr:col>
      <xdr:colOff>615043</xdr:colOff>
      <xdr:row>340</xdr:row>
      <xdr:rowOff>111579</xdr:rowOff>
    </xdr:to>
    <xdr:sp macro="" textlink="">
      <xdr:nvSpPr>
        <xdr:cNvPr id="36666" name="Line 193">
          <a:extLst>
            <a:ext uri="{FF2B5EF4-FFF2-40B4-BE49-F238E27FC236}">
              <a16:creationId xmlns:a16="http://schemas.microsoft.com/office/drawing/2014/main" id="{B2408F6B-B35F-2C45-83D3-AB1F034CE75C}"/>
            </a:ext>
          </a:extLst>
        </xdr:cNvPr>
        <xdr:cNvSpPr>
          <a:spLocks noChangeShapeType="1"/>
        </xdr:cNvSpPr>
      </xdr:nvSpPr>
      <xdr:spPr bwMode="auto">
        <a:xfrm>
          <a:off x="1978479" y="6397806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341</xdr:row>
      <xdr:rowOff>103414</xdr:rowOff>
    </xdr:from>
    <xdr:to>
      <xdr:col>10</xdr:col>
      <xdr:colOff>383721</xdr:colOff>
      <xdr:row>341</xdr:row>
      <xdr:rowOff>103414</xdr:rowOff>
    </xdr:to>
    <xdr:sp macro="" textlink="">
      <xdr:nvSpPr>
        <xdr:cNvPr id="36667" name="Line 194">
          <a:extLst>
            <a:ext uri="{FF2B5EF4-FFF2-40B4-BE49-F238E27FC236}">
              <a16:creationId xmlns:a16="http://schemas.microsoft.com/office/drawing/2014/main" id="{812F0394-9B0A-8CFF-9831-AB362E70AD18}"/>
            </a:ext>
          </a:extLst>
        </xdr:cNvPr>
        <xdr:cNvSpPr>
          <a:spLocks noChangeShapeType="1"/>
        </xdr:cNvSpPr>
      </xdr:nvSpPr>
      <xdr:spPr bwMode="auto">
        <a:xfrm>
          <a:off x="1978479" y="64165843"/>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358</xdr:row>
      <xdr:rowOff>111579</xdr:rowOff>
    </xdr:from>
    <xdr:to>
      <xdr:col>10</xdr:col>
      <xdr:colOff>615043</xdr:colOff>
      <xdr:row>358</xdr:row>
      <xdr:rowOff>111579</xdr:rowOff>
    </xdr:to>
    <xdr:sp macro="" textlink="">
      <xdr:nvSpPr>
        <xdr:cNvPr id="36668" name="Line 195">
          <a:extLst>
            <a:ext uri="{FF2B5EF4-FFF2-40B4-BE49-F238E27FC236}">
              <a16:creationId xmlns:a16="http://schemas.microsoft.com/office/drawing/2014/main" id="{FDDEA2AD-99EC-4E90-5507-23780BA063F6}"/>
            </a:ext>
          </a:extLst>
        </xdr:cNvPr>
        <xdr:cNvSpPr>
          <a:spLocks noChangeShapeType="1"/>
        </xdr:cNvSpPr>
      </xdr:nvSpPr>
      <xdr:spPr bwMode="auto">
        <a:xfrm>
          <a:off x="1978479" y="6736624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359</xdr:row>
      <xdr:rowOff>103414</xdr:rowOff>
    </xdr:from>
    <xdr:to>
      <xdr:col>10</xdr:col>
      <xdr:colOff>383721</xdr:colOff>
      <xdr:row>359</xdr:row>
      <xdr:rowOff>103414</xdr:rowOff>
    </xdr:to>
    <xdr:sp macro="" textlink="">
      <xdr:nvSpPr>
        <xdr:cNvPr id="36669" name="Line 196">
          <a:extLst>
            <a:ext uri="{FF2B5EF4-FFF2-40B4-BE49-F238E27FC236}">
              <a16:creationId xmlns:a16="http://schemas.microsoft.com/office/drawing/2014/main" id="{0CEDB67E-B8AA-2BD7-3811-FCB72BE1661C}"/>
            </a:ext>
          </a:extLst>
        </xdr:cNvPr>
        <xdr:cNvSpPr>
          <a:spLocks noChangeShapeType="1"/>
        </xdr:cNvSpPr>
      </xdr:nvSpPr>
      <xdr:spPr bwMode="auto">
        <a:xfrm>
          <a:off x="1978479" y="67554021"/>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376</xdr:row>
      <xdr:rowOff>111579</xdr:rowOff>
    </xdr:from>
    <xdr:to>
      <xdr:col>10</xdr:col>
      <xdr:colOff>615043</xdr:colOff>
      <xdr:row>376</xdr:row>
      <xdr:rowOff>111579</xdr:rowOff>
    </xdr:to>
    <xdr:sp macro="" textlink="">
      <xdr:nvSpPr>
        <xdr:cNvPr id="36670" name="Line 197">
          <a:extLst>
            <a:ext uri="{FF2B5EF4-FFF2-40B4-BE49-F238E27FC236}">
              <a16:creationId xmlns:a16="http://schemas.microsoft.com/office/drawing/2014/main" id="{E7E2E703-E985-1C23-CCB5-BA86D181CFF6}"/>
            </a:ext>
          </a:extLst>
        </xdr:cNvPr>
        <xdr:cNvSpPr>
          <a:spLocks noChangeShapeType="1"/>
        </xdr:cNvSpPr>
      </xdr:nvSpPr>
      <xdr:spPr bwMode="auto">
        <a:xfrm>
          <a:off x="1978479" y="7075442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377</xdr:row>
      <xdr:rowOff>103414</xdr:rowOff>
    </xdr:from>
    <xdr:to>
      <xdr:col>10</xdr:col>
      <xdr:colOff>383721</xdr:colOff>
      <xdr:row>377</xdr:row>
      <xdr:rowOff>103414</xdr:rowOff>
    </xdr:to>
    <xdr:sp macro="" textlink="">
      <xdr:nvSpPr>
        <xdr:cNvPr id="36671" name="Line 198">
          <a:extLst>
            <a:ext uri="{FF2B5EF4-FFF2-40B4-BE49-F238E27FC236}">
              <a16:creationId xmlns:a16="http://schemas.microsoft.com/office/drawing/2014/main" id="{3B72EBB8-9FAE-918F-F27A-B1164023F9B0}"/>
            </a:ext>
          </a:extLst>
        </xdr:cNvPr>
        <xdr:cNvSpPr>
          <a:spLocks noChangeShapeType="1"/>
        </xdr:cNvSpPr>
      </xdr:nvSpPr>
      <xdr:spPr bwMode="auto">
        <a:xfrm>
          <a:off x="1978479" y="70942200"/>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394</xdr:row>
      <xdr:rowOff>111579</xdr:rowOff>
    </xdr:from>
    <xdr:to>
      <xdr:col>10</xdr:col>
      <xdr:colOff>615043</xdr:colOff>
      <xdr:row>394</xdr:row>
      <xdr:rowOff>111579</xdr:rowOff>
    </xdr:to>
    <xdr:sp macro="" textlink="">
      <xdr:nvSpPr>
        <xdr:cNvPr id="36672" name="Line 199">
          <a:extLst>
            <a:ext uri="{FF2B5EF4-FFF2-40B4-BE49-F238E27FC236}">
              <a16:creationId xmlns:a16="http://schemas.microsoft.com/office/drawing/2014/main" id="{C0F12C35-74C9-1BBC-1942-5DCF86A3A8B1}"/>
            </a:ext>
          </a:extLst>
        </xdr:cNvPr>
        <xdr:cNvSpPr>
          <a:spLocks noChangeShapeType="1"/>
        </xdr:cNvSpPr>
      </xdr:nvSpPr>
      <xdr:spPr bwMode="auto">
        <a:xfrm>
          <a:off x="1978479" y="7414260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395</xdr:row>
      <xdr:rowOff>103414</xdr:rowOff>
    </xdr:from>
    <xdr:to>
      <xdr:col>10</xdr:col>
      <xdr:colOff>383721</xdr:colOff>
      <xdr:row>395</xdr:row>
      <xdr:rowOff>103414</xdr:rowOff>
    </xdr:to>
    <xdr:sp macro="" textlink="">
      <xdr:nvSpPr>
        <xdr:cNvPr id="36673" name="Line 200">
          <a:extLst>
            <a:ext uri="{FF2B5EF4-FFF2-40B4-BE49-F238E27FC236}">
              <a16:creationId xmlns:a16="http://schemas.microsoft.com/office/drawing/2014/main" id="{6076F8AE-229A-7DE8-B60D-B6CF9689C209}"/>
            </a:ext>
          </a:extLst>
        </xdr:cNvPr>
        <xdr:cNvSpPr>
          <a:spLocks noChangeShapeType="1"/>
        </xdr:cNvSpPr>
      </xdr:nvSpPr>
      <xdr:spPr bwMode="auto">
        <a:xfrm>
          <a:off x="1978479" y="74330379"/>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412</xdr:row>
      <xdr:rowOff>111579</xdr:rowOff>
    </xdr:from>
    <xdr:to>
      <xdr:col>10</xdr:col>
      <xdr:colOff>615043</xdr:colOff>
      <xdr:row>412</xdr:row>
      <xdr:rowOff>111579</xdr:rowOff>
    </xdr:to>
    <xdr:sp macro="" textlink="">
      <xdr:nvSpPr>
        <xdr:cNvPr id="36674" name="Line 201">
          <a:extLst>
            <a:ext uri="{FF2B5EF4-FFF2-40B4-BE49-F238E27FC236}">
              <a16:creationId xmlns:a16="http://schemas.microsoft.com/office/drawing/2014/main" id="{54085C36-5570-F22D-53E6-FFB5D7A7C456}"/>
            </a:ext>
          </a:extLst>
        </xdr:cNvPr>
        <xdr:cNvSpPr>
          <a:spLocks noChangeShapeType="1"/>
        </xdr:cNvSpPr>
      </xdr:nvSpPr>
      <xdr:spPr bwMode="auto">
        <a:xfrm>
          <a:off x="1978479" y="7753077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413</xdr:row>
      <xdr:rowOff>103414</xdr:rowOff>
    </xdr:from>
    <xdr:to>
      <xdr:col>10</xdr:col>
      <xdr:colOff>383721</xdr:colOff>
      <xdr:row>413</xdr:row>
      <xdr:rowOff>103414</xdr:rowOff>
    </xdr:to>
    <xdr:sp macro="" textlink="">
      <xdr:nvSpPr>
        <xdr:cNvPr id="36675" name="Line 202">
          <a:extLst>
            <a:ext uri="{FF2B5EF4-FFF2-40B4-BE49-F238E27FC236}">
              <a16:creationId xmlns:a16="http://schemas.microsoft.com/office/drawing/2014/main" id="{61B1C11C-2673-052A-26B4-E8B7A8CCA5E8}"/>
            </a:ext>
          </a:extLst>
        </xdr:cNvPr>
        <xdr:cNvSpPr>
          <a:spLocks noChangeShapeType="1"/>
        </xdr:cNvSpPr>
      </xdr:nvSpPr>
      <xdr:spPr bwMode="auto">
        <a:xfrm>
          <a:off x="1978479" y="77718557"/>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430</xdr:row>
      <xdr:rowOff>111579</xdr:rowOff>
    </xdr:from>
    <xdr:to>
      <xdr:col>10</xdr:col>
      <xdr:colOff>615043</xdr:colOff>
      <xdr:row>430</xdr:row>
      <xdr:rowOff>111579</xdr:rowOff>
    </xdr:to>
    <xdr:sp macro="" textlink="">
      <xdr:nvSpPr>
        <xdr:cNvPr id="36676" name="Line 203">
          <a:extLst>
            <a:ext uri="{FF2B5EF4-FFF2-40B4-BE49-F238E27FC236}">
              <a16:creationId xmlns:a16="http://schemas.microsoft.com/office/drawing/2014/main" id="{37919105-2CEC-69C2-E161-77475265AF8A}"/>
            </a:ext>
          </a:extLst>
        </xdr:cNvPr>
        <xdr:cNvSpPr>
          <a:spLocks noChangeShapeType="1"/>
        </xdr:cNvSpPr>
      </xdr:nvSpPr>
      <xdr:spPr bwMode="auto">
        <a:xfrm>
          <a:off x="1978479" y="80918957"/>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431</xdr:row>
      <xdr:rowOff>103414</xdr:rowOff>
    </xdr:from>
    <xdr:to>
      <xdr:col>10</xdr:col>
      <xdr:colOff>383721</xdr:colOff>
      <xdr:row>431</xdr:row>
      <xdr:rowOff>103414</xdr:rowOff>
    </xdr:to>
    <xdr:sp macro="" textlink="">
      <xdr:nvSpPr>
        <xdr:cNvPr id="36677" name="Line 204">
          <a:extLst>
            <a:ext uri="{FF2B5EF4-FFF2-40B4-BE49-F238E27FC236}">
              <a16:creationId xmlns:a16="http://schemas.microsoft.com/office/drawing/2014/main" id="{15A443DE-46CC-03AD-BFF8-ADD61EE93876}"/>
            </a:ext>
          </a:extLst>
        </xdr:cNvPr>
        <xdr:cNvSpPr>
          <a:spLocks noChangeShapeType="1"/>
        </xdr:cNvSpPr>
      </xdr:nvSpPr>
      <xdr:spPr bwMode="auto">
        <a:xfrm>
          <a:off x="1978479" y="81106736"/>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448</xdr:row>
      <xdr:rowOff>111579</xdr:rowOff>
    </xdr:from>
    <xdr:to>
      <xdr:col>10</xdr:col>
      <xdr:colOff>615043</xdr:colOff>
      <xdr:row>448</xdr:row>
      <xdr:rowOff>111579</xdr:rowOff>
    </xdr:to>
    <xdr:sp macro="" textlink="">
      <xdr:nvSpPr>
        <xdr:cNvPr id="36678" name="Line 205">
          <a:extLst>
            <a:ext uri="{FF2B5EF4-FFF2-40B4-BE49-F238E27FC236}">
              <a16:creationId xmlns:a16="http://schemas.microsoft.com/office/drawing/2014/main" id="{D9C1B73A-5CE5-3BF2-B4CF-4C24CB5F7AD6}"/>
            </a:ext>
          </a:extLst>
        </xdr:cNvPr>
        <xdr:cNvSpPr>
          <a:spLocks noChangeShapeType="1"/>
        </xdr:cNvSpPr>
      </xdr:nvSpPr>
      <xdr:spPr bwMode="auto">
        <a:xfrm>
          <a:off x="1978479" y="84307136"/>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449</xdr:row>
      <xdr:rowOff>103414</xdr:rowOff>
    </xdr:from>
    <xdr:to>
      <xdr:col>10</xdr:col>
      <xdr:colOff>383721</xdr:colOff>
      <xdr:row>449</xdr:row>
      <xdr:rowOff>103414</xdr:rowOff>
    </xdr:to>
    <xdr:sp macro="" textlink="">
      <xdr:nvSpPr>
        <xdr:cNvPr id="36679" name="Line 206">
          <a:extLst>
            <a:ext uri="{FF2B5EF4-FFF2-40B4-BE49-F238E27FC236}">
              <a16:creationId xmlns:a16="http://schemas.microsoft.com/office/drawing/2014/main" id="{4C4F19AB-ACCC-E74C-AA42-C6EDB6290208}"/>
            </a:ext>
          </a:extLst>
        </xdr:cNvPr>
        <xdr:cNvSpPr>
          <a:spLocks noChangeShapeType="1"/>
        </xdr:cNvSpPr>
      </xdr:nvSpPr>
      <xdr:spPr bwMode="auto">
        <a:xfrm>
          <a:off x="1978479" y="84494914"/>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466</xdr:row>
      <xdr:rowOff>111579</xdr:rowOff>
    </xdr:from>
    <xdr:to>
      <xdr:col>10</xdr:col>
      <xdr:colOff>615043</xdr:colOff>
      <xdr:row>466</xdr:row>
      <xdr:rowOff>111579</xdr:rowOff>
    </xdr:to>
    <xdr:sp macro="" textlink="">
      <xdr:nvSpPr>
        <xdr:cNvPr id="36680" name="Line 207">
          <a:extLst>
            <a:ext uri="{FF2B5EF4-FFF2-40B4-BE49-F238E27FC236}">
              <a16:creationId xmlns:a16="http://schemas.microsoft.com/office/drawing/2014/main" id="{5A47CDF1-4B46-5930-0ACF-EDD62AB024E9}"/>
            </a:ext>
          </a:extLst>
        </xdr:cNvPr>
        <xdr:cNvSpPr>
          <a:spLocks noChangeShapeType="1"/>
        </xdr:cNvSpPr>
      </xdr:nvSpPr>
      <xdr:spPr bwMode="auto">
        <a:xfrm>
          <a:off x="1978479" y="87695314"/>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467</xdr:row>
      <xdr:rowOff>103414</xdr:rowOff>
    </xdr:from>
    <xdr:to>
      <xdr:col>10</xdr:col>
      <xdr:colOff>383721</xdr:colOff>
      <xdr:row>467</xdr:row>
      <xdr:rowOff>103414</xdr:rowOff>
    </xdr:to>
    <xdr:sp macro="" textlink="">
      <xdr:nvSpPr>
        <xdr:cNvPr id="36681" name="Line 208">
          <a:extLst>
            <a:ext uri="{FF2B5EF4-FFF2-40B4-BE49-F238E27FC236}">
              <a16:creationId xmlns:a16="http://schemas.microsoft.com/office/drawing/2014/main" id="{3FBE44A5-47A7-5054-8E0A-5B926516622E}"/>
            </a:ext>
          </a:extLst>
        </xdr:cNvPr>
        <xdr:cNvSpPr>
          <a:spLocks noChangeShapeType="1"/>
        </xdr:cNvSpPr>
      </xdr:nvSpPr>
      <xdr:spPr bwMode="auto">
        <a:xfrm>
          <a:off x="1978479" y="87883093"/>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484</xdr:row>
      <xdr:rowOff>111579</xdr:rowOff>
    </xdr:from>
    <xdr:to>
      <xdr:col>10</xdr:col>
      <xdr:colOff>615043</xdr:colOff>
      <xdr:row>484</xdr:row>
      <xdr:rowOff>111579</xdr:rowOff>
    </xdr:to>
    <xdr:sp macro="" textlink="">
      <xdr:nvSpPr>
        <xdr:cNvPr id="36682" name="Line 209">
          <a:extLst>
            <a:ext uri="{FF2B5EF4-FFF2-40B4-BE49-F238E27FC236}">
              <a16:creationId xmlns:a16="http://schemas.microsoft.com/office/drawing/2014/main" id="{3D875908-688F-BBBE-3BE8-4FE55EFF53ED}"/>
            </a:ext>
          </a:extLst>
        </xdr:cNvPr>
        <xdr:cNvSpPr>
          <a:spLocks noChangeShapeType="1"/>
        </xdr:cNvSpPr>
      </xdr:nvSpPr>
      <xdr:spPr bwMode="auto">
        <a:xfrm>
          <a:off x="1978479" y="91083493"/>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485</xdr:row>
      <xdr:rowOff>103414</xdr:rowOff>
    </xdr:from>
    <xdr:to>
      <xdr:col>10</xdr:col>
      <xdr:colOff>383721</xdr:colOff>
      <xdr:row>485</xdr:row>
      <xdr:rowOff>103414</xdr:rowOff>
    </xdr:to>
    <xdr:sp macro="" textlink="">
      <xdr:nvSpPr>
        <xdr:cNvPr id="36683" name="Line 210">
          <a:extLst>
            <a:ext uri="{FF2B5EF4-FFF2-40B4-BE49-F238E27FC236}">
              <a16:creationId xmlns:a16="http://schemas.microsoft.com/office/drawing/2014/main" id="{92B9C124-B854-4BDC-15EA-88BE0F3564F1}"/>
            </a:ext>
          </a:extLst>
        </xdr:cNvPr>
        <xdr:cNvSpPr>
          <a:spLocks noChangeShapeType="1"/>
        </xdr:cNvSpPr>
      </xdr:nvSpPr>
      <xdr:spPr bwMode="auto">
        <a:xfrm>
          <a:off x="1978479" y="91271271"/>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502</xdr:row>
      <xdr:rowOff>111579</xdr:rowOff>
    </xdr:from>
    <xdr:to>
      <xdr:col>10</xdr:col>
      <xdr:colOff>615043</xdr:colOff>
      <xdr:row>502</xdr:row>
      <xdr:rowOff>111579</xdr:rowOff>
    </xdr:to>
    <xdr:sp macro="" textlink="">
      <xdr:nvSpPr>
        <xdr:cNvPr id="36684" name="Line 211">
          <a:extLst>
            <a:ext uri="{FF2B5EF4-FFF2-40B4-BE49-F238E27FC236}">
              <a16:creationId xmlns:a16="http://schemas.microsoft.com/office/drawing/2014/main" id="{61FB8B85-CF0C-8DF1-7818-649E283D1A6D}"/>
            </a:ext>
          </a:extLst>
        </xdr:cNvPr>
        <xdr:cNvSpPr>
          <a:spLocks noChangeShapeType="1"/>
        </xdr:cNvSpPr>
      </xdr:nvSpPr>
      <xdr:spPr bwMode="auto">
        <a:xfrm>
          <a:off x="1978479" y="94471671"/>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503</xdr:row>
      <xdr:rowOff>103414</xdr:rowOff>
    </xdr:from>
    <xdr:to>
      <xdr:col>10</xdr:col>
      <xdr:colOff>383721</xdr:colOff>
      <xdr:row>503</xdr:row>
      <xdr:rowOff>103414</xdr:rowOff>
    </xdr:to>
    <xdr:sp macro="" textlink="">
      <xdr:nvSpPr>
        <xdr:cNvPr id="36685" name="Line 212">
          <a:extLst>
            <a:ext uri="{FF2B5EF4-FFF2-40B4-BE49-F238E27FC236}">
              <a16:creationId xmlns:a16="http://schemas.microsoft.com/office/drawing/2014/main" id="{B1C0637D-1423-4156-873E-90F1EE17899C}"/>
            </a:ext>
          </a:extLst>
        </xdr:cNvPr>
        <xdr:cNvSpPr>
          <a:spLocks noChangeShapeType="1"/>
        </xdr:cNvSpPr>
      </xdr:nvSpPr>
      <xdr:spPr bwMode="auto">
        <a:xfrm>
          <a:off x="1978479" y="94659450"/>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520</xdr:row>
      <xdr:rowOff>111579</xdr:rowOff>
    </xdr:from>
    <xdr:to>
      <xdr:col>10</xdr:col>
      <xdr:colOff>615043</xdr:colOff>
      <xdr:row>520</xdr:row>
      <xdr:rowOff>111579</xdr:rowOff>
    </xdr:to>
    <xdr:sp macro="" textlink="">
      <xdr:nvSpPr>
        <xdr:cNvPr id="36686" name="Line 213">
          <a:extLst>
            <a:ext uri="{FF2B5EF4-FFF2-40B4-BE49-F238E27FC236}">
              <a16:creationId xmlns:a16="http://schemas.microsoft.com/office/drawing/2014/main" id="{40D1C397-AD2E-95A3-C00D-43ED2EF6AF03}"/>
            </a:ext>
          </a:extLst>
        </xdr:cNvPr>
        <xdr:cNvSpPr>
          <a:spLocks noChangeShapeType="1"/>
        </xdr:cNvSpPr>
      </xdr:nvSpPr>
      <xdr:spPr bwMode="auto">
        <a:xfrm>
          <a:off x="1978479" y="97859850"/>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521</xdr:row>
      <xdr:rowOff>103414</xdr:rowOff>
    </xdr:from>
    <xdr:to>
      <xdr:col>10</xdr:col>
      <xdr:colOff>383721</xdr:colOff>
      <xdr:row>521</xdr:row>
      <xdr:rowOff>103414</xdr:rowOff>
    </xdr:to>
    <xdr:sp macro="" textlink="">
      <xdr:nvSpPr>
        <xdr:cNvPr id="36687" name="Line 214">
          <a:extLst>
            <a:ext uri="{FF2B5EF4-FFF2-40B4-BE49-F238E27FC236}">
              <a16:creationId xmlns:a16="http://schemas.microsoft.com/office/drawing/2014/main" id="{4F331F8C-C7B8-7F0E-A11F-8B0428578F6C}"/>
            </a:ext>
          </a:extLst>
        </xdr:cNvPr>
        <xdr:cNvSpPr>
          <a:spLocks noChangeShapeType="1"/>
        </xdr:cNvSpPr>
      </xdr:nvSpPr>
      <xdr:spPr bwMode="auto">
        <a:xfrm>
          <a:off x="1978479" y="98047629"/>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538</xdr:row>
      <xdr:rowOff>111579</xdr:rowOff>
    </xdr:from>
    <xdr:to>
      <xdr:col>10</xdr:col>
      <xdr:colOff>615043</xdr:colOff>
      <xdr:row>538</xdr:row>
      <xdr:rowOff>111579</xdr:rowOff>
    </xdr:to>
    <xdr:sp macro="" textlink="">
      <xdr:nvSpPr>
        <xdr:cNvPr id="36688" name="Line 215">
          <a:extLst>
            <a:ext uri="{FF2B5EF4-FFF2-40B4-BE49-F238E27FC236}">
              <a16:creationId xmlns:a16="http://schemas.microsoft.com/office/drawing/2014/main" id="{AF8C8322-9D13-4FE4-1BE2-6C03DD7B07BB}"/>
            </a:ext>
          </a:extLst>
        </xdr:cNvPr>
        <xdr:cNvSpPr>
          <a:spLocks noChangeShapeType="1"/>
        </xdr:cNvSpPr>
      </xdr:nvSpPr>
      <xdr:spPr bwMode="auto">
        <a:xfrm>
          <a:off x="1978479" y="101248029"/>
          <a:ext cx="235675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59871</xdr:colOff>
      <xdr:row>539</xdr:row>
      <xdr:rowOff>103414</xdr:rowOff>
    </xdr:from>
    <xdr:to>
      <xdr:col>10</xdr:col>
      <xdr:colOff>383721</xdr:colOff>
      <xdr:row>539</xdr:row>
      <xdr:rowOff>103414</xdr:rowOff>
    </xdr:to>
    <xdr:sp macro="" textlink="">
      <xdr:nvSpPr>
        <xdr:cNvPr id="36689" name="Line 216">
          <a:extLst>
            <a:ext uri="{FF2B5EF4-FFF2-40B4-BE49-F238E27FC236}">
              <a16:creationId xmlns:a16="http://schemas.microsoft.com/office/drawing/2014/main" id="{5005145F-5BF8-9F8E-664C-45FFF47530CD}"/>
            </a:ext>
          </a:extLst>
        </xdr:cNvPr>
        <xdr:cNvSpPr>
          <a:spLocks noChangeShapeType="1"/>
        </xdr:cNvSpPr>
      </xdr:nvSpPr>
      <xdr:spPr bwMode="auto">
        <a:xfrm>
          <a:off x="1978479" y="101435807"/>
          <a:ext cx="233770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12246</xdr:colOff>
      <xdr:row>1</xdr:row>
      <xdr:rowOff>114300</xdr:rowOff>
    </xdr:from>
    <xdr:to>
      <xdr:col>23</xdr:col>
      <xdr:colOff>210905</xdr:colOff>
      <xdr:row>7</xdr:row>
      <xdr:rowOff>85725</xdr:rowOff>
    </xdr:to>
    <xdr:sp macro="" textlink="">
      <xdr:nvSpPr>
        <xdr:cNvPr id="36057" name="Text Box 217">
          <a:extLst>
            <a:ext uri="{FF2B5EF4-FFF2-40B4-BE49-F238E27FC236}">
              <a16:creationId xmlns:a16="http://schemas.microsoft.com/office/drawing/2014/main" id="{29A4636B-23AA-06A8-542A-CD40DEFC1613}"/>
            </a:ext>
          </a:extLst>
        </xdr:cNvPr>
        <xdr:cNvSpPr txBox="1">
          <a:spLocks noChangeArrowheads="1"/>
        </xdr:cNvSpPr>
      </xdr:nvSpPr>
      <xdr:spPr bwMode="auto">
        <a:xfrm>
          <a:off x="4514850" y="276225"/>
          <a:ext cx="4381500" cy="942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FF"/>
              </a:solidFill>
              <a:latin typeface="Arial"/>
              <a:cs typeface="Arial"/>
            </a:rPr>
            <a:t>Enter Yes in the BOX THAT APPLIES TO THE ZONE WORKED ON.  The default at </a:t>
          </a:r>
          <a:r>
            <a:rPr lang="en-CA" sz="1000" b="1" i="0" u="sng" strike="noStrike" baseline="0">
              <a:solidFill>
                <a:srgbClr val="0000FF"/>
              </a:solidFill>
              <a:latin typeface="Arial"/>
              <a:cs typeface="Arial"/>
            </a:rPr>
            <a:t>P20</a:t>
          </a:r>
          <a:r>
            <a:rPr lang="en-CA" sz="1000" b="1" i="0" u="none" strike="noStrike" baseline="0">
              <a:solidFill>
                <a:srgbClr val="0000FF"/>
              </a:solidFill>
              <a:latin typeface="Arial"/>
              <a:cs typeface="Arial"/>
            </a:rPr>
            <a:t> is Yes, but if you enter No, the box at </a:t>
          </a:r>
          <a:r>
            <a:rPr lang="en-CA" sz="1000" b="1" i="0" u="sng" strike="noStrike" baseline="0">
              <a:solidFill>
                <a:srgbClr val="0000FF"/>
              </a:solidFill>
              <a:latin typeface="Arial"/>
              <a:cs typeface="Arial"/>
            </a:rPr>
            <a:t>V20</a:t>
          </a:r>
          <a:r>
            <a:rPr lang="en-CA" sz="1000" b="1" i="0" u="none" strike="noStrike" baseline="0">
              <a:solidFill>
                <a:srgbClr val="0000FF"/>
              </a:solidFill>
              <a:latin typeface="Arial"/>
              <a:cs typeface="Arial"/>
            </a:rPr>
            <a:t> will default to Yes, and if you override that one with a No, the box at </a:t>
          </a:r>
          <a:r>
            <a:rPr lang="en-CA" sz="1000" b="1" i="0" u="sng" strike="noStrike" baseline="0">
              <a:solidFill>
                <a:srgbClr val="0000FF"/>
              </a:solidFill>
              <a:latin typeface="Arial"/>
              <a:cs typeface="Arial"/>
            </a:rPr>
            <a:t>AB20</a:t>
          </a:r>
          <a:r>
            <a:rPr lang="en-CA" sz="1000" b="1" i="0" u="none" strike="noStrike" baseline="0">
              <a:solidFill>
                <a:srgbClr val="0000FF"/>
              </a:solidFill>
              <a:latin typeface="Arial"/>
              <a:cs typeface="Arial"/>
            </a:rPr>
            <a:t> will default to Yes.</a:t>
          </a:r>
        </a:p>
      </xdr:txBody>
    </xdr:sp>
    <xdr:clientData/>
  </xdr:twoCellAnchor>
  <xdr:twoCellAnchor>
    <xdr:from>
      <xdr:col>14</xdr:col>
      <xdr:colOff>29936</xdr:colOff>
      <xdr:row>3</xdr:row>
      <xdr:rowOff>106136</xdr:rowOff>
    </xdr:from>
    <xdr:to>
      <xdr:col>16</xdr:col>
      <xdr:colOff>220436</xdr:colOff>
      <xdr:row>19</xdr:row>
      <xdr:rowOff>38100</xdr:rowOff>
    </xdr:to>
    <xdr:sp macro="" textlink="">
      <xdr:nvSpPr>
        <xdr:cNvPr id="36691" name="Line 218">
          <a:extLst>
            <a:ext uri="{FF2B5EF4-FFF2-40B4-BE49-F238E27FC236}">
              <a16:creationId xmlns:a16="http://schemas.microsoft.com/office/drawing/2014/main" id="{60C59D97-AB8C-1158-5C82-E79D915C0B10}"/>
            </a:ext>
          </a:extLst>
        </xdr:cNvPr>
        <xdr:cNvSpPr>
          <a:spLocks noChangeShapeType="1"/>
        </xdr:cNvSpPr>
      </xdr:nvSpPr>
      <xdr:spPr bwMode="auto">
        <a:xfrm>
          <a:off x="5573486" y="601436"/>
          <a:ext cx="996043" cy="291192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231321</xdr:colOff>
      <xdr:row>3</xdr:row>
      <xdr:rowOff>114300</xdr:rowOff>
    </xdr:from>
    <xdr:to>
      <xdr:col>22</xdr:col>
      <xdr:colOff>51707</xdr:colOff>
      <xdr:row>19</xdr:row>
      <xdr:rowOff>19050</xdr:rowOff>
    </xdr:to>
    <xdr:sp macro="" textlink="">
      <xdr:nvSpPr>
        <xdr:cNvPr id="36692" name="Line 219">
          <a:extLst>
            <a:ext uri="{FF2B5EF4-FFF2-40B4-BE49-F238E27FC236}">
              <a16:creationId xmlns:a16="http://schemas.microsoft.com/office/drawing/2014/main" id="{083B3B46-165B-4AEE-11E0-1436D5361681}"/>
            </a:ext>
          </a:extLst>
        </xdr:cNvPr>
        <xdr:cNvSpPr>
          <a:spLocks noChangeShapeType="1"/>
        </xdr:cNvSpPr>
      </xdr:nvSpPr>
      <xdr:spPr bwMode="auto">
        <a:xfrm>
          <a:off x="8191500" y="609600"/>
          <a:ext cx="625929" cy="2884714"/>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111579</xdr:colOff>
      <xdr:row>4</xdr:row>
      <xdr:rowOff>87086</xdr:rowOff>
    </xdr:from>
    <xdr:to>
      <xdr:col>28</xdr:col>
      <xdr:colOff>29936</xdr:colOff>
      <xdr:row>19</xdr:row>
      <xdr:rowOff>84364</xdr:rowOff>
    </xdr:to>
    <xdr:sp macro="" textlink="">
      <xdr:nvSpPr>
        <xdr:cNvPr id="36693" name="Line 220">
          <a:extLst>
            <a:ext uri="{FF2B5EF4-FFF2-40B4-BE49-F238E27FC236}">
              <a16:creationId xmlns:a16="http://schemas.microsoft.com/office/drawing/2014/main" id="{6D4D6550-07BB-782A-0653-09FE3C07ACAC}"/>
            </a:ext>
          </a:extLst>
        </xdr:cNvPr>
        <xdr:cNvSpPr>
          <a:spLocks noChangeShapeType="1"/>
        </xdr:cNvSpPr>
      </xdr:nvSpPr>
      <xdr:spPr bwMode="auto">
        <a:xfrm>
          <a:off x="8474529" y="745671"/>
          <a:ext cx="2737757" cy="281395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394607</xdr:colOff>
          <xdr:row>0</xdr:row>
          <xdr:rowOff>68036</xdr:rowOff>
        </xdr:from>
        <xdr:to>
          <xdr:col>2</xdr:col>
          <xdr:colOff>446314</xdr:colOff>
          <xdr:row>1</xdr:row>
          <xdr:rowOff>114300</xdr:rowOff>
        </xdr:to>
        <xdr:sp macro="" textlink="">
          <xdr:nvSpPr>
            <xdr:cNvPr id="35996" name="Button 156" hidden="1">
              <a:extLst>
                <a:ext uri="{63B3BB69-23CF-44E3-9099-C40C66FF867C}">
                  <a14:compatExt spid="_x0000_s35996"/>
                </a:ext>
                <a:ext uri="{FF2B5EF4-FFF2-40B4-BE49-F238E27FC236}">
                  <a16:creationId xmlns:a16="http://schemas.microsoft.com/office/drawing/2014/main" id="{00000000-0008-0000-1C00-00009C8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1</xdr:col>
      <xdr:colOff>19050</xdr:colOff>
      <xdr:row>14</xdr:row>
      <xdr:rowOff>10886</xdr:rowOff>
    </xdr:from>
    <xdr:to>
      <xdr:col>7</xdr:col>
      <xdr:colOff>601436</xdr:colOff>
      <xdr:row>42</xdr:row>
      <xdr:rowOff>174171</xdr:rowOff>
    </xdr:to>
    <xdr:sp macro="" textlink="">
      <xdr:nvSpPr>
        <xdr:cNvPr id="49637" name="Text Box 63">
          <a:extLst>
            <a:ext uri="{FF2B5EF4-FFF2-40B4-BE49-F238E27FC236}">
              <a16:creationId xmlns:a16="http://schemas.microsoft.com/office/drawing/2014/main" id="{409A9524-9A51-826C-E0C0-0B87B55C7FAA}"/>
            </a:ext>
          </a:extLst>
        </xdr:cNvPr>
        <xdr:cNvSpPr txBox="1">
          <a:spLocks noChangeArrowheads="1"/>
        </xdr:cNvSpPr>
      </xdr:nvSpPr>
      <xdr:spPr bwMode="auto">
        <a:xfrm>
          <a:off x="190500" y="2324100"/>
          <a:ext cx="4370614" cy="5666014"/>
        </a:xfrm>
        <a:prstGeom prst="rect">
          <a:avLst/>
        </a:prstGeom>
        <a:solidFill>
          <a:srgbClr val="FFFFFF"/>
        </a:solidFill>
        <a:ln w="9525">
          <a:solidFill>
            <a:srgbClr val="000000"/>
          </a:solidFill>
          <a:miter lim="800000"/>
          <a:headEnd/>
          <a:tailEnd/>
        </a:ln>
      </xdr:spPr>
      <xdr:txBody>
        <a:bodyPr/>
        <a:lstStyle/>
        <a:p>
          <a:endParaRPr lang="en-US"/>
        </a:p>
      </xdr:txBody>
    </xdr:sp>
    <xdr:clientData/>
  </xdr:twoCellAnchor>
  <xdr:twoCellAnchor>
    <xdr:from>
      <xdr:col>1</xdr:col>
      <xdr:colOff>19050</xdr:colOff>
      <xdr:row>69</xdr:row>
      <xdr:rowOff>10886</xdr:rowOff>
    </xdr:from>
    <xdr:to>
      <xdr:col>7</xdr:col>
      <xdr:colOff>601436</xdr:colOff>
      <xdr:row>96</xdr:row>
      <xdr:rowOff>155121</xdr:rowOff>
    </xdr:to>
    <xdr:sp macro="" textlink="">
      <xdr:nvSpPr>
        <xdr:cNvPr id="49638" name="Text Box 64">
          <a:extLst>
            <a:ext uri="{FF2B5EF4-FFF2-40B4-BE49-F238E27FC236}">
              <a16:creationId xmlns:a16="http://schemas.microsoft.com/office/drawing/2014/main" id="{47732BBA-E7D1-8BAC-5300-36EAA3D6D992}"/>
            </a:ext>
          </a:extLst>
        </xdr:cNvPr>
        <xdr:cNvSpPr txBox="1">
          <a:spLocks noChangeArrowheads="1"/>
        </xdr:cNvSpPr>
      </xdr:nvSpPr>
      <xdr:spPr bwMode="auto">
        <a:xfrm>
          <a:off x="190500" y="12382500"/>
          <a:ext cx="4370614" cy="5451021"/>
        </a:xfrm>
        <a:prstGeom prst="rect">
          <a:avLst/>
        </a:prstGeom>
        <a:solidFill>
          <a:srgbClr val="FFFFFF"/>
        </a:solidFill>
        <a:ln w="9525">
          <a:solidFill>
            <a:srgbClr val="000000"/>
          </a:solidFill>
          <a:miter lim="800000"/>
          <a:headEnd/>
          <a:tailEnd/>
        </a:ln>
      </xdr:spPr>
      <xdr:txBody>
        <a:bodyPr/>
        <a:lstStyle/>
        <a:p>
          <a:endParaRPr lang="en-US"/>
        </a:p>
      </xdr:txBody>
    </xdr:sp>
    <xdr:clientData/>
  </xdr:twoCellAnchor>
  <xdr:twoCellAnchor>
    <xdr:from>
      <xdr:col>1</xdr:col>
      <xdr:colOff>0</xdr:colOff>
      <xdr:row>123</xdr:row>
      <xdr:rowOff>10886</xdr:rowOff>
    </xdr:from>
    <xdr:to>
      <xdr:col>7</xdr:col>
      <xdr:colOff>620486</xdr:colOff>
      <xdr:row>151</xdr:row>
      <xdr:rowOff>185057</xdr:rowOff>
    </xdr:to>
    <xdr:sp macro="" textlink="">
      <xdr:nvSpPr>
        <xdr:cNvPr id="49639" name="Text Box 65">
          <a:extLst>
            <a:ext uri="{FF2B5EF4-FFF2-40B4-BE49-F238E27FC236}">
              <a16:creationId xmlns:a16="http://schemas.microsoft.com/office/drawing/2014/main" id="{7D0CFB6B-893D-AFA6-C39D-CBC632F07E88}"/>
            </a:ext>
          </a:extLst>
        </xdr:cNvPr>
        <xdr:cNvSpPr txBox="1">
          <a:spLocks noChangeArrowheads="1"/>
        </xdr:cNvSpPr>
      </xdr:nvSpPr>
      <xdr:spPr bwMode="auto">
        <a:xfrm>
          <a:off x="171450" y="22244957"/>
          <a:ext cx="4408714"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178</xdr:row>
      <xdr:rowOff>10886</xdr:rowOff>
    </xdr:from>
    <xdr:to>
      <xdr:col>7</xdr:col>
      <xdr:colOff>612321</xdr:colOff>
      <xdr:row>206</xdr:row>
      <xdr:rowOff>174171</xdr:rowOff>
    </xdr:to>
    <xdr:sp macro="" textlink="">
      <xdr:nvSpPr>
        <xdr:cNvPr id="49640" name="Text Box 66">
          <a:extLst>
            <a:ext uri="{FF2B5EF4-FFF2-40B4-BE49-F238E27FC236}">
              <a16:creationId xmlns:a16="http://schemas.microsoft.com/office/drawing/2014/main" id="{F9E5AEB2-2C2F-CC05-A286-19C8F7F1BBC9}"/>
            </a:ext>
          </a:extLst>
        </xdr:cNvPr>
        <xdr:cNvSpPr txBox="1">
          <a:spLocks noChangeArrowheads="1"/>
        </xdr:cNvSpPr>
      </xdr:nvSpPr>
      <xdr:spPr bwMode="auto">
        <a:xfrm>
          <a:off x="190500" y="32303357"/>
          <a:ext cx="4381500" cy="5666014"/>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233</xdr:row>
      <xdr:rowOff>10886</xdr:rowOff>
    </xdr:from>
    <xdr:to>
      <xdr:col>7</xdr:col>
      <xdr:colOff>612321</xdr:colOff>
      <xdr:row>261</xdr:row>
      <xdr:rowOff>185057</xdr:rowOff>
    </xdr:to>
    <xdr:sp macro="" textlink="">
      <xdr:nvSpPr>
        <xdr:cNvPr id="49641" name="Text Box 67">
          <a:extLst>
            <a:ext uri="{FF2B5EF4-FFF2-40B4-BE49-F238E27FC236}">
              <a16:creationId xmlns:a16="http://schemas.microsoft.com/office/drawing/2014/main" id="{BE40841A-B746-D620-CC83-F69607D477DC}"/>
            </a:ext>
          </a:extLst>
        </xdr:cNvPr>
        <xdr:cNvSpPr txBox="1">
          <a:spLocks noChangeArrowheads="1"/>
        </xdr:cNvSpPr>
      </xdr:nvSpPr>
      <xdr:spPr bwMode="auto">
        <a:xfrm>
          <a:off x="190500" y="42361757"/>
          <a:ext cx="4381500"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288</xdr:row>
      <xdr:rowOff>10886</xdr:rowOff>
    </xdr:from>
    <xdr:to>
      <xdr:col>7</xdr:col>
      <xdr:colOff>620486</xdr:colOff>
      <xdr:row>316</xdr:row>
      <xdr:rowOff>166007</xdr:rowOff>
    </xdr:to>
    <xdr:sp macro="" textlink="">
      <xdr:nvSpPr>
        <xdr:cNvPr id="49642" name="Text Box 68">
          <a:extLst>
            <a:ext uri="{FF2B5EF4-FFF2-40B4-BE49-F238E27FC236}">
              <a16:creationId xmlns:a16="http://schemas.microsoft.com/office/drawing/2014/main" id="{DC496BE6-9421-90E3-31EC-202239E4196C}"/>
            </a:ext>
          </a:extLst>
        </xdr:cNvPr>
        <xdr:cNvSpPr txBox="1">
          <a:spLocks noChangeArrowheads="1"/>
        </xdr:cNvSpPr>
      </xdr:nvSpPr>
      <xdr:spPr bwMode="auto">
        <a:xfrm>
          <a:off x="190500" y="52420157"/>
          <a:ext cx="4389664" cy="565785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343</xdr:row>
      <xdr:rowOff>10886</xdr:rowOff>
    </xdr:from>
    <xdr:to>
      <xdr:col>7</xdr:col>
      <xdr:colOff>620486</xdr:colOff>
      <xdr:row>371</xdr:row>
      <xdr:rowOff>174171</xdr:rowOff>
    </xdr:to>
    <xdr:sp macro="" textlink="">
      <xdr:nvSpPr>
        <xdr:cNvPr id="49643" name="Text Box 69">
          <a:extLst>
            <a:ext uri="{FF2B5EF4-FFF2-40B4-BE49-F238E27FC236}">
              <a16:creationId xmlns:a16="http://schemas.microsoft.com/office/drawing/2014/main" id="{0F6245F2-87E7-D888-2AE5-3BDDC10F6F73}"/>
            </a:ext>
          </a:extLst>
        </xdr:cNvPr>
        <xdr:cNvSpPr txBox="1">
          <a:spLocks noChangeArrowheads="1"/>
        </xdr:cNvSpPr>
      </xdr:nvSpPr>
      <xdr:spPr bwMode="auto">
        <a:xfrm>
          <a:off x="190500" y="62478557"/>
          <a:ext cx="4389664" cy="5666014"/>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398</xdr:row>
      <xdr:rowOff>10886</xdr:rowOff>
    </xdr:from>
    <xdr:to>
      <xdr:col>8</xdr:col>
      <xdr:colOff>0</xdr:colOff>
      <xdr:row>426</xdr:row>
      <xdr:rowOff>174171</xdr:rowOff>
    </xdr:to>
    <xdr:sp macro="" textlink="">
      <xdr:nvSpPr>
        <xdr:cNvPr id="49644" name="Text Box 70">
          <a:extLst>
            <a:ext uri="{FF2B5EF4-FFF2-40B4-BE49-F238E27FC236}">
              <a16:creationId xmlns:a16="http://schemas.microsoft.com/office/drawing/2014/main" id="{9329BDBE-FC5A-393D-9DC1-99AC9F54F3FC}"/>
            </a:ext>
          </a:extLst>
        </xdr:cNvPr>
        <xdr:cNvSpPr txBox="1">
          <a:spLocks noChangeArrowheads="1"/>
        </xdr:cNvSpPr>
      </xdr:nvSpPr>
      <xdr:spPr bwMode="auto">
        <a:xfrm>
          <a:off x="190500" y="72536957"/>
          <a:ext cx="4400550" cy="5666014"/>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453</xdr:row>
      <xdr:rowOff>10886</xdr:rowOff>
    </xdr:from>
    <xdr:to>
      <xdr:col>7</xdr:col>
      <xdr:colOff>620486</xdr:colOff>
      <xdr:row>481</xdr:row>
      <xdr:rowOff>174171</xdr:rowOff>
    </xdr:to>
    <xdr:sp macro="" textlink="">
      <xdr:nvSpPr>
        <xdr:cNvPr id="49645" name="Text Box 71">
          <a:extLst>
            <a:ext uri="{FF2B5EF4-FFF2-40B4-BE49-F238E27FC236}">
              <a16:creationId xmlns:a16="http://schemas.microsoft.com/office/drawing/2014/main" id="{7E5FC607-6396-C34E-F14C-8214B4223CE2}"/>
            </a:ext>
          </a:extLst>
        </xdr:cNvPr>
        <xdr:cNvSpPr txBox="1">
          <a:spLocks noChangeArrowheads="1"/>
        </xdr:cNvSpPr>
      </xdr:nvSpPr>
      <xdr:spPr bwMode="auto">
        <a:xfrm>
          <a:off x="190500" y="82595357"/>
          <a:ext cx="4389664" cy="5666014"/>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508</xdr:row>
      <xdr:rowOff>10886</xdr:rowOff>
    </xdr:from>
    <xdr:to>
      <xdr:col>7</xdr:col>
      <xdr:colOff>620486</xdr:colOff>
      <xdr:row>536</xdr:row>
      <xdr:rowOff>146957</xdr:rowOff>
    </xdr:to>
    <xdr:sp macro="" textlink="">
      <xdr:nvSpPr>
        <xdr:cNvPr id="49646" name="Text Box 72">
          <a:extLst>
            <a:ext uri="{FF2B5EF4-FFF2-40B4-BE49-F238E27FC236}">
              <a16:creationId xmlns:a16="http://schemas.microsoft.com/office/drawing/2014/main" id="{73664609-0ED3-6344-7D02-C59AEC6E4B52}"/>
            </a:ext>
          </a:extLst>
        </xdr:cNvPr>
        <xdr:cNvSpPr txBox="1">
          <a:spLocks noChangeArrowheads="1"/>
        </xdr:cNvSpPr>
      </xdr:nvSpPr>
      <xdr:spPr bwMode="auto">
        <a:xfrm>
          <a:off x="190500" y="92653757"/>
          <a:ext cx="4389664" cy="56388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563</xdr:row>
      <xdr:rowOff>10886</xdr:rowOff>
    </xdr:from>
    <xdr:to>
      <xdr:col>7</xdr:col>
      <xdr:colOff>612321</xdr:colOff>
      <xdr:row>591</xdr:row>
      <xdr:rowOff>166007</xdr:rowOff>
    </xdr:to>
    <xdr:sp macro="" textlink="">
      <xdr:nvSpPr>
        <xdr:cNvPr id="49647" name="Text Box 73">
          <a:extLst>
            <a:ext uri="{FF2B5EF4-FFF2-40B4-BE49-F238E27FC236}">
              <a16:creationId xmlns:a16="http://schemas.microsoft.com/office/drawing/2014/main" id="{4866B37A-642B-85FF-7909-970EF759DB63}"/>
            </a:ext>
          </a:extLst>
        </xdr:cNvPr>
        <xdr:cNvSpPr txBox="1">
          <a:spLocks noChangeArrowheads="1"/>
        </xdr:cNvSpPr>
      </xdr:nvSpPr>
      <xdr:spPr bwMode="auto">
        <a:xfrm>
          <a:off x="190500" y="102712157"/>
          <a:ext cx="4381500" cy="565785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618</xdr:row>
      <xdr:rowOff>10886</xdr:rowOff>
    </xdr:from>
    <xdr:to>
      <xdr:col>7</xdr:col>
      <xdr:colOff>612321</xdr:colOff>
      <xdr:row>646</xdr:row>
      <xdr:rowOff>185057</xdr:rowOff>
    </xdr:to>
    <xdr:sp macro="" textlink="">
      <xdr:nvSpPr>
        <xdr:cNvPr id="49648" name="Text Box 74">
          <a:extLst>
            <a:ext uri="{FF2B5EF4-FFF2-40B4-BE49-F238E27FC236}">
              <a16:creationId xmlns:a16="http://schemas.microsoft.com/office/drawing/2014/main" id="{655F4AAB-1098-B231-FBBF-BF3EA14A8BFF}"/>
            </a:ext>
          </a:extLst>
        </xdr:cNvPr>
        <xdr:cNvSpPr txBox="1">
          <a:spLocks noChangeArrowheads="1"/>
        </xdr:cNvSpPr>
      </xdr:nvSpPr>
      <xdr:spPr bwMode="auto">
        <a:xfrm>
          <a:off x="190500" y="112770557"/>
          <a:ext cx="4381500"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673</xdr:row>
      <xdr:rowOff>10886</xdr:rowOff>
    </xdr:from>
    <xdr:to>
      <xdr:col>7</xdr:col>
      <xdr:colOff>612321</xdr:colOff>
      <xdr:row>701</xdr:row>
      <xdr:rowOff>185057</xdr:rowOff>
    </xdr:to>
    <xdr:sp macro="" textlink="">
      <xdr:nvSpPr>
        <xdr:cNvPr id="49649" name="Text Box 75">
          <a:extLst>
            <a:ext uri="{FF2B5EF4-FFF2-40B4-BE49-F238E27FC236}">
              <a16:creationId xmlns:a16="http://schemas.microsoft.com/office/drawing/2014/main" id="{1880EE36-B0D1-20D8-D96A-BD248D2E0D56}"/>
            </a:ext>
          </a:extLst>
        </xdr:cNvPr>
        <xdr:cNvSpPr txBox="1">
          <a:spLocks noChangeArrowheads="1"/>
        </xdr:cNvSpPr>
      </xdr:nvSpPr>
      <xdr:spPr bwMode="auto">
        <a:xfrm>
          <a:off x="190500" y="122828957"/>
          <a:ext cx="4381500"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728</xdr:row>
      <xdr:rowOff>10886</xdr:rowOff>
    </xdr:from>
    <xdr:to>
      <xdr:col>7</xdr:col>
      <xdr:colOff>620486</xdr:colOff>
      <xdr:row>756</xdr:row>
      <xdr:rowOff>185057</xdr:rowOff>
    </xdr:to>
    <xdr:sp macro="" textlink="">
      <xdr:nvSpPr>
        <xdr:cNvPr id="49650" name="Text Box 76">
          <a:extLst>
            <a:ext uri="{FF2B5EF4-FFF2-40B4-BE49-F238E27FC236}">
              <a16:creationId xmlns:a16="http://schemas.microsoft.com/office/drawing/2014/main" id="{E8CE5EB1-1D8F-0604-BC19-9B7D2A946EF3}"/>
            </a:ext>
          </a:extLst>
        </xdr:cNvPr>
        <xdr:cNvSpPr txBox="1">
          <a:spLocks noChangeArrowheads="1"/>
        </xdr:cNvSpPr>
      </xdr:nvSpPr>
      <xdr:spPr bwMode="auto">
        <a:xfrm>
          <a:off x="190500" y="132887357"/>
          <a:ext cx="4389664"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783</xdr:row>
      <xdr:rowOff>10886</xdr:rowOff>
    </xdr:from>
    <xdr:to>
      <xdr:col>7</xdr:col>
      <xdr:colOff>612321</xdr:colOff>
      <xdr:row>811</xdr:row>
      <xdr:rowOff>174171</xdr:rowOff>
    </xdr:to>
    <xdr:sp macro="" textlink="">
      <xdr:nvSpPr>
        <xdr:cNvPr id="49651" name="Text Box 77">
          <a:extLst>
            <a:ext uri="{FF2B5EF4-FFF2-40B4-BE49-F238E27FC236}">
              <a16:creationId xmlns:a16="http://schemas.microsoft.com/office/drawing/2014/main" id="{07BF1031-2FA4-5514-72AE-93E872796BD5}"/>
            </a:ext>
          </a:extLst>
        </xdr:cNvPr>
        <xdr:cNvSpPr txBox="1">
          <a:spLocks noChangeArrowheads="1"/>
        </xdr:cNvSpPr>
      </xdr:nvSpPr>
      <xdr:spPr bwMode="auto">
        <a:xfrm>
          <a:off x="190500" y="142945757"/>
          <a:ext cx="4381500" cy="5666014"/>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838</xdr:row>
      <xdr:rowOff>10886</xdr:rowOff>
    </xdr:from>
    <xdr:to>
      <xdr:col>7</xdr:col>
      <xdr:colOff>612321</xdr:colOff>
      <xdr:row>866</xdr:row>
      <xdr:rowOff>166007</xdr:rowOff>
    </xdr:to>
    <xdr:sp macro="" textlink="">
      <xdr:nvSpPr>
        <xdr:cNvPr id="49652" name="Text Box 78">
          <a:extLst>
            <a:ext uri="{FF2B5EF4-FFF2-40B4-BE49-F238E27FC236}">
              <a16:creationId xmlns:a16="http://schemas.microsoft.com/office/drawing/2014/main" id="{E46A9083-65BC-52D4-E890-DD6E709555F7}"/>
            </a:ext>
          </a:extLst>
        </xdr:cNvPr>
        <xdr:cNvSpPr txBox="1">
          <a:spLocks noChangeArrowheads="1"/>
        </xdr:cNvSpPr>
      </xdr:nvSpPr>
      <xdr:spPr bwMode="auto">
        <a:xfrm>
          <a:off x="190500" y="153004157"/>
          <a:ext cx="4381500" cy="565785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893</xdr:row>
      <xdr:rowOff>10886</xdr:rowOff>
    </xdr:from>
    <xdr:to>
      <xdr:col>7</xdr:col>
      <xdr:colOff>620486</xdr:colOff>
      <xdr:row>921</xdr:row>
      <xdr:rowOff>155121</xdr:rowOff>
    </xdr:to>
    <xdr:sp macro="" textlink="">
      <xdr:nvSpPr>
        <xdr:cNvPr id="49653" name="Text Box 79">
          <a:extLst>
            <a:ext uri="{FF2B5EF4-FFF2-40B4-BE49-F238E27FC236}">
              <a16:creationId xmlns:a16="http://schemas.microsoft.com/office/drawing/2014/main" id="{94F430E3-FD73-2F05-0B02-2C4AA55F16FD}"/>
            </a:ext>
          </a:extLst>
        </xdr:cNvPr>
        <xdr:cNvSpPr txBox="1">
          <a:spLocks noChangeArrowheads="1"/>
        </xdr:cNvSpPr>
      </xdr:nvSpPr>
      <xdr:spPr bwMode="auto">
        <a:xfrm>
          <a:off x="190500" y="163062557"/>
          <a:ext cx="4389664" cy="5646964"/>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948</xdr:row>
      <xdr:rowOff>10886</xdr:rowOff>
    </xdr:from>
    <xdr:to>
      <xdr:col>7</xdr:col>
      <xdr:colOff>612321</xdr:colOff>
      <xdr:row>976</xdr:row>
      <xdr:rowOff>185057</xdr:rowOff>
    </xdr:to>
    <xdr:sp macro="" textlink="">
      <xdr:nvSpPr>
        <xdr:cNvPr id="49654" name="Text Box 80">
          <a:extLst>
            <a:ext uri="{FF2B5EF4-FFF2-40B4-BE49-F238E27FC236}">
              <a16:creationId xmlns:a16="http://schemas.microsoft.com/office/drawing/2014/main" id="{27C3AF73-C948-9C19-9EA5-95EE392D2E47}"/>
            </a:ext>
          </a:extLst>
        </xdr:cNvPr>
        <xdr:cNvSpPr txBox="1">
          <a:spLocks noChangeArrowheads="1"/>
        </xdr:cNvSpPr>
      </xdr:nvSpPr>
      <xdr:spPr bwMode="auto">
        <a:xfrm>
          <a:off x="190500" y="173120957"/>
          <a:ext cx="4381500"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1003</xdr:row>
      <xdr:rowOff>10886</xdr:rowOff>
    </xdr:from>
    <xdr:to>
      <xdr:col>7</xdr:col>
      <xdr:colOff>620486</xdr:colOff>
      <xdr:row>1031</xdr:row>
      <xdr:rowOff>174171</xdr:rowOff>
    </xdr:to>
    <xdr:sp macro="" textlink="">
      <xdr:nvSpPr>
        <xdr:cNvPr id="49655" name="Text Box 81">
          <a:extLst>
            <a:ext uri="{FF2B5EF4-FFF2-40B4-BE49-F238E27FC236}">
              <a16:creationId xmlns:a16="http://schemas.microsoft.com/office/drawing/2014/main" id="{4B9BBE3B-BAB1-6036-4A1E-B3005474DD71}"/>
            </a:ext>
          </a:extLst>
        </xdr:cNvPr>
        <xdr:cNvSpPr txBox="1">
          <a:spLocks noChangeArrowheads="1"/>
        </xdr:cNvSpPr>
      </xdr:nvSpPr>
      <xdr:spPr bwMode="auto">
        <a:xfrm>
          <a:off x="190500" y="183179357"/>
          <a:ext cx="4389664" cy="5666014"/>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1058</xdr:row>
      <xdr:rowOff>10886</xdr:rowOff>
    </xdr:from>
    <xdr:to>
      <xdr:col>7</xdr:col>
      <xdr:colOff>620486</xdr:colOff>
      <xdr:row>1086</xdr:row>
      <xdr:rowOff>185057</xdr:rowOff>
    </xdr:to>
    <xdr:sp macro="" textlink="">
      <xdr:nvSpPr>
        <xdr:cNvPr id="49656" name="Text Box 82">
          <a:extLst>
            <a:ext uri="{FF2B5EF4-FFF2-40B4-BE49-F238E27FC236}">
              <a16:creationId xmlns:a16="http://schemas.microsoft.com/office/drawing/2014/main" id="{D0065185-C5F7-7B48-0EEF-F3B6C7C02CBE}"/>
            </a:ext>
          </a:extLst>
        </xdr:cNvPr>
        <xdr:cNvSpPr txBox="1">
          <a:spLocks noChangeArrowheads="1"/>
        </xdr:cNvSpPr>
      </xdr:nvSpPr>
      <xdr:spPr bwMode="auto">
        <a:xfrm>
          <a:off x="190500" y="193237757"/>
          <a:ext cx="4389664"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1113</xdr:row>
      <xdr:rowOff>10886</xdr:rowOff>
    </xdr:from>
    <xdr:to>
      <xdr:col>7</xdr:col>
      <xdr:colOff>620486</xdr:colOff>
      <xdr:row>1141</xdr:row>
      <xdr:rowOff>166007</xdr:rowOff>
    </xdr:to>
    <xdr:sp macro="" textlink="">
      <xdr:nvSpPr>
        <xdr:cNvPr id="49657" name="Text Box 83">
          <a:extLst>
            <a:ext uri="{FF2B5EF4-FFF2-40B4-BE49-F238E27FC236}">
              <a16:creationId xmlns:a16="http://schemas.microsoft.com/office/drawing/2014/main" id="{089DEB20-89CD-0921-8398-774C1CDC8F84}"/>
            </a:ext>
          </a:extLst>
        </xdr:cNvPr>
        <xdr:cNvSpPr txBox="1">
          <a:spLocks noChangeArrowheads="1"/>
        </xdr:cNvSpPr>
      </xdr:nvSpPr>
      <xdr:spPr bwMode="auto">
        <a:xfrm>
          <a:off x="190500" y="203296157"/>
          <a:ext cx="4389664" cy="565785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1168</xdr:row>
      <xdr:rowOff>10886</xdr:rowOff>
    </xdr:from>
    <xdr:to>
      <xdr:col>7</xdr:col>
      <xdr:colOff>620486</xdr:colOff>
      <xdr:row>1196</xdr:row>
      <xdr:rowOff>185057</xdr:rowOff>
    </xdr:to>
    <xdr:sp macro="" textlink="">
      <xdr:nvSpPr>
        <xdr:cNvPr id="49658" name="Text Box 84">
          <a:extLst>
            <a:ext uri="{FF2B5EF4-FFF2-40B4-BE49-F238E27FC236}">
              <a16:creationId xmlns:a16="http://schemas.microsoft.com/office/drawing/2014/main" id="{D4F6E05F-988F-2A35-2506-209FA330B346}"/>
            </a:ext>
          </a:extLst>
        </xdr:cNvPr>
        <xdr:cNvSpPr txBox="1">
          <a:spLocks noChangeArrowheads="1"/>
        </xdr:cNvSpPr>
      </xdr:nvSpPr>
      <xdr:spPr bwMode="auto">
        <a:xfrm>
          <a:off x="190500" y="213354557"/>
          <a:ext cx="4389664"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1223</xdr:row>
      <xdr:rowOff>10886</xdr:rowOff>
    </xdr:from>
    <xdr:to>
      <xdr:col>7</xdr:col>
      <xdr:colOff>620486</xdr:colOff>
      <xdr:row>1251</xdr:row>
      <xdr:rowOff>166007</xdr:rowOff>
    </xdr:to>
    <xdr:sp macro="" textlink="">
      <xdr:nvSpPr>
        <xdr:cNvPr id="49659" name="Text Box 85">
          <a:extLst>
            <a:ext uri="{FF2B5EF4-FFF2-40B4-BE49-F238E27FC236}">
              <a16:creationId xmlns:a16="http://schemas.microsoft.com/office/drawing/2014/main" id="{497536B8-F040-2DD1-B757-24BE3CC7F51F}"/>
            </a:ext>
          </a:extLst>
        </xdr:cNvPr>
        <xdr:cNvSpPr txBox="1">
          <a:spLocks noChangeArrowheads="1"/>
        </xdr:cNvSpPr>
      </xdr:nvSpPr>
      <xdr:spPr bwMode="auto">
        <a:xfrm>
          <a:off x="190500" y="223412957"/>
          <a:ext cx="4389664" cy="565785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1278</xdr:row>
      <xdr:rowOff>10886</xdr:rowOff>
    </xdr:from>
    <xdr:to>
      <xdr:col>7</xdr:col>
      <xdr:colOff>620486</xdr:colOff>
      <xdr:row>1306</xdr:row>
      <xdr:rowOff>185057</xdr:rowOff>
    </xdr:to>
    <xdr:sp macro="" textlink="">
      <xdr:nvSpPr>
        <xdr:cNvPr id="49660" name="Text Box 86">
          <a:extLst>
            <a:ext uri="{FF2B5EF4-FFF2-40B4-BE49-F238E27FC236}">
              <a16:creationId xmlns:a16="http://schemas.microsoft.com/office/drawing/2014/main" id="{389BFC95-FA21-CCBE-D800-73D7FC37F367}"/>
            </a:ext>
          </a:extLst>
        </xdr:cNvPr>
        <xdr:cNvSpPr txBox="1">
          <a:spLocks noChangeArrowheads="1"/>
        </xdr:cNvSpPr>
      </xdr:nvSpPr>
      <xdr:spPr bwMode="auto">
        <a:xfrm>
          <a:off x="190500" y="233471357"/>
          <a:ext cx="4389664"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1333</xdr:row>
      <xdr:rowOff>10886</xdr:rowOff>
    </xdr:from>
    <xdr:to>
      <xdr:col>7</xdr:col>
      <xdr:colOff>620486</xdr:colOff>
      <xdr:row>1361</xdr:row>
      <xdr:rowOff>185057</xdr:rowOff>
    </xdr:to>
    <xdr:sp macro="" textlink="">
      <xdr:nvSpPr>
        <xdr:cNvPr id="49661" name="Text Box 87">
          <a:extLst>
            <a:ext uri="{FF2B5EF4-FFF2-40B4-BE49-F238E27FC236}">
              <a16:creationId xmlns:a16="http://schemas.microsoft.com/office/drawing/2014/main" id="{CC490759-3C6E-B9D7-57FB-5B984EB13289}"/>
            </a:ext>
          </a:extLst>
        </xdr:cNvPr>
        <xdr:cNvSpPr txBox="1">
          <a:spLocks noChangeArrowheads="1"/>
        </xdr:cNvSpPr>
      </xdr:nvSpPr>
      <xdr:spPr bwMode="auto">
        <a:xfrm>
          <a:off x="190500" y="243529757"/>
          <a:ext cx="4389664"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1388</xdr:row>
      <xdr:rowOff>10886</xdr:rowOff>
    </xdr:from>
    <xdr:to>
      <xdr:col>7</xdr:col>
      <xdr:colOff>620486</xdr:colOff>
      <xdr:row>1416</xdr:row>
      <xdr:rowOff>185057</xdr:rowOff>
    </xdr:to>
    <xdr:sp macro="" textlink="">
      <xdr:nvSpPr>
        <xdr:cNvPr id="49662" name="Text Box 88">
          <a:extLst>
            <a:ext uri="{FF2B5EF4-FFF2-40B4-BE49-F238E27FC236}">
              <a16:creationId xmlns:a16="http://schemas.microsoft.com/office/drawing/2014/main" id="{7BB17969-B06A-06B6-ED98-7799186D58FC}"/>
            </a:ext>
          </a:extLst>
        </xdr:cNvPr>
        <xdr:cNvSpPr txBox="1">
          <a:spLocks noChangeArrowheads="1"/>
        </xdr:cNvSpPr>
      </xdr:nvSpPr>
      <xdr:spPr bwMode="auto">
        <a:xfrm>
          <a:off x="190500" y="253588157"/>
          <a:ext cx="4389664"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1443</xdr:row>
      <xdr:rowOff>10886</xdr:rowOff>
    </xdr:from>
    <xdr:to>
      <xdr:col>7</xdr:col>
      <xdr:colOff>612321</xdr:colOff>
      <xdr:row>1471</xdr:row>
      <xdr:rowOff>174171</xdr:rowOff>
    </xdr:to>
    <xdr:sp macro="" textlink="">
      <xdr:nvSpPr>
        <xdr:cNvPr id="49663" name="Text Box 89">
          <a:extLst>
            <a:ext uri="{FF2B5EF4-FFF2-40B4-BE49-F238E27FC236}">
              <a16:creationId xmlns:a16="http://schemas.microsoft.com/office/drawing/2014/main" id="{ED915F48-DF8A-7A91-EE24-C1BA5CC94593}"/>
            </a:ext>
          </a:extLst>
        </xdr:cNvPr>
        <xdr:cNvSpPr txBox="1">
          <a:spLocks noChangeArrowheads="1"/>
        </xdr:cNvSpPr>
      </xdr:nvSpPr>
      <xdr:spPr bwMode="auto">
        <a:xfrm>
          <a:off x="190500" y="263646557"/>
          <a:ext cx="4381500" cy="5666014"/>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1498</xdr:row>
      <xdr:rowOff>10886</xdr:rowOff>
    </xdr:from>
    <xdr:to>
      <xdr:col>7</xdr:col>
      <xdr:colOff>620486</xdr:colOff>
      <xdr:row>1526</xdr:row>
      <xdr:rowOff>185057</xdr:rowOff>
    </xdr:to>
    <xdr:sp macro="" textlink="">
      <xdr:nvSpPr>
        <xdr:cNvPr id="49664" name="Text Box 90">
          <a:extLst>
            <a:ext uri="{FF2B5EF4-FFF2-40B4-BE49-F238E27FC236}">
              <a16:creationId xmlns:a16="http://schemas.microsoft.com/office/drawing/2014/main" id="{98413B4B-C1EE-DDE4-D1B4-B4D7B5F11F2F}"/>
            </a:ext>
          </a:extLst>
        </xdr:cNvPr>
        <xdr:cNvSpPr txBox="1">
          <a:spLocks noChangeArrowheads="1"/>
        </xdr:cNvSpPr>
      </xdr:nvSpPr>
      <xdr:spPr bwMode="auto">
        <a:xfrm>
          <a:off x="190500" y="273704957"/>
          <a:ext cx="4389664"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1553</xdr:row>
      <xdr:rowOff>10886</xdr:rowOff>
    </xdr:from>
    <xdr:to>
      <xdr:col>7</xdr:col>
      <xdr:colOff>620486</xdr:colOff>
      <xdr:row>1581</xdr:row>
      <xdr:rowOff>185057</xdr:rowOff>
    </xdr:to>
    <xdr:sp macro="" textlink="">
      <xdr:nvSpPr>
        <xdr:cNvPr id="49665" name="Text Box 91">
          <a:extLst>
            <a:ext uri="{FF2B5EF4-FFF2-40B4-BE49-F238E27FC236}">
              <a16:creationId xmlns:a16="http://schemas.microsoft.com/office/drawing/2014/main" id="{AE8D2127-AA7D-6B91-9630-847FA67CC5C6}"/>
            </a:ext>
          </a:extLst>
        </xdr:cNvPr>
        <xdr:cNvSpPr txBox="1">
          <a:spLocks noChangeArrowheads="1"/>
        </xdr:cNvSpPr>
      </xdr:nvSpPr>
      <xdr:spPr bwMode="auto">
        <a:xfrm>
          <a:off x="190500" y="283763357"/>
          <a:ext cx="4389664" cy="5676900"/>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1608</xdr:row>
      <xdr:rowOff>10886</xdr:rowOff>
    </xdr:from>
    <xdr:to>
      <xdr:col>7</xdr:col>
      <xdr:colOff>620486</xdr:colOff>
      <xdr:row>1635</xdr:row>
      <xdr:rowOff>166007</xdr:rowOff>
    </xdr:to>
    <xdr:sp macro="" textlink="">
      <xdr:nvSpPr>
        <xdr:cNvPr id="49666" name="Text Box 92">
          <a:extLst>
            <a:ext uri="{FF2B5EF4-FFF2-40B4-BE49-F238E27FC236}">
              <a16:creationId xmlns:a16="http://schemas.microsoft.com/office/drawing/2014/main" id="{FB275577-D148-8D85-43A9-63D3BD5A447A}"/>
            </a:ext>
          </a:extLst>
        </xdr:cNvPr>
        <xdr:cNvSpPr txBox="1">
          <a:spLocks noChangeArrowheads="1"/>
        </xdr:cNvSpPr>
      </xdr:nvSpPr>
      <xdr:spPr bwMode="auto">
        <a:xfrm>
          <a:off x="190500" y="293821757"/>
          <a:ext cx="4389664" cy="5461907"/>
        </a:xfrm>
        <a:prstGeom prst="rect">
          <a:avLst/>
        </a:prstGeom>
        <a:solidFill>
          <a:srgbClr val="FFFFFF"/>
        </a:solidFill>
        <a:ln w="9525">
          <a:solidFill>
            <a:srgbClr val="000000"/>
          </a:solidFill>
          <a:miter lim="800000"/>
          <a:headEnd/>
          <a:tailEnd/>
        </a:ln>
      </xdr:spPr>
    </xdr:sp>
    <xdr:clientData/>
  </xdr:twoCellAnchor>
  <xdr:twoCellAnchor editAs="oneCell">
    <xdr:from>
      <xdr:col>13</xdr:col>
      <xdr:colOff>69396</xdr:colOff>
      <xdr:row>6</xdr:row>
      <xdr:rowOff>78921</xdr:rowOff>
    </xdr:from>
    <xdr:to>
      <xdr:col>15</xdr:col>
      <xdr:colOff>461272</xdr:colOff>
      <xdr:row>21</xdr:row>
      <xdr:rowOff>33564</xdr:rowOff>
    </xdr:to>
    <xdr:sp macro="" textlink="">
      <xdr:nvSpPr>
        <xdr:cNvPr id="49276" name="Text Box 124">
          <a:extLst>
            <a:ext uri="{FF2B5EF4-FFF2-40B4-BE49-F238E27FC236}">
              <a16:creationId xmlns:a16="http://schemas.microsoft.com/office/drawing/2014/main" id="{8B9FDB3C-97F7-8D3D-2864-DB96D6874671}"/>
            </a:ext>
          </a:extLst>
        </xdr:cNvPr>
        <xdr:cNvSpPr txBox="1">
          <a:spLocks noChangeArrowheads="1"/>
        </xdr:cNvSpPr>
      </xdr:nvSpPr>
      <xdr:spPr bwMode="auto">
        <a:xfrm>
          <a:off x="7543800" y="1047750"/>
          <a:ext cx="1600200" cy="2657475"/>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0000FF"/>
              </a:solidFill>
              <a:latin typeface="Arial"/>
              <a:cs typeface="Arial"/>
            </a:rPr>
            <a:t>Scroll down to find subsequent days.  There are 30 days available in this workbook.</a:t>
          </a:r>
        </a:p>
        <a:p>
          <a:pPr algn="l" rtl="0">
            <a:defRPr sz="1000"/>
          </a:pPr>
          <a:endParaRPr lang="en-CA" sz="1400" b="0" i="0" u="none" strike="noStrike" baseline="0">
            <a:solidFill>
              <a:srgbClr val="0000FF"/>
            </a:solidFill>
            <a:latin typeface="Arial"/>
            <a:cs typeface="Arial"/>
          </a:endParaRPr>
        </a:p>
        <a:p>
          <a:pPr algn="l" rtl="0">
            <a:defRPr sz="1000"/>
          </a:pPr>
          <a:r>
            <a:rPr lang="en-CA" sz="1400" b="0" i="0" u="none" strike="noStrike" baseline="0">
              <a:solidFill>
                <a:srgbClr val="0000FF"/>
              </a:solidFill>
              <a:latin typeface="Arial"/>
              <a:cs typeface="Arial"/>
            </a:rPr>
            <a:t>Daily costs are entered in Cost Control.</a:t>
          </a:r>
        </a:p>
      </xdr:txBody>
    </xdr:sp>
    <xdr:clientData/>
  </xdr:twoCellAnchor>
  <xdr:twoCellAnchor editAs="oneCell">
    <xdr:from>
      <xdr:col>13</xdr:col>
      <xdr:colOff>226786</xdr:colOff>
      <xdr:row>65</xdr:row>
      <xdr:rowOff>126546</xdr:rowOff>
    </xdr:from>
    <xdr:to>
      <xdr:col>16</xdr:col>
      <xdr:colOff>157238</xdr:colOff>
      <xdr:row>80</xdr:row>
      <xdr:rowOff>112034</xdr:rowOff>
    </xdr:to>
    <xdr:sp macro="" textlink="">
      <xdr:nvSpPr>
        <xdr:cNvPr id="49338" name="Text Box 186">
          <a:extLst>
            <a:ext uri="{FF2B5EF4-FFF2-40B4-BE49-F238E27FC236}">
              <a16:creationId xmlns:a16="http://schemas.microsoft.com/office/drawing/2014/main" id="{641E9C67-35A6-B9D4-DA6E-8B4F193ABED7}"/>
            </a:ext>
          </a:extLst>
        </xdr:cNvPr>
        <xdr:cNvSpPr txBox="1">
          <a:spLocks noChangeArrowheads="1"/>
        </xdr:cNvSpPr>
      </xdr:nvSpPr>
      <xdr:spPr bwMode="auto">
        <a:xfrm>
          <a:off x="7982857" y="12085713"/>
          <a:ext cx="1826381" cy="2873225"/>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103867</xdr:colOff>
      <xdr:row>121</xdr:row>
      <xdr:rowOff>117474</xdr:rowOff>
    </xdr:from>
    <xdr:to>
      <xdr:col>16</xdr:col>
      <xdr:colOff>2555</xdr:colOff>
      <xdr:row>136</xdr:row>
      <xdr:rowOff>43088</xdr:rowOff>
    </xdr:to>
    <xdr:sp macro="" textlink="">
      <xdr:nvSpPr>
        <xdr:cNvPr id="49339" name="Text Box 187">
          <a:extLst>
            <a:ext uri="{FF2B5EF4-FFF2-40B4-BE49-F238E27FC236}">
              <a16:creationId xmlns:a16="http://schemas.microsoft.com/office/drawing/2014/main" id="{3C94333A-513F-31F5-859B-6195F65BAD7B}"/>
            </a:ext>
          </a:extLst>
        </xdr:cNvPr>
        <xdr:cNvSpPr txBox="1">
          <a:spLocks noChangeArrowheads="1"/>
        </xdr:cNvSpPr>
      </xdr:nvSpPr>
      <xdr:spPr bwMode="auto">
        <a:xfrm>
          <a:off x="7859938" y="22336426"/>
          <a:ext cx="1794617" cy="2873829"/>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164343</xdr:colOff>
      <xdr:row>174</xdr:row>
      <xdr:rowOff>114450</xdr:rowOff>
    </xdr:from>
    <xdr:to>
      <xdr:col>16</xdr:col>
      <xdr:colOff>63031</xdr:colOff>
      <xdr:row>189</xdr:row>
      <xdr:rowOff>97215</xdr:rowOff>
    </xdr:to>
    <xdr:sp macro="" textlink="">
      <xdr:nvSpPr>
        <xdr:cNvPr id="49340" name="Text Box 188">
          <a:extLst>
            <a:ext uri="{FF2B5EF4-FFF2-40B4-BE49-F238E27FC236}">
              <a16:creationId xmlns:a16="http://schemas.microsoft.com/office/drawing/2014/main" id="{E06DDD8C-BA9C-01F0-3499-2A348E34F125}"/>
            </a:ext>
          </a:extLst>
        </xdr:cNvPr>
        <xdr:cNvSpPr txBox="1">
          <a:spLocks noChangeArrowheads="1"/>
        </xdr:cNvSpPr>
      </xdr:nvSpPr>
      <xdr:spPr bwMode="auto">
        <a:xfrm>
          <a:off x="7920414" y="32124498"/>
          <a:ext cx="1794617" cy="2870503"/>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128058</xdr:colOff>
      <xdr:row>230</xdr:row>
      <xdr:rowOff>126546</xdr:rowOff>
    </xdr:from>
    <xdr:to>
      <xdr:col>16</xdr:col>
      <xdr:colOff>26746</xdr:colOff>
      <xdr:row>245</xdr:row>
      <xdr:rowOff>80734</xdr:rowOff>
    </xdr:to>
    <xdr:sp macro="" textlink="">
      <xdr:nvSpPr>
        <xdr:cNvPr id="49341" name="Text Box 189">
          <a:extLst>
            <a:ext uri="{FF2B5EF4-FFF2-40B4-BE49-F238E27FC236}">
              <a16:creationId xmlns:a16="http://schemas.microsoft.com/office/drawing/2014/main" id="{33A97C55-E2EA-D466-F748-F5663DC2C493}"/>
            </a:ext>
          </a:extLst>
        </xdr:cNvPr>
        <xdr:cNvSpPr txBox="1">
          <a:spLocks noChangeArrowheads="1"/>
        </xdr:cNvSpPr>
      </xdr:nvSpPr>
      <xdr:spPr bwMode="auto">
        <a:xfrm>
          <a:off x="7884129" y="42426617"/>
          <a:ext cx="1794617" cy="2872165"/>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115963</xdr:colOff>
      <xdr:row>286</xdr:row>
      <xdr:rowOff>126546</xdr:rowOff>
    </xdr:from>
    <xdr:to>
      <xdr:col>16</xdr:col>
      <xdr:colOff>14651</xdr:colOff>
      <xdr:row>301</xdr:row>
      <xdr:rowOff>52161</xdr:rowOff>
    </xdr:to>
    <xdr:sp macro="" textlink="">
      <xdr:nvSpPr>
        <xdr:cNvPr id="49342" name="Text Box 190">
          <a:extLst>
            <a:ext uri="{FF2B5EF4-FFF2-40B4-BE49-F238E27FC236}">
              <a16:creationId xmlns:a16="http://schemas.microsoft.com/office/drawing/2014/main" id="{108E07E1-4CC3-6E5D-6B47-B64C74C76E40}"/>
            </a:ext>
          </a:extLst>
        </xdr:cNvPr>
        <xdr:cNvSpPr txBox="1">
          <a:spLocks noChangeArrowheads="1"/>
        </xdr:cNvSpPr>
      </xdr:nvSpPr>
      <xdr:spPr bwMode="auto">
        <a:xfrm>
          <a:off x="7872034" y="52716642"/>
          <a:ext cx="1794617" cy="2873829"/>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191558</xdr:colOff>
      <xdr:row>341</xdr:row>
      <xdr:rowOff>138944</xdr:rowOff>
    </xdr:from>
    <xdr:to>
      <xdr:col>16</xdr:col>
      <xdr:colOff>90246</xdr:colOff>
      <xdr:row>356</xdr:row>
      <xdr:rowOff>64558</xdr:rowOff>
    </xdr:to>
    <xdr:sp macro="" textlink="">
      <xdr:nvSpPr>
        <xdr:cNvPr id="49343" name="Text Box 191">
          <a:extLst>
            <a:ext uri="{FF2B5EF4-FFF2-40B4-BE49-F238E27FC236}">
              <a16:creationId xmlns:a16="http://schemas.microsoft.com/office/drawing/2014/main" id="{30DE7607-29AB-507E-439F-49212345AF09}"/>
            </a:ext>
          </a:extLst>
        </xdr:cNvPr>
        <xdr:cNvSpPr txBox="1">
          <a:spLocks noChangeArrowheads="1"/>
        </xdr:cNvSpPr>
      </xdr:nvSpPr>
      <xdr:spPr bwMode="auto">
        <a:xfrm>
          <a:off x="7947629" y="62852754"/>
          <a:ext cx="1794617" cy="2873827"/>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94796</xdr:colOff>
      <xdr:row>396</xdr:row>
      <xdr:rowOff>90563</xdr:rowOff>
    </xdr:from>
    <xdr:to>
      <xdr:col>15</xdr:col>
      <xdr:colOff>625461</xdr:colOff>
      <xdr:row>411</xdr:row>
      <xdr:rowOff>16177</xdr:rowOff>
    </xdr:to>
    <xdr:sp macro="" textlink="">
      <xdr:nvSpPr>
        <xdr:cNvPr id="49344" name="Text Box 192">
          <a:extLst>
            <a:ext uri="{FF2B5EF4-FFF2-40B4-BE49-F238E27FC236}">
              <a16:creationId xmlns:a16="http://schemas.microsoft.com/office/drawing/2014/main" id="{11C1BDB8-F3E0-B88B-23E4-1D41C7085AED}"/>
            </a:ext>
          </a:extLst>
        </xdr:cNvPr>
        <xdr:cNvSpPr txBox="1">
          <a:spLocks noChangeArrowheads="1"/>
        </xdr:cNvSpPr>
      </xdr:nvSpPr>
      <xdr:spPr bwMode="auto">
        <a:xfrm>
          <a:off x="7850867" y="72928086"/>
          <a:ext cx="1794617" cy="2873829"/>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167368</xdr:colOff>
      <xdr:row>450</xdr:row>
      <xdr:rowOff>117172</xdr:rowOff>
    </xdr:from>
    <xdr:to>
      <xdr:col>16</xdr:col>
      <xdr:colOff>66056</xdr:colOff>
      <xdr:row>465</xdr:row>
      <xdr:rowOff>68642</xdr:rowOff>
    </xdr:to>
    <xdr:sp macro="" textlink="">
      <xdr:nvSpPr>
        <xdr:cNvPr id="49345" name="Text Box 193">
          <a:extLst>
            <a:ext uri="{FF2B5EF4-FFF2-40B4-BE49-F238E27FC236}">
              <a16:creationId xmlns:a16="http://schemas.microsoft.com/office/drawing/2014/main" id="{A53E1CE5-7EDD-AC01-A3DC-DBDEC6117EAF}"/>
            </a:ext>
          </a:extLst>
        </xdr:cNvPr>
        <xdr:cNvSpPr txBox="1">
          <a:spLocks noChangeArrowheads="1"/>
        </xdr:cNvSpPr>
      </xdr:nvSpPr>
      <xdr:spPr bwMode="auto">
        <a:xfrm>
          <a:off x="7923439" y="82912101"/>
          <a:ext cx="1794617" cy="2869445"/>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115962</xdr:colOff>
      <xdr:row>504</xdr:row>
      <xdr:rowOff>123522</xdr:rowOff>
    </xdr:from>
    <xdr:to>
      <xdr:col>16</xdr:col>
      <xdr:colOff>14650</xdr:colOff>
      <xdr:row>519</xdr:row>
      <xdr:rowOff>109009</xdr:rowOff>
    </xdr:to>
    <xdr:sp macro="" textlink="">
      <xdr:nvSpPr>
        <xdr:cNvPr id="49346" name="Text Box 194">
          <a:extLst>
            <a:ext uri="{FF2B5EF4-FFF2-40B4-BE49-F238E27FC236}">
              <a16:creationId xmlns:a16="http://schemas.microsoft.com/office/drawing/2014/main" id="{7AE9C4D6-CB41-0A3B-4BA4-A73CFF0917F2}"/>
            </a:ext>
          </a:extLst>
        </xdr:cNvPr>
        <xdr:cNvSpPr txBox="1">
          <a:spLocks noChangeArrowheads="1"/>
        </xdr:cNvSpPr>
      </xdr:nvSpPr>
      <xdr:spPr bwMode="auto">
        <a:xfrm>
          <a:off x="7872033" y="92875855"/>
          <a:ext cx="1794617" cy="2873225"/>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79677</xdr:colOff>
      <xdr:row>560</xdr:row>
      <xdr:rowOff>114450</xdr:rowOff>
    </xdr:from>
    <xdr:to>
      <xdr:col>15</xdr:col>
      <xdr:colOff>610342</xdr:colOff>
      <xdr:row>575</xdr:row>
      <xdr:rowOff>68639</xdr:rowOff>
    </xdr:to>
    <xdr:sp macro="" textlink="">
      <xdr:nvSpPr>
        <xdr:cNvPr id="49347" name="Text Box 195">
          <a:extLst>
            <a:ext uri="{FF2B5EF4-FFF2-40B4-BE49-F238E27FC236}">
              <a16:creationId xmlns:a16="http://schemas.microsoft.com/office/drawing/2014/main" id="{809FE803-6EE8-D96C-86E3-4D3C374493F9}"/>
            </a:ext>
          </a:extLst>
        </xdr:cNvPr>
        <xdr:cNvSpPr txBox="1">
          <a:spLocks noChangeArrowheads="1"/>
        </xdr:cNvSpPr>
      </xdr:nvSpPr>
      <xdr:spPr bwMode="auto">
        <a:xfrm>
          <a:off x="7835748" y="103156807"/>
          <a:ext cx="1794617" cy="2872165"/>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100844</xdr:colOff>
      <xdr:row>616</xdr:row>
      <xdr:rowOff>126546</xdr:rowOff>
    </xdr:from>
    <xdr:to>
      <xdr:col>15</xdr:col>
      <xdr:colOff>631509</xdr:colOff>
      <xdr:row>631</xdr:row>
      <xdr:rowOff>52160</xdr:rowOff>
    </xdr:to>
    <xdr:sp macro="" textlink="">
      <xdr:nvSpPr>
        <xdr:cNvPr id="49348" name="Text Box 196">
          <a:extLst>
            <a:ext uri="{FF2B5EF4-FFF2-40B4-BE49-F238E27FC236}">
              <a16:creationId xmlns:a16="http://schemas.microsoft.com/office/drawing/2014/main" id="{675C09AB-C97C-FF15-445E-1919A9FC67B9}"/>
            </a:ext>
          </a:extLst>
        </xdr:cNvPr>
        <xdr:cNvSpPr txBox="1">
          <a:spLocks noChangeArrowheads="1"/>
        </xdr:cNvSpPr>
      </xdr:nvSpPr>
      <xdr:spPr bwMode="auto">
        <a:xfrm>
          <a:off x="7856915" y="113458927"/>
          <a:ext cx="1794617" cy="2873829"/>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91772</xdr:colOff>
      <xdr:row>671</xdr:row>
      <xdr:rowOff>135920</xdr:rowOff>
    </xdr:from>
    <xdr:to>
      <xdr:col>15</xdr:col>
      <xdr:colOff>622437</xdr:colOff>
      <xdr:row>686</xdr:row>
      <xdr:rowOff>61535</xdr:rowOff>
    </xdr:to>
    <xdr:sp macro="" textlink="">
      <xdr:nvSpPr>
        <xdr:cNvPr id="49349" name="Text Box 197">
          <a:extLst>
            <a:ext uri="{FF2B5EF4-FFF2-40B4-BE49-F238E27FC236}">
              <a16:creationId xmlns:a16="http://schemas.microsoft.com/office/drawing/2014/main" id="{A09A1463-A7C3-4165-451D-0AF297382C37}"/>
            </a:ext>
          </a:extLst>
        </xdr:cNvPr>
        <xdr:cNvSpPr txBox="1">
          <a:spLocks noChangeArrowheads="1"/>
        </xdr:cNvSpPr>
      </xdr:nvSpPr>
      <xdr:spPr bwMode="auto">
        <a:xfrm>
          <a:off x="7847843" y="123592016"/>
          <a:ext cx="1794617" cy="2873829"/>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55486</xdr:colOff>
      <xdr:row>725</xdr:row>
      <xdr:rowOff>135617</xdr:rowOff>
    </xdr:from>
    <xdr:to>
      <xdr:col>15</xdr:col>
      <xdr:colOff>586151</xdr:colOff>
      <xdr:row>740</xdr:row>
      <xdr:rowOff>89806</xdr:rowOff>
    </xdr:to>
    <xdr:sp macro="" textlink="">
      <xdr:nvSpPr>
        <xdr:cNvPr id="49350" name="Text Box 198">
          <a:extLst>
            <a:ext uri="{FF2B5EF4-FFF2-40B4-BE49-F238E27FC236}">
              <a16:creationId xmlns:a16="http://schemas.microsoft.com/office/drawing/2014/main" id="{F981336A-9FAB-895B-3A84-F28F1AF7CFEA}"/>
            </a:ext>
          </a:extLst>
        </xdr:cNvPr>
        <xdr:cNvSpPr txBox="1">
          <a:spLocks noChangeArrowheads="1"/>
        </xdr:cNvSpPr>
      </xdr:nvSpPr>
      <xdr:spPr bwMode="auto">
        <a:xfrm>
          <a:off x="7811557" y="133549117"/>
          <a:ext cx="1794617" cy="2872166"/>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76653</xdr:colOff>
      <xdr:row>781</xdr:row>
      <xdr:rowOff>135617</xdr:rowOff>
    </xdr:from>
    <xdr:to>
      <xdr:col>15</xdr:col>
      <xdr:colOff>607318</xdr:colOff>
      <xdr:row>796</xdr:row>
      <xdr:rowOff>61231</xdr:rowOff>
    </xdr:to>
    <xdr:sp macro="" textlink="">
      <xdr:nvSpPr>
        <xdr:cNvPr id="49351" name="Text Box 199">
          <a:extLst>
            <a:ext uri="{FF2B5EF4-FFF2-40B4-BE49-F238E27FC236}">
              <a16:creationId xmlns:a16="http://schemas.microsoft.com/office/drawing/2014/main" id="{5D9CD45A-E76C-F3F0-CC30-08BB9ABF0387}"/>
            </a:ext>
          </a:extLst>
        </xdr:cNvPr>
        <xdr:cNvSpPr txBox="1">
          <a:spLocks noChangeArrowheads="1"/>
        </xdr:cNvSpPr>
      </xdr:nvSpPr>
      <xdr:spPr bwMode="auto">
        <a:xfrm>
          <a:off x="7832724" y="143839140"/>
          <a:ext cx="1794617" cy="2873829"/>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79677</xdr:colOff>
      <xdr:row>836</xdr:row>
      <xdr:rowOff>111730</xdr:rowOff>
    </xdr:from>
    <xdr:to>
      <xdr:col>15</xdr:col>
      <xdr:colOff>610342</xdr:colOff>
      <xdr:row>851</xdr:row>
      <xdr:rowOff>37345</xdr:rowOff>
    </xdr:to>
    <xdr:sp macro="" textlink="">
      <xdr:nvSpPr>
        <xdr:cNvPr id="49352" name="Text Box 200">
          <a:extLst>
            <a:ext uri="{FF2B5EF4-FFF2-40B4-BE49-F238E27FC236}">
              <a16:creationId xmlns:a16="http://schemas.microsoft.com/office/drawing/2014/main" id="{22BC07E4-6122-2A0E-DE5C-6127A1CEBA22}"/>
            </a:ext>
          </a:extLst>
        </xdr:cNvPr>
        <xdr:cNvSpPr txBox="1">
          <a:spLocks noChangeArrowheads="1"/>
        </xdr:cNvSpPr>
      </xdr:nvSpPr>
      <xdr:spPr bwMode="auto">
        <a:xfrm>
          <a:off x="7835748" y="153938968"/>
          <a:ext cx="1794617" cy="2873829"/>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103867</xdr:colOff>
      <xdr:row>891</xdr:row>
      <xdr:rowOff>111730</xdr:rowOff>
    </xdr:from>
    <xdr:to>
      <xdr:col>16</xdr:col>
      <xdr:colOff>2555</xdr:colOff>
      <xdr:row>906</xdr:row>
      <xdr:rowOff>37345</xdr:rowOff>
    </xdr:to>
    <xdr:sp macro="" textlink="">
      <xdr:nvSpPr>
        <xdr:cNvPr id="49353" name="Text Box 201">
          <a:extLst>
            <a:ext uri="{FF2B5EF4-FFF2-40B4-BE49-F238E27FC236}">
              <a16:creationId xmlns:a16="http://schemas.microsoft.com/office/drawing/2014/main" id="{78546F76-CA82-CF6E-3EC5-E56DFA6D32F2}"/>
            </a:ext>
          </a:extLst>
        </xdr:cNvPr>
        <xdr:cNvSpPr txBox="1">
          <a:spLocks noChangeArrowheads="1"/>
        </xdr:cNvSpPr>
      </xdr:nvSpPr>
      <xdr:spPr bwMode="auto">
        <a:xfrm>
          <a:off x="7859938" y="164074778"/>
          <a:ext cx="1794617" cy="2873829"/>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164343</xdr:colOff>
      <xdr:row>946</xdr:row>
      <xdr:rowOff>99332</xdr:rowOff>
    </xdr:from>
    <xdr:to>
      <xdr:col>16</xdr:col>
      <xdr:colOff>63031</xdr:colOff>
      <xdr:row>961</xdr:row>
      <xdr:rowOff>24945</xdr:rowOff>
    </xdr:to>
    <xdr:sp macro="" textlink="">
      <xdr:nvSpPr>
        <xdr:cNvPr id="49354" name="Text Box 202">
          <a:extLst>
            <a:ext uri="{FF2B5EF4-FFF2-40B4-BE49-F238E27FC236}">
              <a16:creationId xmlns:a16="http://schemas.microsoft.com/office/drawing/2014/main" id="{F63D9DA6-9F2B-51DC-1A5B-60CD8DA78576}"/>
            </a:ext>
          </a:extLst>
        </xdr:cNvPr>
        <xdr:cNvSpPr txBox="1">
          <a:spLocks noChangeArrowheads="1"/>
        </xdr:cNvSpPr>
      </xdr:nvSpPr>
      <xdr:spPr bwMode="auto">
        <a:xfrm>
          <a:off x="7920414" y="174186094"/>
          <a:ext cx="1794617" cy="2873828"/>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43391</xdr:colOff>
      <xdr:row>1001</xdr:row>
      <xdr:rowOff>123825</xdr:rowOff>
    </xdr:from>
    <xdr:to>
      <xdr:col>15</xdr:col>
      <xdr:colOff>574056</xdr:colOff>
      <xdr:row>1016</xdr:row>
      <xdr:rowOff>49441</xdr:rowOff>
    </xdr:to>
    <xdr:sp macro="" textlink="">
      <xdr:nvSpPr>
        <xdr:cNvPr id="49355" name="Text Box 203">
          <a:extLst>
            <a:ext uri="{FF2B5EF4-FFF2-40B4-BE49-F238E27FC236}">
              <a16:creationId xmlns:a16="http://schemas.microsoft.com/office/drawing/2014/main" id="{C7858F88-9F53-3AA7-7309-CAFC1E1F3E8F}"/>
            </a:ext>
          </a:extLst>
        </xdr:cNvPr>
        <xdr:cNvSpPr txBox="1">
          <a:spLocks noChangeArrowheads="1"/>
        </xdr:cNvSpPr>
      </xdr:nvSpPr>
      <xdr:spPr bwMode="auto">
        <a:xfrm>
          <a:off x="7799462" y="184334302"/>
          <a:ext cx="1794617" cy="2873829"/>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103868</xdr:colOff>
      <xdr:row>1056</xdr:row>
      <xdr:rowOff>123825</xdr:rowOff>
    </xdr:from>
    <xdr:to>
      <xdr:col>16</xdr:col>
      <xdr:colOff>2556</xdr:colOff>
      <xdr:row>1071</xdr:row>
      <xdr:rowOff>49440</xdr:rowOff>
    </xdr:to>
    <xdr:sp macro="" textlink="">
      <xdr:nvSpPr>
        <xdr:cNvPr id="49356" name="Text Box 204">
          <a:extLst>
            <a:ext uri="{FF2B5EF4-FFF2-40B4-BE49-F238E27FC236}">
              <a16:creationId xmlns:a16="http://schemas.microsoft.com/office/drawing/2014/main" id="{749066C5-41C4-ADEF-6CFD-8EA2B21321A3}"/>
            </a:ext>
          </a:extLst>
        </xdr:cNvPr>
        <xdr:cNvSpPr txBox="1">
          <a:spLocks noChangeArrowheads="1"/>
        </xdr:cNvSpPr>
      </xdr:nvSpPr>
      <xdr:spPr bwMode="auto">
        <a:xfrm>
          <a:off x="7859939" y="194458015"/>
          <a:ext cx="1794617" cy="2873829"/>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79677</xdr:colOff>
      <xdr:row>1109</xdr:row>
      <xdr:rowOff>129268</xdr:rowOff>
    </xdr:from>
    <xdr:to>
      <xdr:col>15</xdr:col>
      <xdr:colOff>610342</xdr:colOff>
      <xdr:row>1124</xdr:row>
      <xdr:rowOff>109312</xdr:rowOff>
    </xdr:to>
    <xdr:sp macro="" textlink="">
      <xdr:nvSpPr>
        <xdr:cNvPr id="49357" name="Text Box 205">
          <a:extLst>
            <a:ext uri="{FF2B5EF4-FFF2-40B4-BE49-F238E27FC236}">
              <a16:creationId xmlns:a16="http://schemas.microsoft.com/office/drawing/2014/main" id="{21F868B6-E52F-C9AB-2500-F5F9DEF3ED97}"/>
            </a:ext>
          </a:extLst>
        </xdr:cNvPr>
        <xdr:cNvSpPr txBox="1">
          <a:spLocks noChangeArrowheads="1"/>
        </xdr:cNvSpPr>
      </xdr:nvSpPr>
      <xdr:spPr bwMode="auto">
        <a:xfrm>
          <a:off x="7835748" y="204254554"/>
          <a:ext cx="1794617" cy="2867781"/>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137129</xdr:colOff>
      <xdr:row>1165</xdr:row>
      <xdr:rowOff>126546</xdr:rowOff>
    </xdr:from>
    <xdr:to>
      <xdr:col>16</xdr:col>
      <xdr:colOff>35817</xdr:colOff>
      <xdr:row>1180</xdr:row>
      <xdr:rowOff>80735</xdr:rowOff>
    </xdr:to>
    <xdr:sp macro="" textlink="">
      <xdr:nvSpPr>
        <xdr:cNvPr id="49358" name="Text Box 206">
          <a:extLst>
            <a:ext uri="{FF2B5EF4-FFF2-40B4-BE49-F238E27FC236}">
              <a16:creationId xmlns:a16="http://schemas.microsoft.com/office/drawing/2014/main" id="{D131BCAF-1031-422D-448B-306C6EE6A428}"/>
            </a:ext>
          </a:extLst>
        </xdr:cNvPr>
        <xdr:cNvSpPr txBox="1">
          <a:spLocks noChangeArrowheads="1"/>
        </xdr:cNvSpPr>
      </xdr:nvSpPr>
      <xdr:spPr bwMode="auto">
        <a:xfrm>
          <a:off x="7893200" y="214541856"/>
          <a:ext cx="1794617" cy="2872165"/>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91773</xdr:colOff>
      <xdr:row>1219</xdr:row>
      <xdr:rowOff>129268</xdr:rowOff>
    </xdr:from>
    <xdr:to>
      <xdr:col>15</xdr:col>
      <xdr:colOff>622438</xdr:colOff>
      <xdr:row>1234</xdr:row>
      <xdr:rowOff>112033</xdr:rowOff>
    </xdr:to>
    <xdr:sp macro="" textlink="">
      <xdr:nvSpPr>
        <xdr:cNvPr id="49359" name="Text Box 207">
          <a:extLst>
            <a:ext uri="{FF2B5EF4-FFF2-40B4-BE49-F238E27FC236}">
              <a16:creationId xmlns:a16="http://schemas.microsoft.com/office/drawing/2014/main" id="{F2E4BF0F-09C6-CE9A-AB23-0D7C186601B5}"/>
            </a:ext>
          </a:extLst>
        </xdr:cNvPr>
        <xdr:cNvSpPr txBox="1">
          <a:spLocks noChangeArrowheads="1"/>
        </xdr:cNvSpPr>
      </xdr:nvSpPr>
      <xdr:spPr bwMode="auto">
        <a:xfrm>
          <a:off x="7847844" y="224501982"/>
          <a:ext cx="1794617" cy="2870503"/>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134106</xdr:colOff>
      <xdr:row>1275</xdr:row>
      <xdr:rowOff>141364</xdr:rowOff>
    </xdr:from>
    <xdr:to>
      <xdr:col>16</xdr:col>
      <xdr:colOff>32794</xdr:colOff>
      <xdr:row>1290</xdr:row>
      <xdr:rowOff>92834</xdr:rowOff>
    </xdr:to>
    <xdr:sp macro="" textlink="">
      <xdr:nvSpPr>
        <xdr:cNvPr id="49360" name="Text Box 208">
          <a:extLst>
            <a:ext uri="{FF2B5EF4-FFF2-40B4-BE49-F238E27FC236}">
              <a16:creationId xmlns:a16="http://schemas.microsoft.com/office/drawing/2014/main" id="{27830B08-BCC0-6DA7-AAE0-2D3CF92B695D}"/>
            </a:ext>
          </a:extLst>
        </xdr:cNvPr>
        <xdr:cNvSpPr txBox="1">
          <a:spLocks noChangeArrowheads="1"/>
        </xdr:cNvSpPr>
      </xdr:nvSpPr>
      <xdr:spPr bwMode="auto">
        <a:xfrm>
          <a:off x="7890177" y="234804102"/>
          <a:ext cx="1794617" cy="2869446"/>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67581</xdr:colOff>
      <xdr:row>1331</xdr:row>
      <xdr:rowOff>135921</xdr:rowOff>
    </xdr:from>
    <xdr:to>
      <xdr:col>15</xdr:col>
      <xdr:colOff>598246</xdr:colOff>
      <xdr:row>1346</xdr:row>
      <xdr:rowOff>61534</xdr:rowOff>
    </xdr:to>
    <xdr:sp macro="" textlink="">
      <xdr:nvSpPr>
        <xdr:cNvPr id="49361" name="Text Box 209">
          <a:extLst>
            <a:ext uri="{FF2B5EF4-FFF2-40B4-BE49-F238E27FC236}">
              <a16:creationId xmlns:a16="http://schemas.microsoft.com/office/drawing/2014/main" id="{788F1BC6-5F69-8B7E-AFAB-FC65394BE204}"/>
            </a:ext>
          </a:extLst>
        </xdr:cNvPr>
        <xdr:cNvSpPr txBox="1">
          <a:spLocks noChangeArrowheads="1"/>
        </xdr:cNvSpPr>
      </xdr:nvSpPr>
      <xdr:spPr bwMode="auto">
        <a:xfrm>
          <a:off x="7823652" y="245088683"/>
          <a:ext cx="1794617" cy="2873828"/>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67582</xdr:colOff>
      <xdr:row>1388</xdr:row>
      <xdr:rowOff>126546</xdr:rowOff>
    </xdr:from>
    <xdr:to>
      <xdr:col>15</xdr:col>
      <xdr:colOff>598247</xdr:colOff>
      <xdr:row>1403</xdr:row>
      <xdr:rowOff>1816</xdr:rowOff>
    </xdr:to>
    <xdr:sp macro="" textlink="">
      <xdr:nvSpPr>
        <xdr:cNvPr id="49362" name="Text Box 210">
          <a:extLst>
            <a:ext uri="{FF2B5EF4-FFF2-40B4-BE49-F238E27FC236}">
              <a16:creationId xmlns:a16="http://schemas.microsoft.com/office/drawing/2014/main" id="{7CBD6673-1511-09F7-CF39-2CD93CFCF6B6}"/>
            </a:ext>
          </a:extLst>
        </xdr:cNvPr>
        <xdr:cNvSpPr txBox="1">
          <a:spLocks noChangeArrowheads="1"/>
        </xdr:cNvSpPr>
      </xdr:nvSpPr>
      <xdr:spPr bwMode="auto">
        <a:xfrm>
          <a:off x="7823653" y="255541689"/>
          <a:ext cx="1794617" cy="2877913"/>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125034</xdr:colOff>
      <xdr:row>1442</xdr:row>
      <xdr:rowOff>138641</xdr:rowOff>
    </xdr:from>
    <xdr:to>
      <xdr:col>16</xdr:col>
      <xdr:colOff>23722</xdr:colOff>
      <xdr:row>1457</xdr:row>
      <xdr:rowOff>35682</xdr:rowOff>
    </xdr:to>
    <xdr:sp macro="" textlink="">
      <xdr:nvSpPr>
        <xdr:cNvPr id="49363" name="Text Box 211">
          <a:extLst>
            <a:ext uri="{FF2B5EF4-FFF2-40B4-BE49-F238E27FC236}">
              <a16:creationId xmlns:a16="http://schemas.microsoft.com/office/drawing/2014/main" id="{CDCD54F1-7053-3D06-9004-FC597546BFEF}"/>
            </a:ext>
          </a:extLst>
        </xdr:cNvPr>
        <xdr:cNvSpPr txBox="1">
          <a:spLocks noChangeArrowheads="1"/>
        </xdr:cNvSpPr>
      </xdr:nvSpPr>
      <xdr:spPr bwMode="auto">
        <a:xfrm>
          <a:off x="7881105" y="265502118"/>
          <a:ext cx="1794617" cy="2878516"/>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79677</xdr:colOff>
      <xdr:row>1497</xdr:row>
      <xdr:rowOff>154062</xdr:rowOff>
    </xdr:from>
    <xdr:to>
      <xdr:col>15</xdr:col>
      <xdr:colOff>610342</xdr:colOff>
      <xdr:row>1512</xdr:row>
      <xdr:rowOff>53821</xdr:rowOff>
    </xdr:to>
    <xdr:sp macro="" textlink="">
      <xdr:nvSpPr>
        <xdr:cNvPr id="49364" name="Text Box 212">
          <a:extLst>
            <a:ext uri="{FF2B5EF4-FFF2-40B4-BE49-F238E27FC236}">
              <a16:creationId xmlns:a16="http://schemas.microsoft.com/office/drawing/2014/main" id="{754B8D9E-3135-4510-3663-85CAAA3715A4}"/>
            </a:ext>
          </a:extLst>
        </xdr:cNvPr>
        <xdr:cNvSpPr txBox="1">
          <a:spLocks noChangeArrowheads="1"/>
        </xdr:cNvSpPr>
      </xdr:nvSpPr>
      <xdr:spPr bwMode="auto">
        <a:xfrm>
          <a:off x="7835748" y="275641252"/>
          <a:ext cx="1794617" cy="2881236"/>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79677</xdr:colOff>
      <xdr:row>1552</xdr:row>
      <xdr:rowOff>123825</xdr:rowOff>
    </xdr:from>
    <xdr:to>
      <xdr:col>15</xdr:col>
      <xdr:colOff>610342</xdr:colOff>
      <xdr:row>1567</xdr:row>
      <xdr:rowOff>23586</xdr:rowOff>
    </xdr:to>
    <xdr:sp macro="" textlink="">
      <xdr:nvSpPr>
        <xdr:cNvPr id="49365" name="Text Box 213">
          <a:extLst>
            <a:ext uri="{FF2B5EF4-FFF2-40B4-BE49-F238E27FC236}">
              <a16:creationId xmlns:a16="http://schemas.microsoft.com/office/drawing/2014/main" id="{A9301E64-16EC-B6BB-6B89-F9C0BBA22F35}"/>
            </a:ext>
          </a:extLst>
        </xdr:cNvPr>
        <xdr:cNvSpPr txBox="1">
          <a:spLocks noChangeArrowheads="1"/>
        </xdr:cNvSpPr>
      </xdr:nvSpPr>
      <xdr:spPr bwMode="auto">
        <a:xfrm>
          <a:off x="7835748" y="285734729"/>
          <a:ext cx="1794617" cy="2881238"/>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editAs="oneCell">
    <xdr:from>
      <xdr:col>13</xdr:col>
      <xdr:colOff>176439</xdr:colOff>
      <xdr:row>1606</xdr:row>
      <xdr:rowOff>123523</xdr:rowOff>
    </xdr:from>
    <xdr:to>
      <xdr:col>16</xdr:col>
      <xdr:colOff>75127</xdr:colOff>
      <xdr:row>1621</xdr:row>
      <xdr:rowOff>49137</xdr:rowOff>
    </xdr:to>
    <xdr:sp macro="" textlink="">
      <xdr:nvSpPr>
        <xdr:cNvPr id="49366" name="Text Box 214">
          <a:extLst>
            <a:ext uri="{FF2B5EF4-FFF2-40B4-BE49-F238E27FC236}">
              <a16:creationId xmlns:a16="http://schemas.microsoft.com/office/drawing/2014/main" id="{7896D3B2-7E5D-BF27-98FD-81E52C240181}"/>
            </a:ext>
          </a:extLst>
        </xdr:cNvPr>
        <xdr:cNvSpPr txBox="1">
          <a:spLocks noChangeArrowheads="1"/>
        </xdr:cNvSpPr>
      </xdr:nvSpPr>
      <xdr:spPr bwMode="auto">
        <a:xfrm>
          <a:off x="7932510" y="295694856"/>
          <a:ext cx="1794617" cy="2873829"/>
        </a:xfrm>
        <a:prstGeom prst="rect">
          <a:avLst/>
        </a:prstGeom>
        <a:noFill/>
        <a:ln w="9525">
          <a:noFill/>
          <a:miter lim="800000"/>
          <a:headEnd/>
          <a:tailEnd/>
        </a:ln>
      </xdr:spPr>
      <xdr:txBody>
        <a:bodyPr vertOverflow="clip" wrap="square" lIns="36576" tIns="27432" rIns="0" bIns="0" anchor="t" upright="1"/>
        <a:lstStyle/>
        <a:p>
          <a:pPr algn="l" rtl="0">
            <a:defRPr sz="1000"/>
          </a:pPr>
          <a:r>
            <a:rPr lang="en-CA" sz="1400" b="0" i="0" u="none" strike="noStrike" baseline="0">
              <a:solidFill>
                <a:srgbClr val="3366FF"/>
              </a:solidFill>
              <a:latin typeface="Arial"/>
              <a:cs typeface="Arial"/>
            </a:rPr>
            <a:t>Scroll up to see previous day's reports, or scroll down for the next day, and subsequent days.</a:t>
          </a:r>
        </a:p>
      </xdr:txBody>
    </xdr:sp>
    <xdr:clientData/>
  </xdr:twoCellAnchor>
  <xdr:twoCellAnchor>
    <xdr:from>
      <xdr:col>13</xdr:col>
      <xdr:colOff>31296</xdr:colOff>
      <xdr:row>31</xdr:row>
      <xdr:rowOff>50346</xdr:rowOff>
    </xdr:from>
    <xdr:to>
      <xdr:col>16</xdr:col>
      <xdr:colOff>394596</xdr:colOff>
      <xdr:row>39</xdr:row>
      <xdr:rowOff>47626</xdr:rowOff>
    </xdr:to>
    <xdr:sp macro="" textlink="">
      <xdr:nvSpPr>
        <xdr:cNvPr id="49367" name="Text Box 215">
          <a:extLst>
            <a:ext uri="{FF2B5EF4-FFF2-40B4-BE49-F238E27FC236}">
              <a16:creationId xmlns:a16="http://schemas.microsoft.com/office/drawing/2014/main" id="{47694A14-276B-EF2B-7C33-F31A4D228B00}"/>
            </a:ext>
          </a:extLst>
        </xdr:cNvPr>
        <xdr:cNvSpPr txBox="1">
          <a:spLocks noChangeArrowheads="1"/>
        </xdr:cNvSpPr>
      </xdr:nvSpPr>
      <xdr:spPr bwMode="auto">
        <a:xfrm>
          <a:off x="7505700" y="55816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13</xdr:col>
      <xdr:colOff>31296</xdr:colOff>
      <xdr:row>83</xdr:row>
      <xdr:rowOff>50346</xdr:rowOff>
    </xdr:from>
    <xdr:to>
      <xdr:col>16</xdr:col>
      <xdr:colOff>394596</xdr:colOff>
      <xdr:row>91</xdr:row>
      <xdr:rowOff>47626</xdr:rowOff>
    </xdr:to>
    <xdr:sp macro="" textlink="">
      <xdr:nvSpPr>
        <xdr:cNvPr id="49368" name="Text Box 216">
          <a:extLst>
            <a:ext uri="{FF2B5EF4-FFF2-40B4-BE49-F238E27FC236}">
              <a16:creationId xmlns:a16="http://schemas.microsoft.com/office/drawing/2014/main" id="{C3EE23A3-A0B7-3FC3-3A41-3EF713CACD14}"/>
            </a:ext>
          </a:extLst>
        </xdr:cNvPr>
        <xdr:cNvSpPr txBox="1">
          <a:spLocks noChangeArrowheads="1"/>
        </xdr:cNvSpPr>
      </xdr:nvSpPr>
      <xdr:spPr bwMode="auto">
        <a:xfrm>
          <a:off x="7505700" y="148590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13</xdr:col>
      <xdr:colOff>31296</xdr:colOff>
      <xdr:row>141</xdr:row>
      <xdr:rowOff>50346</xdr:rowOff>
    </xdr:from>
    <xdr:to>
      <xdr:col>16</xdr:col>
      <xdr:colOff>394596</xdr:colOff>
      <xdr:row>149</xdr:row>
      <xdr:rowOff>50346</xdr:rowOff>
    </xdr:to>
    <xdr:sp macro="" textlink="">
      <xdr:nvSpPr>
        <xdr:cNvPr id="49369" name="Text Box 217">
          <a:extLst>
            <a:ext uri="{FF2B5EF4-FFF2-40B4-BE49-F238E27FC236}">
              <a16:creationId xmlns:a16="http://schemas.microsoft.com/office/drawing/2014/main" id="{68A737D1-1538-F494-24EA-ACA28489B4A1}"/>
            </a:ext>
          </a:extLst>
        </xdr:cNvPr>
        <xdr:cNvSpPr txBox="1">
          <a:spLocks noChangeArrowheads="1"/>
        </xdr:cNvSpPr>
      </xdr:nvSpPr>
      <xdr:spPr bwMode="auto">
        <a:xfrm>
          <a:off x="7505700" y="252793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13</xdr:col>
      <xdr:colOff>31296</xdr:colOff>
      <xdr:row>196</xdr:row>
      <xdr:rowOff>50346</xdr:rowOff>
    </xdr:from>
    <xdr:to>
      <xdr:col>16</xdr:col>
      <xdr:colOff>394596</xdr:colOff>
      <xdr:row>204</xdr:row>
      <xdr:rowOff>47626</xdr:rowOff>
    </xdr:to>
    <xdr:sp macro="" textlink="">
      <xdr:nvSpPr>
        <xdr:cNvPr id="49370" name="Text Box 218">
          <a:extLst>
            <a:ext uri="{FF2B5EF4-FFF2-40B4-BE49-F238E27FC236}">
              <a16:creationId xmlns:a16="http://schemas.microsoft.com/office/drawing/2014/main" id="{8D62D41D-5E02-B599-06AC-D8753BFD498C}"/>
            </a:ext>
          </a:extLst>
        </xdr:cNvPr>
        <xdr:cNvSpPr txBox="1">
          <a:spLocks noChangeArrowheads="1"/>
        </xdr:cNvSpPr>
      </xdr:nvSpPr>
      <xdr:spPr bwMode="auto">
        <a:xfrm>
          <a:off x="7505700" y="351282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250</xdr:row>
      <xdr:rowOff>50346</xdr:rowOff>
    </xdr:from>
    <xdr:to>
      <xdr:col>17</xdr:col>
      <xdr:colOff>394610</xdr:colOff>
      <xdr:row>258</xdr:row>
      <xdr:rowOff>50346</xdr:rowOff>
    </xdr:to>
    <xdr:sp macro="" textlink="">
      <xdr:nvSpPr>
        <xdr:cNvPr id="49371" name="Text Box 219">
          <a:extLst>
            <a:ext uri="{FF2B5EF4-FFF2-40B4-BE49-F238E27FC236}">
              <a16:creationId xmlns:a16="http://schemas.microsoft.com/office/drawing/2014/main" id="{1F4EA902-B145-9772-AFC6-34ACFCC0C7F0}"/>
            </a:ext>
          </a:extLst>
        </xdr:cNvPr>
        <xdr:cNvSpPr txBox="1">
          <a:spLocks noChangeArrowheads="1"/>
        </xdr:cNvSpPr>
      </xdr:nvSpPr>
      <xdr:spPr bwMode="auto">
        <a:xfrm>
          <a:off x="8115300" y="447865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304</xdr:row>
      <xdr:rowOff>47625</xdr:rowOff>
    </xdr:from>
    <xdr:to>
      <xdr:col>17</xdr:col>
      <xdr:colOff>394610</xdr:colOff>
      <xdr:row>312</xdr:row>
      <xdr:rowOff>47625</xdr:rowOff>
    </xdr:to>
    <xdr:sp macro="" textlink="">
      <xdr:nvSpPr>
        <xdr:cNvPr id="49372" name="Text Box 220">
          <a:extLst>
            <a:ext uri="{FF2B5EF4-FFF2-40B4-BE49-F238E27FC236}">
              <a16:creationId xmlns:a16="http://schemas.microsoft.com/office/drawing/2014/main" id="{CBB08980-8CD2-DDF7-E509-0FDEC1432B87}"/>
            </a:ext>
          </a:extLst>
        </xdr:cNvPr>
        <xdr:cNvSpPr txBox="1">
          <a:spLocks noChangeArrowheads="1"/>
        </xdr:cNvSpPr>
      </xdr:nvSpPr>
      <xdr:spPr bwMode="auto">
        <a:xfrm>
          <a:off x="8115300" y="544449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13</xdr:col>
      <xdr:colOff>31296</xdr:colOff>
      <xdr:row>358</xdr:row>
      <xdr:rowOff>50346</xdr:rowOff>
    </xdr:from>
    <xdr:to>
      <xdr:col>16</xdr:col>
      <xdr:colOff>394596</xdr:colOff>
      <xdr:row>366</xdr:row>
      <xdr:rowOff>50346</xdr:rowOff>
    </xdr:to>
    <xdr:sp macro="" textlink="">
      <xdr:nvSpPr>
        <xdr:cNvPr id="49373" name="Text Box 221">
          <a:extLst>
            <a:ext uri="{FF2B5EF4-FFF2-40B4-BE49-F238E27FC236}">
              <a16:creationId xmlns:a16="http://schemas.microsoft.com/office/drawing/2014/main" id="{F5C0FB2D-2E80-ED38-8E59-FF3752318AF6}"/>
            </a:ext>
          </a:extLst>
        </xdr:cNvPr>
        <xdr:cNvSpPr txBox="1">
          <a:spLocks noChangeArrowheads="1"/>
        </xdr:cNvSpPr>
      </xdr:nvSpPr>
      <xdr:spPr bwMode="auto">
        <a:xfrm>
          <a:off x="7505700" y="641032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414</xdr:row>
      <xdr:rowOff>50346</xdr:rowOff>
    </xdr:from>
    <xdr:to>
      <xdr:col>17</xdr:col>
      <xdr:colOff>394610</xdr:colOff>
      <xdr:row>422</xdr:row>
      <xdr:rowOff>50346</xdr:rowOff>
    </xdr:to>
    <xdr:sp macro="" textlink="">
      <xdr:nvSpPr>
        <xdr:cNvPr id="49374" name="Text Box 222">
          <a:extLst>
            <a:ext uri="{FF2B5EF4-FFF2-40B4-BE49-F238E27FC236}">
              <a16:creationId xmlns:a16="http://schemas.microsoft.com/office/drawing/2014/main" id="{B687E561-D9E8-BFFE-DB6D-43F7A3958073}"/>
            </a:ext>
          </a:extLst>
        </xdr:cNvPr>
        <xdr:cNvSpPr txBox="1">
          <a:spLocks noChangeArrowheads="1"/>
        </xdr:cNvSpPr>
      </xdr:nvSpPr>
      <xdr:spPr bwMode="auto">
        <a:xfrm>
          <a:off x="8115300" y="741426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469</xdr:row>
      <xdr:rowOff>47625</xdr:rowOff>
    </xdr:from>
    <xdr:to>
      <xdr:col>17</xdr:col>
      <xdr:colOff>394610</xdr:colOff>
      <xdr:row>477</xdr:row>
      <xdr:rowOff>47625</xdr:rowOff>
    </xdr:to>
    <xdr:sp macro="" textlink="">
      <xdr:nvSpPr>
        <xdr:cNvPr id="49375" name="Text Box 223">
          <a:extLst>
            <a:ext uri="{FF2B5EF4-FFF2-40B4-BE49-F238E27FC236}">
              <a16:creationId xmlns:a16="http://schemas.microsoft.com/office/drawing/2014/main" id="{2EDB2A3E-2B50-7507-0380-B7F38BBFCC22}"/>
            </a:ext>
          </a:extLst>
        </xdr:cNvPr>
        <xdr:cNvSpPr txBox="1">
          <a:spLocks noChangeArrowheads="1"/>
        </xdr:cNvSpPr>
      </xdr:nvSpPr>
      <xdr:spPr bwMode="auto">
        <a:xfrm>
          <a:off x="8115300" y="839914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525</xdr:row>
      <xdr:rowOff>47625</xdr:rowOff>
    </xdr:from>
    <xdr:to>
      <xdr:col>17</xdr:col>
      <xdr:colOff>394610</xdr:colOff>
      <xdr:row>533</xdr:row>
      <xdr:rowOff>47625</xdr:rowOff>
    </xdr:to>
    <xdr:sp macro="" textlink="">
      <xdr:nvSpPr>
        <xdr:cNvPr id="49376" name="Text Box 224">
          <a:extLst>
            <a:ext uri="{FF2B5EF4-FFF2-40B4-BE49-F238E27FC236}">
              <a16:creationId xmlns:a16="http://schemas.microsoft.com/office/drawing/2014/main" id="{D6B45DEE-6871-4079-2E90-362919150D7E}"/>
            </a:ext>
          </a:extLst>
        </xdr:cNvPr>
        <xdr:cNvSpPr txBox="1">
          <a:spLocks noChangeArrowheads="1"/>
        </xdr:cNvSpPr>
      </xdr:nvSpPr>
      <xdr:spPr bwMode="auto">
        <a:xfrm>
          <a:off x="8115300" y="940308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578</xdr:row>
      <xdr:rowOff>50346</xdr:rowOff>
    </xdr:from>
    <xdr:to>
      <xdr:col>17</xdr:col>
      <xdr:colOff>394610</xdr:colOff>
      <xdr:row>586</xdr:row>
      <xdr:rowOff>47626</xdr:rowOff>
    </xdr:to>
    <xdr:sp macro="" textlink="">
      <xdr:nvSpPr>
        <xdr:cNvPr id="49377" name="Text Box 225">
          <a:extLst>
            <a:ext uri="{FF2B5EF4-FFF2-40B4-BE49-F238E27FC236}">
              <a16:creationId xmlns:a16="http://schemas.microsoft.com/office/drawing/2014/main" id="{FE8D6C1B-AF9F-9525-705B-65D54AE88541}"/>
            </a:ext>
          </a:extLst>
        </xdr:cNvPr>
        <xdr:cNvSpPr txBox="1">
          <a:spLocks noChangeArrowheads="1"/>
        </xdr:cNvSpPr>
      </xdr:nvSpPr>
      <xdr:spPr bwMode="auto">
        <a:xfrm>
          <a:off x="8115300" y="1034986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634</xdr:row>
      <xdr:rowOff>47625</xdr:rowOff>
    </xdr:from>
    <xdr:to>
      <xdr:col>17</xdr:col>
      <xdr:colOff>394610</xdr:colOff>
      <xdr:row>642</xdr:row>
      <xdr:rowOff>47625</xdr:rowOff>
    </xdr:to>
    <xdr:sp macro="" textlink="">
      <xdr:nvSpPr>
        <xdr:cNvPr id="49378" name="Text Box 226">
          <a:extLst>
            <a:ext uri="{FF2B5EF4-FFF2-40B4-BE49-F238E27FC236}">
              <a16:creationId xmlns:a16="http://schemas.microsoft.com/office/drawing/2014/main" id="{E4B26827-FB1B-B9A5-C929-1DFA4EA71828}"/>
            </a:ext>
          </a:extLst>
        </xdr:cNvPr>
        <xdr:cNvSpPr txBox="1">
          <a:spLocks noChangeArrowheads="1"/>
        </xdr:cNvSpPr>
      </xdr:nvSpPr>
      <xdr:spPr bwMode="auto">
        <a:xfrm>
          <a:off x="8115300" y="1135380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690</xdr:row>
      <xdr:rowOff>47625</xdr:rowOff>
    </xdr:from>
    <xdr:to>
      <xdr:col>17</xdr:col>
      <xdr:colOff>394610</xdr:colOff>
      <xdr:row>698</xdr:row>
      <xdr:rowOff>47625</xdr:rowOff>
    </xdr:to>
    <xdr:sp macro="" textlink="">
      <xdr:nvSpPr>
        <xdr:cNvPr id="49379" name="Text Box 227">
          <a:extLst>
            <a:ext uri="{FF2B5EF4-FFF2-40B4-BE49-F238E27FC236}">
              <a16:creationId xmlns:a16="http://schemas.microsoft.com/office/drawing/2014/main" id="{2F6DC75A-FE8D-E471-6793-FF661B5B4BE1}"/>
            </a:ext>
          </a:extLst>
        </xdr:cNvPr>
        <xdr:cNvSpPr txBox="1">
          <a:spLocks noChangeArrowheads="1"/>
        </xdr:cNvSpPr>
      </xdr:nvSpPr>
      <xdr:spPr bwMode="auto">
        <a:xfrm>
          <a:off x="8115300" y="1235773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744</xdr:row>
      <xdr:rowOff>50346</xdr:rowOff>
    </xdr:from>
    <xdr:to>
      <xdr:col>17</xdr:col>
      <xdr:colOff>394610</xdr:colOff>
      <xdr:row>752</xdr:row>
      <xdr:rowOff>50346</xdr:rowOff>
    </xdr:to>
    <xdr:sp macro="" textlink="">
      <xdr:nvSpPr>
        <xdr:cNvPr id="49380" name="Text Box 228">
          <a:extLst>
            <a:ext uri="{FF2B5EF4-FFF2-40B4-BE49-F238E27FC236}">
              <a16:creationId xmlns:a16="http://schemas.microsoft.com/office/drawing/2014/main" id="{77070080-7B0C-7F9F-1DD0-2E626B51BB46}"/>
            </a:ext>
          </a:extLst>
        </xdr:cNvPr>
        <xdr:cNvSpPr txBox="1">
          <a:spLocks noChangeArrowheads="1"/>
        </xdr:cNvSpPr>
      </xdr:nvSpPr>
      <xdr:spPr bwMode="auto">
        <a:xfrm>
          <a:off x="8115300" y="1332357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799</xdr:row>
      <xdr:rowOff>47625</xdr:rowOff>
    </xdr:from>
    <xdr:to>
      <xdr:col>17</xdr:col>
      <xdr:colOff>394610</xdr:colOff>
      <xdr:row>807</xdr:row>
      <xdr:rowOff>47625</xdr:rowOff>
    </xdr:to>
    <xdr:sp macro="" textlink="">
      <xdr:nvSpPr>
        <xdr:cNvPr id="49381" name="Text Box 229">
          <a:extLst>
            <a:ext uri="{FF2B5EF4-FFF2-40B4-BE49-F238E27FC236}">
              <a16:creationId xmlns:a16="http://schemas.microsoft.com/office/drawing/2014/main" id="{949A7249-9A85-2824-A2B7-B19077DE7CA9}"/>
            </a:ext>
          </a:extLst>
        </xdr:cNvPr>
        <xdr:cNvSpPr txBox="1">
          <a:spLocks noChangeArrowheads="1"/>
        </xdr:cNvSpPr>
      </xdr:nvSpPr>
      <xdr:spPr bwMode="auto">
        <a:xfrm>
          <a:off x="8115300" y="1430845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854</xdr:row>
      <xdr:rowOff>47625</xdr:rowOff>
    </xdr:from>
    <xdr:to>
      <xdr:col>17</xdr:col>
      <xdr:colOff>394610</xdr:colOff>
      <xdr:row>862</xdr:row>
      <xdr:rowOff>50350</xdr:rowOff>
    </xdr:to>
    <xdr:sp macro="" textlink="">
      <xdr:nvSpPr>
        <xdr:cNvPr id="49382" name="Text Box 230">
          <a:extLst>
            <a:ext uri="{FF2B5EF4-FFF2-40B4-BE49-F238E27FC236}">
              <a16:creationId xmlns:a16="http://schemas.microsoft.com/office/drawing/2014/main" id="{CE0174BF-B2BA-A49B-D771-376EDB51BE2C}"/>
            </a:ext>
          </a:extLst>
        </xdr:cNvPr>
        <xdr:cNvSpPr txBox="1">
          <a:spLocks noChangeArrowheads="1"/>
        </xdr:cNvSpPr>
      </xdr:nvSpPr>
      <xdr:spPr bwMode="auto">
        <a:xfrm>
          <a:off x="8115300" y="1529334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908</xdr:row>
      <xdr:rowOff>50346</xdr:rowOff>
    </xdr:from>
    <xdr:to>
      <xdr:col>17</xdr:col>
      <xdr:colOff>394610</xdr:colOff>
      <xdr:row>916</xdr:row>
      <xdr:rowOff>47626</xdr:rowOff>
    </xdr:to>
    <xdr:sp macro="" textlink="">
      <xdr:nvSpPr>
        <xdr:cNvPr id="49383" name="Text Box 231">
          <a:extLst>
            <a:ext uri="{FF2B5EF4-FFF2-40B4-BE49-F238E27FC236}">
              <a16:creationId xmlns:a16="http://schemas.microsoft.com/office/drawing/2014/main" id="{BB0CFDDC-3DC5-272C-D923-90569AC3FCC3}"/>
            </a:ext>
          </a:extLst>
        </xdr:cNvPr>
        <xdr:cNvSpPr txBox="1">
          <a:spLocks noChangeArrowheads="1"/>
        </xdr:cNvSpPr>
      </xdr:nvSpPr>
      <xdr:spPr bwMode="auto">
        <a:xfrm>
          <a:off x="8115300" y="1625917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963</xdr:row>
      <xdr:rowOff>47625</xdr:rowOff>
    </xdr:from>
    <xdr:to>
      <xdr:col>17</xdr:col>
      <xdr:colOff>394610</xdr:colOff>
      <xdr:row>971</xdr:row>
      <xdr:rowOff>50350</xdr:rowOff>
    </xdr:to>
    <xdr:sp macro="" textlink="">
      <xdr:nvSpPr>
        <xdr:cNvPr id="49384" name="Text Box 232">
          <a:extLst>
            <a:ext uri="{FF2B5EF4-FFF2-40B4-BE49-F238E27FC236}">
              <a16:creationId xmlns:a16="http://schemas.microsoft.com/office/drawing/2014/main" id="{E9C555FE-4984-0287-6B84-C7B477EB7D3D}"/>
            </a:ext>
          </a:extLst>
        </xdr:cNvPr>
        <xdr:cNvSpPr txBox="1">
          <a:spLocks noChangeArrowheads="1"/>
        </xdr:cNvSpPr>
      </xdr:nvSpPr>
      <xdr:spPr bwMode="auto">
        <a:xfrm>
          <a:off x="8115300" y="1724406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1020</xdr:row>
      <xdr:rowOff>47625</xdr:rowOff>
    </xdr:from>
    <xdr:to>
      <xdr:col>17</xdr:col>
      <xdr:colOff>394610</xdr:colOff>
      <xdr:row>1028</xdr:row>
      <xdr:rowOff>47625</xdr:rowOff>
    </xdr:to>
    <xdr:sp macro="" textlink="">
      <xdr:nvSpPr>
        <xdr:cNvPr id="49385" name="Text Box 233">
          <a:extLst>
            <a:ext uri="{FF2B5EF4-FFF2-40B4-BE49-F238E27FC236}">
              <a16:creationId xmlns:a16="http://schemas.microsoft.com/office/drawing/2014/main" id="{3E13FC28-A4BA-F5F6-E7A7-ECBF632C2FDA}"/>
            </a:ext>
          </a:extLst>
        </xdr:cNvPr>
        <xdr:cNvSpPr txBox="1">
          <a:spLocks noChangeArrowheads="1"/>
        </xdr:cNvSpPr>
      </xdr:nvSpPr>
      <xdr:spPr bwMode="auto">
        <a:xfrm>
          <a:off x="8115300" y="1826704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1074</xdr:row>
      <xdr:rowOff>50346</xdr:rowOff>
    </xdr:from>
    <xdr:to>
      <xdr:col>17</xdr:col>
      <xdr:colOff>394610</xdr:colOff>
      <xdr:row>1082</xdr:row>
      <xdr:rowOff>50346</xdr:rowOff>
    </xdr:to>
    <xdr:sp macro="" textlink="">
      <xdr:nvSpPr>
        <xdr:cNvPr id="49386" name="Text Box 234">
          <a:extLst>
            <a:ext uri="{FF2B5EF4-FFF2-40B4-BE49-F238E27FC236}">
              <a16:creationId xmlns:a16="http://schemas.microsoft.com/office/drawing/2014/main" id="{2A2F751B-561C-B7FA-1A18-016B17E5D4CE}"/>
            </a:ext>
          </a:extLst>
        </xdr:cNvPr>
        <xdr:cNvSpPr txBox="1">
          <a:spLocks noChangeArrowheads="1"/>
        </xdr:cNvSpPr>
      </xdr:nvSpPr>
      <xdr:spPr bwMode="auto">
        <a:xfrm>
          <a:off x="8115300" y="1923288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1129</xdr:row>
      <xdr:rowOff>47625</xdr:rowOff>
    </xdr:from>
    <xdr:to>
      <xdr:col>17</xdr:col>
      <xdr:colOff>394610</xdr:colOff>
      <xdr:row>1137</xdr:row>
      <xdr:rowOff>47625</xdr:rowOff>
    </xdr:to>
    <xdr:sp macro="" textlink="">
      <xdr:nvSpPr>
        <xdr:cNvPr id="49387" name="Text Box 235">
          <a:extLst>
            <a:ext uri="{FF2B5EF4-FFF2-40B4-BE49-F238E27FC236}">
              <a16:creationId xmlns:a16="http://schemas.microsoft.com/office/drawing/2014/main" id="{E4957E24-0DB4-2A7A-E324-F7F9995FF700}"/>
            </a:ext>
          </a:extLst>
        </xdr:cNvPr>
        <xdr:cNvSpPr txBox="1">
          <a:spLocks noChangeArrowheads="1"/>
        </xdr:cNvSpPr>
      </xdr:nvSpPr>
      <xdr:spPr bwMode="auto">
        <a:xfrm>
          <a:off x="8115300" y="2021776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1183</xdr:row>
      <xdr:rowOff>50346</xdr:rowOff>
    </xdr:from>
    <xdr:to>
      <xdr:col>17</xdr:col>
      <xdr:colOff>394610</xdr:colOff>
      <xdr:row>1191</xdr:row>
      <xdr:rowOff>50346</xdr:rowOff>
    </xdr:to>
    <xdr:sp macro="" textlink="">
      <xdr:nvSpPr>
        <xdr:cNvPr id="49388" name="Text Box 236">
          <a:extLst>
            <a:ext uri="{FF2B5EF4-FFF2-40B4-BE49-F238E27FC236}">
              <a16:creationId xmlns:a16="http://schemas.microsoft.com/office/drawing/2014/main" id="{0A331911-4B27-AFDD-6249-037E4F12B380}"/>
            </a:ext>
          </a:extLst>
        </xdr:cNvPr>
        <xdr:cNvSpPr txBox="1">
          <a:spLocks noChangeArrowheads="1"/>
        </xdr:cNvSpPr>
      </xdr:nvSpPr>
      <xdr:spPr bwMode="auto">
        <a:xfrm>
          <a:off x="8115300" y="2118360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1238</xdr:row>
      <xdr:rowOff>50346</xdr:rowOff>
    </xdr:from>
    <xdr:to>
      <xdr:col>17</xdr:col>
      <xdr:colOff>394610</xdr:colOff>
      <xdr:row>1246</xdr:row>
      <xdr:rowOff>47626</xdr:rowOff>
    </xdr:to>
    <xdr:sp macro="" textlink="">
      <xdr:nvSpPr>
        <xdr:cNvPr id="49389" name="Text Box 237">
          <a:extLst>
            <a:ext uri="{FF2B5EF4-FFF2-40B4-BE49-F238E27FC236}">
              <a16:creationId xmlns:a16="http://schemas.microsoft.com/office/drawing/2014/main" id="{5701FD2B-796E-EE3D-694A-658DBAB5FB86}"/>
            </a:ext>
          </a:extLst>
        </xdr:cNvPr>
        <xdr:cNvSpPr txBox="1">
          <a:spLocks noChangeArrowheads="1"/>
        </xdr:cNvSpPr>
      </xdr:nvSpPr>
      <xdr:spPr bwMode="auto">
        <a:xfrm>
          <a:off x="8115300" y="2216848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1292</xdr:row>
      <xdr:rowOff>50346</xdr:rowOff>
    </xdr:from>
    <xdr:to>
      <xdr:col>17</xdr:col>
      <xdr:colOff>394610</xdr:colOff>
      <xdr:row>1300</xdr:row>
      <xdr:rowOff>50346</xdr:rowOff>
    </xdr:to>
    <xdr:sp macro="" textlink="">
      <xdr:nvSpPr>
        <xdr:cNvPr id="49390" name="Text Box 238">
          <a:extLst>
            <a:ext uri="{FF2B5EF4-FFF2-40B4-BE49-F238E27FC236}">
              <a16:creationId xmlns:a16="http://schemas.microsoft.com/office/drawing/2014/main" id="{2A5CD60B-A982-CDFA-6FE8-BEE91FBCB3DF}"/>
            </a:ext>
          </a:extLst>
        </xdr:cNvPr>
        <xdr:cNvSpPr txBox="1">
          <a:spLocks noChangeArrowheads="1"/>
        </xdr:cNvSpPr>
      </xdr:nvSpPr>
      <xdr:spPr bwMode="auto">
        <a:xfrm>
          <a:off x="8115300" y="2313432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1349</xdr:row>
      <xdr:rowOff>47625</xdr:rowOff>
    </xdr:from>
    <xdr:to>
      <xdr:col>17</xdr:col>
      <xdr:colOff>394610</xdr:colOff>
      <xdr:row>1357</xdr:row>
      <xdr:rowOff>50350</xdr:rowOff>
    </xdr:to>
    <xdr:sp macro="" textlink="">
      <xdr:nvSpPr>
        <xdr:cNvPr id="49391" name="Text Box 239">
          <a:extLst>
            <a:ext uri="{FF2B5EF4-FFF2-40B4-BE49-F238E27FC236}">
              <a16:creationId xmlns:a16="http://schemas.microsoft.com/office/drawing/2014/main" id="{26832F48-6C68-10C6-D565-6D06D3AC6C31}"/>
            </a:ext>
          </a:extLst>
        </xdr:cNvPr>
        <xdr:cNvSpPr txBox="1">
          <a:spLocks noChangeArrowheads="1"/>
        </xdr:cNvSpPr>
      </xdr:nvSpPr>
      <xdr:spPr bwMode="auto">
        <a:xfrm>
          <a:off x="8115300" y="2415730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1403</xdr:row>
      <xdr:rowOff>50346</xdr:rowOff>
    </xdr:from>
    <xdr:to>
      <xdr:col>17</xdr:col>
      <xdr:colOff>394610</xdr:colOff>
      <xdr:row>1411</xdr:row>
      <xdr:rowOff>47626</xdr:rowOff>
    </xdr:to>
    <xdr:sp macro="" textlink="">
      <xdr:nvSpPr>
        <xdr:cNvPr id="49392" name="Text Box 240">
          <a:extLst>
            <a:ext uri="{FF2B5EF4-FFF2-40B4-BE49-F238E27FC236}">
              <a16:creationId xmlns:a16="http://schemas.microsoft.com/office/drawing/2014/main" id="{301EC486-89A1-8BE3-ACB9-802D523CD770}"/>
            </a:ext>
          </a:extLst>
        </xdr:cNvPr>
        <xdr:cNvSpPr txBox="1">
          <a:spLocks noChangeArrowheads="1"/>
        </xdr:cNvSpPr>
      </xdr:nvSpPr>
      <xdr:spPr bwMode="auto">
        <a:xfrm>
          <a:off x="8115300" y="2512314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1459</xdr:row>
      <xdr:rowOff>47625</xdr:rowOff>
    </xdr:from>
    <xdr:to>
      <xdr:col>17</xdr:col>
      <xdr:colOff>394610</xdr:colOff>
      <xdr:row>1467</xdr:row>
      <xdr:rowOff>47625</xdr:rowOff>
    </xdr:to>
    <xdr:sp macro="" textlink="">
      <xdr:nvSpPr>
        <xdr:cNvPr id="49393" name="Text Box 241">
          <a:extLst>
            <a:ext uri="{FF2B5EF4-FFF2-40B4-BE49-F238E27FC236}">
              <a16:creationId xmlns:a16="http://schemas.microsoft.com/office/drawing/2014/main" id="{DF2BE3F4-8083-797C-92D1-CD6EAF7903E3}"/>
            </a:ext>
          </a:extLst>
        </xdr:cNvPr>
        <xdr:cNvSpPr txBox="1">
          <a:spLocks noChangeArrowheads="1"/>
        </xdr:cNvSpPr>
      </xdr:nvSpPr>
      <xdr:spPr bwMode="auto">
        <a:xfrm>
          <a:off x="8115300" y="2612707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1514</xdr:row>
      <xdr:rowOff>47625</xdr:rowOff>
    </xdr:from>
    <xdr:to>
      <xdr:col>17</xdr:col>
      <xdr:colOff>394610</xdr:colOff>
      <xdr:row>1522</xdr:row>
      <xdr:rowOff>50350</xdr:rowOff>
    </xdr:to>
    <xdr:sp macro="" textlink="">
      <xdr:nvSpPr>
        <xdr:cNvPr id="49394" name="Text Box 242">
          <a:extLst>
            <a:ext uri="{FF2B5EF4-FFF2-40B4-BE49-F238E27FC236}">
              <a16:creationId xmlns:a16="http://schemas.microsoft.com/office/drawing/2014/main" id="{06BD8B99-D286-E822-8153-AB311F66BAD4}"/>
            </a:ext>
          </a:extLst>
        </xdr:cNvPr>
        <xdr:cNvSpPr txBox="1">
          <a:spLocks noChangeArrowheads="1"/>
        </xdr:cNvSpPr>
      </xdr:nvSpPr>
      <xdr:spPr bwMode="auto">
        <a:xfrm>
          <a:off x="8115300" y="2711196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1569</xdr:row>
      <xdr:rowOff>50346</xdr:rowOff>
    </xdr:from>
    <xdr:to>
      <xdr:col>17</xdr:col>
      <xdr:colOff>394610</xdr:colOff>
      <xdr:row>1577</xdr:row>
      <xdr:rowOff>50346</xdr:rowOff>
    </xdr:to>
    <xdr:sp macro="" textlink="">
      <xdr:nvSpPr>
        <xdr:cNvPr id="49395" name="Text Box 243">
          <a:extLst>
            <a:ext uri="{FF2B5EF4-FFF2-40B4-BE49-F238E27FC236}">
              <a16:creationId xmlns:a16="http://schemas.microsoft.com/office/drawing/2014/main" id="{CB0459EB-5319-AE21-08C2-4D37907B28C9}"/>
            </a:ext>
          </a:extLst>
        </xdr:cNvPr>
        <xdr:cNvSpPr txBox="1">
          <a:spLocks noChangeArrowheads="1"/>
        </xdr:cNvSpPr>
      </xdr:nvSpPr>
      <xdr:spPr bwMode="auto">
        <a:xfrm>
          <a:off x="8115300" y="28096845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xdr:twoCellAnchor>
    <xdr:from>
      <xdr:col>14</xdr:col>
      <xdr:colOff>28575</xdr:colOff>
      <xdr:row>1623</xdr:row>
      <xdr:rowOff>47625</xdr:rowOff>
    </xdr:from>
    <xdr:to>
      <xdr:col>17</xdr:col>
      <xdr:colOff>394610</xdr:colOff>
      <xdr:row>1631</xdr:row>
      <xdr:rowOff>50350</xdr:rowOff>
    </xdr:to>
    <xdr:sp macro="" textlink="">
      <xdr:nvSpPr>
        <xdr:cNvPr id="49396" name="Text Box 244">
          <a:extLst>
            <a:ext uri="{FF2B5EF4-FFF2-40B4-BE49-F238E27FC236}">
              <a16:creationId xmlns:a16="http://schemas.microsoft.com/office/drawing/2014/main" id="{84B3FAC1-AEAF-066E-8277-0A10688C8355}"/>
            </a:ext>
          </a:extLst>
        </xdr:cNvPr>
        <xdr:cNvSpPr txBox="1">
          <a:spLocks noChangeArrowheads="1"/>
        </xdr:cNvSpPr>
      </xdr:nvSpPr>
      <xdr:spPr bwMode="auto">
        <a:xfrm>
          <a:off x="8115300" y="290626800"/>
          <a:ext cx="2181225" cy="152400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CA" sz="1600" b="0" i="0" u="none" strike="noStrike" baseline="0">
              <a:solidFill>
                <a:srgbClr val="FF0000"/>
              </a:solidFill>
              <a:latin typeface="Arial"/>
              <a:cs typeface="Arial"/>
            </a:rPr>
            <a:t>All costs are entered in the Cost Control sheet, and will automatically populate this sheet in the right places.</a:t>
          </a:r>
        </a:p>
      </xdr:txBody>
    </xdr:sp>
    <xdr:clientData/>
  </xdr:twoCellAnchor>
  <mc:AlternateContent xmlns:mc="http://schemas.openxmlformats.org/markup-compatibility/2006">
    <mc:Choice xmlns:a14="http://schemas.microsoft.com/office/drawing/2010/main" Requires="a14">
      <xdr:twoCellAnchor editAs="oneCell">
        <xdr:from>
          <xdr:col>13</xdr:col>
          <xdr:colOff>424543</xdr:colOff>
          <xdr:row>2</xdr:row>
          <xdr:rowOff>114300</xdr:rowOff>
        </xdr:from>
        <xdr:to>
          <xdr:col>14</xdr:col>
          <xdr:colOff>326571</xdr:colOff>
          <xdr:row>4</xdr:row>
          <xdr:rowOff>0</xdr:rowOff>
        </xdr:to>
        <xdr:sp macro="" textlink="">
          <xdr:nvSpPr>
            <xdr:cNvPr id="49246" name="Button 94" hidden="1">
              <a:extLst>
                <a:ext uri="{63B3BB69-23CF-44E3-9099-C40C66FF867C}">
                  <a14:compatExt spid="_x0000_s49246"/>
                </a:ext>
                <a:ext uri="{FF2B5EF4-FFF2-40B4-BE49-F238E27FC236}">
                  <a16:creationId xmlns:a16="http://schemas.microsoft.com/office/drawing/2014/main" id="{00000000-0008-0000-1D00-00005E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57</xdr:row>
          <xdr:rowOff>114300</xdr:rowOff>
        </xdr:from>
        <xdr:to>
          <xdr:col>14</xdr:col>
          <xdr:colOff>326571</xdr:colOff>
          <xdr:row>59</xdr:row>
          <xdr:rowOff>0</xdr:rowOff>
        </xdr:to>
        <xdr:sp macro="" textlink="">
          <xdr:nvSpPr>
            <xdr:cNvPr id="49247" name="Button 95" hidden="1">
              <a:extLst>
                <a:ext uri="{63B3BB69-23CF-44E3-9099-C40C66FF867C}">
                  <a14:compatExt spid="_x0000_s49247"/>
                </a:ext>
                <a:ext uri="{FF2B5EF4-FFF2-40B4-BE49-F238E27FC236}">
                  <a16:creationId xmlns:a16="http://schemas.microsoft.com/office/drawing/2014/main" id="{00000000-0008-0000-1D00-00005F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113</xdr:row>
          <xdr:rowOff>117021</xdr:rowOff>
        </xdr:from>
        <xdr:to>
          <xdr:col>14</xdr:col>
          <xdr:colOff>326571</xdr:colOff>
          <xdr:row>115</xdr:row>
          <xdr:rowOff>0</xdr:rowOff>
        </xdr:to>
        <xdr:sp macro="" textlink="">
          <xdr:nvSpPr>
            <xdr:cNvPr id="49248" name="Button 96" hidden="1">
              <a:extLst>
                <a:ext uri="{63B3BB69-23CF-44E3-9099-C40C66FF867C}">
                  <a14:compatExt spid="_x0000_s49248"/>
                </a:ext>
                <a:ext uri="{FF2B5EF4-FFF2-40B4-BE49-F238E27FC236}">
                  <a16:creationId xmlns:a16="http://schemas.microsoft.com/office/drawing/2014/main" id="{00000000-0008-0000-1D00-000060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167</xdr:row>
          <xdr:rowOff>114300</xdr:rowOff>
        </xdr:from>
        <xdr:to>
          <xdr:col>14</xdr:col>
          <xdr:colOff>326571</xdr:colOff>
          <xdr:row>169</xdr:row>
          <xdr:rowOff>0</xdr:rowOff>
        </xdr:to>
        <xdr:sp macro="" textlink="">
          <xdr:nvSpPr>
            <xdr:cNvPr id="49249" name="Button 97" hidden="1">
              <a:extLst>
                <a:ext uri="{63B3BB69-23CF-44E3-9099-C40C66FF867C}">
                  <a14:compatExt spid="_x0000_s49249"/>
                </a:ext>
                <a:ext uri="{FF2B5EF4-FFF2-40B4-BE49-F238E27FC236}">
                  <a16:creationId xmlns:a16="http://schemas.microsoft.com/office/drawing/2014/main" id="{00000000-0008-0000-1D00-000061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222</xdr:row>
          <xdr:rowOff>114300</xdr:rowOff>
        </xdr:from>
        <xdr:to>
          <xdr:col>14</xdr:col>
          <xdr:colOff>326571</xdr:colOff>
          <xdr:row>224</xdr:row>
          <xdr:rowOff>0</xdr:rowOff>
        </xdr:to>
        <xdr:sp macro="" textlink="">
          <xdr:nvSpPr>
            <xdr:cNvPr id="49250" name="Button 98" hidden="1">
              <a:extLst>
                <a:ext uri="{63B3BB69-23CF-44E3-9099-C40C66FF867C}">
                  <a14:compatExt spid="_x0000_s49250"/>
                </a:ext>
                <a:ext uri="{FF2B5EF4-FFF2-40B4-BE49-F238E27FC236}">
                  <a16:creationId xmlns:a16="http://schemas.microsoft.com/office/drawing/2014/main" id="{00000000-0008-0000-1D00-000062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278</xdr:row>
          <xdr:rowOff>117021</xdr:rowOff>
        </xdr:from>
        <xdr:to>
          <xdr:col>14</xdr:col>
          <xdr:colOff>326571</xdr:colOff>
          <xdr:row>280</xdr:row>
          <xdr:rowOff>0</xdr:rowOff>
        </xdr:to>
        <xdr:sp macro="" textlink="">
          <xdr:nvSpPr>
            <xdr:cNvPr id="49251" name="Button 99" hidden="1">
              <a:extLst>
                <a:ext uri="{63B3BB69-23CF-44E3-9099-C40C66FF867C}">
                  <a14:compatExt spid="_x0000_s49251"/>
                </a:ext>
                <a:ext uri="{FF2B5EF4-FFF2-40B4-BE49-F238E27FC236}">
                  <a16:creationId xmlns:a16="http://schemas.microsoft.com/office/drawing/2014/main" id="{00000000-0008-0000-1D00-000063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333</xdr:row>
          <xdr:rowOff>117021</xdr:rowOff>
        </xdr:from>
        <xdr:to>
          <xdr:col>14</xdr:col>
          <xdr:colOff>326571</xdr:colOff>
          <xdr:row>335</xdr:row>
          <xdr:rowOff>0</xdr:rowOff>
        </xdr:to>
        <xdr:sp macro="" textlink="">
          <xdr:nvSpPr>
            <xdr:cNvPr id="49252" name="Button 100" hidden="1">
              <a:extLst>
                <a:ext uri="{63B3BB69-23CF-44E3-9099-C40C66FF867C}">
                  <a14:compatExt spid="_x0000_s49252"/>
                </a:ext>
                <a:ext uri="{FF2B5EF4-FFF2-40B4-BE49-F238E27FC236}">
                  <a16:creationId xmlns:a16="http://schemas.microsoft.com/office/drawing/2014/main" id="{00000000-0008-0000-1D00-000064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388</xdr:row>
          <xdr:rowOff>117021</xdr:rowOff>
        </xdr:from>
        <xdr:to>
          <xdr:col>14</xdr:col>
          <xdr:colOff>326571</xdr:colOff>
          <xdr:row>390</xdr:row>
          <xdr:rowOff>0</xdr:rowOff>
        </xdr:to>
        <xdr:sp macro="" textlink="">
          <xdr:nvSpPr>
            <xdr:cNvPr id="49253" name="Button 101" hidden="1">
              <a:extLst>
                <a:ext uri="{63B3BB69-23CF-44E3-9099-C40C66FF867C}">
                  <a14:compatExt spid="_x0000_s49253"/>
                </a:ext>
                <a:ext uri="{FF2B5EF4-FFF2-40B4-BE49-F238E27FC236}">
                  <a16:creationId xmlns:a16="http://schemas.microsoft.com/office/drawing/2014/main" id="{00000000-0008-0000-1D00-000065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442</xdr:row>
          <xdr:rowOff>114300</xdr:rowOff>
        </xdr:from>
        <xdr:to>
          <xdr:col>14</xdr:col>
          <xdr:colOff>326571</xdr:colOff>
          <xdr:row>444</xdr:row>
          <xdr:rowOff>0</xdr:rowOff>
        </xdr:to>
        <xdr:sp macro="" textlink="">
          <xdr:nvSpPr>
            <xdr:cNvPr id="49254" name="Button 102" hidden="1">
              <a:extLst>
                <a:ext uri="{63B3BB69-23CF-44E3-9099-C40C66FF867C}">
                  <a14:compatExt spid="_x0000_s49254"/>
                </a:ext>
                <a:ext uri="{FF2B5EF4-FFF2-40B4-BE49-F238E27FC236}">
                  <a16:creationId xmlns:a16="http://schemas.microsoft.com/office/drawing/2014/main" id="{00000000-0008-0000-1D00-000066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497</xdr:row>
          <xdr:rowOff>114300</xdr:rowOff>
        </xdr:from>
        <xdr:to>
          <xdr:col>14</xdr:col>
          <xdr:colOff>326571</xdr:colOff>
          <xdr:row>499</xdr:row>
          <xdr:rowOff>0</xdr:rowOff>
        </xdr:to>
        <xdr:sp macro="" textlink="">
          <xdr:nvSpPr>
            <xdr:cNvPr id="49255" name="Button 103" hidden="1">
              <a:extLst>
                <a:ext uri="{63B3BB69-23CF-44E3-9099-C40C66FF867C}">
                  <a14:compatExt spid="_x0000_s49255"/>
                </a:ext>
                <a:ext uri="{FF2B5EF4-FFF2-40B4-BE49-F238E27FC236}">
                  <a16:creationId xmlns:a16="http://schemas.microsoft.com/office/drawing/2014/main" id="{00000000-0008-0000-1D00-000067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553</xdr:row>
          <xdr:rowOff>117021</xdr:rowOff>
        </xdr:from>
        <xdr:to>
          <xdr:col>14</xdr:col>
          <xdr:colOff>326571</xdr:colOff>
          <xdr:row>555</xdr:row>
          <xdr:rowOff>0</xdr:rowOff>
        </xdr:to>
        <xdr:sp macro="" textlink="">
          <xdr:nvSpPr>
            <xdr:cNvPr id="49256" name="Button 104" hidden="1">
              <a:extLst>
                <a:ext uri="{63B3BB69-23CF-44E3-9099-C40C66FF867C}">
                  <a14:compatExt spid="_x0000_s49256"/>
                </a:ext>
                <a:ext uri="{FF2B5EF4-FFF2-40B4-BE49-F238E27FC236}">
                  <a16:creationId xmlns:a16="http://schemas.microsoft.com/office/drawing/2014/main" id="{00000000-0008-0000-1D00-000068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608</xdr:row>
          <xdr:rowOff>117021</xdr:rowOff>
        </xdr:from>
        <xdr:to>
          <xdr:col>14</xdr:col>
          <xdr:colOff>326571</xdr:colOff>
          <xdr:row>610</xdr:row>
          <xdr:rowOff>0</xdr:rowOff>
        </xdr:to>
        <xdr:sp macro="" textlink="">
          <xdr:nvSpPr>
            <xdr:cNvPr id="49257" name="Button 105" hidden="1">
              <a:extLst>
                <a:ext uri="{63B3BB69-23CF-44E3-9099-C40C66FF867C}">
                  <a14:compatExt spid="_x0000_s49257"/>
                </a:ext>
                <a:ext uri="{FF2B5EF4-FFF2-40B4-BE49-F238E27FC236}">
                  <a16:creationId xmlns:a16="http://schemas.microsoft.com/office/drawing/2014/main" id="{00000000-0008-0000-1D00-000069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663</xdr:row>
          <xdr:rowOff>117021</xdr:rowOff>
        </xdr:from>
        <xdr:to>
          <xdr:col>14</xdr:col>
          <xdr:colOff>326571</xdr:colOff>
          <xdr:row>665</xdr:row>
          <xdr:rowOff>0</xdr:rowOff>
        </xdr:to>
        <xdr:sp macro="" textlink="">
          <xdr:nvSpPr>
            <xdr:cNvPr id="49258" name="Button 106" hidden="1">
              <a:extLst>
                <a:ext uri="{63B3BB69-23CF-44E3-9099-C40C66FF867C}">
                  <a14:compatExt spid="_x0000_s49258"/>
                </a:ext>
                <a:ext uri="{FF2B5EF4-FFF2-40B4-BE49-F238E27FC236}">
                  <a16:creationId xmlns:a16="http://schemas.microsoft.com/office/drawing/2014/main" id="{00000000-0008-0000-1D00-00006A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717</xdr:row>
          <xdr:rowOff>114300</xdr:rowOff>
        </xdr:from>
        <xdr:to>
          <xdr:col>14</xdr:col>
          <xdr:colOff>326571</xdr:colOff>
          <xdr:row>719</xdr:row>
          <xdr:rowOff>0</xdr:rowOff>
        </xdr:to>
        <xdr:sp macro="" textlink="">
          <xdr:nvSpPr>
            <xdr:cNvPr id="49259" name="Button 107" hidden="1">
              <a:extLst>
                <a:ext uri="{63B3BB69-23CF-44E3-9099-C40C66FF867C}">
                  <a14:compatExt spid="_x0000_s49259"/>
                </a:ext>
                <a:ext uri="{FF2B5EF4-FFF2-40B4-BE49-F238E27FC236}">
                  <a16:creationId xmlns:a16="http://schemas.microsoft.com/office/drawing/2014/main" id="{00000000-0008-0000-1D00-00006B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772</xdr:row>
          <xdr:rowOff>114300</xdr:rowOff>
        </xdr:from>
        <xdr:to>
          <xdr:col>14</xdr:col>
          <xdr:colOff>326571</xdr:colOff>
          <xdr:row>774</xdr:row>
          <xdr:rowOff>0</xdr:rowOff>
        </xdr:to>
        <xdr:sp macro="" textlink="">
          <xdr:nvSpPr>
            <xdr:cNvPr id="49260" name="Button 108" hidden="1">
              <a:extLst>
                <a:ext uri="{63B3BB69-23CF-44E3-9099-C40C66FF867C}">
                  <a14:compatExt spid="_x0000_s49260"/>
                </a:ext>
                <a:ext uri="{FF2B5EF4-FFF2-40B4-BE49-F238E27FC236}">
                  <a16:creationId xmlns:a16="http://schemas.microsoft.com/office/drawing/2014/main" id="{00000000-0008-0000-1D00-00006C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828</xdr:row>
          <xdr:rowOff>117021</xdr:rowOff>
        </xdr:from>
        <xdr:to>
          <xdr:col>14</xdr:col>
          <xdr:colOff>326571</xdr:colOff>
          <xdr:row>830</xdr:row>
          <xdr:rowOff>0</xdr:rowOff>
        </xdr:to>
        <xdr:sp macro="" textlink="">
          <xdr:nvSpPr>
            <xdr:cNvPr id="49261" name="Button 109" hidden="1">
              <a:extLst>
                <a:ext uri="{63B3BB69-23CF-44E3-9099-C40C66FF867C}">
                  <a14:compatExt spid="_x0000_s49261"/>
                </a:ext>
                <a:ext uri="{FF2B5EF4-FFF2-40B4-BE49-F238E27FC236}">
                  <a16:creationId xmlns:a16="http://schemas.microsoft.com/office/drawing/2014/main" id="{00000000-0008-0000-1D00-00006D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883</xdr:row>
          <xdr:rowOff>117021</xdr:rowOff>
        </xdr:from>
        <xdr:to>
          <xdr:col>14</xdr:col>
          <xdr:colOff>326571</xdr:colOff>
          <xdr:row>885</xdr:row>
          <xdr:rowOff>0</xdr:rowOff>
        </xdr:to>
        <xdr:sp macro="" textlink="">
          <xdr:nvSpPr>
            <xdr:cNvPr id="49262" name="Button 110" hidden="1">
              <a:extLst>
                <a:ext uri="{63B3BB69-23CF-44E3-9099-C40C66FF867C}">
                  <a14:compatExt spid="_x0000_s49262"/>
                </a:ext>
                <a:ext uri="{FF2B5EF4-FFF2-40B4-BE49-F238E27FC236}">
                  <a16:creationId xmlns:a16="http://schemas.microsoft.com/office/drawing/2014/main" id="{00000000-0008-0000-1D00-00006E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938</xdr:row>
          <xdr:rowOff>117021</xdr:rowOff>
        </xdr:from>
        <xdr:to>
          <xdr:col>14</xdr:col>
          <xdr:colOff>326571</xdr:colOff>
          <xdr:row>940</xdr:row>
          <xdr:rowOff>0</xdr:rowOff>
        </xdr:to>
        <xdr:sp macro="" textlink="">
          <xdr:nvSpPr>
            <xdr:cNvPr id="49263" name="Button 111" hidden="1">
              <a:extLst>
                <a:ext uri="{63B3BB69-23CF-44E3-9099-C40C66FF867C}">
                  <a14:compatExt spid="_x0000_s49263"/>
                </a:ext>
                <a:ext uri="{FF2B5EF4-FFF2-40B4-BE49-F238E27FC236}">
                  <a16:creationId xmlns:a16="http://schemas.microsoft.com/office/drawing/2014/main" id="{00000000-0008-0000-1D00-00006F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993</xdr:row>
          <xdr:rowOff>117021</xdr:rowOff>
        </xdr:from>
        <xdr:to>
          <xdr:col>14</xdr:col>
          <xdr:colOff>326571</xdr:colOff>
          <xdr:row>995</xdr:row>
          <xdr:rowOff>0</xdr:rowOff>
        </xdr:to>
        <xdr:sp macro="" textlink="">
          <xdr:nvSpPr>
            <xdr:cNvPr id="49264" name="Button 112" hidden="1">
              <a:extLst>
                <a:ext uri="{63B3BB69-23CF-44E3-9099-C40C66FF867C}">
                  <a14:compatExt spid="_x0000_s49264"/>
                </a:ext>
                <a:ext uri="{FF2B5EF4-FFF2-40B4-BE49-F238E27FC236}">
                  <a16:creationId xmlns:a16="http://schemas.microsoft.com/office/drawing/2014/main" id="{00000000-0008-0000-1D00-000070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1048</xdr:row>
          <xdr:rowOff>117021</xdr:rowOff>
        </xdr:from>
        <xdr:to>
          <xdr:col>14</xdr:col>
          <xdr:colOff>326571</xdr:colOff>
          <xdr:row>1050</xdr:row>
          <xdr:rowOff>0</xdr:rowOff>
        </xdr:to>
        <xdr:sp macro="" textlink="">
          <xdr:nvSpPr>
            <xdr:cNvPr id="49265" name="Button 113" hidden="1">
              <a:extLst>
                <a:ext uri="{63B3BB69-23CF-44E3-9099-C40C66FF867C}">
                  <a14:compatExt spid="_x0000_s49265"/>
                </a:ext>
                <a:ext uri="{FF2B5EF4-FFF2-40B4-BE49-F238E27FC236}">
                  <a16:creationId xmlns:a16="http://schemas.microsoft.com/office/drawing/2014/main" id="{00000000-0008-0000-1D00-000071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1102</xdr:row>
          <xdr:rowOff>114300</xdr:rowOff>
        </xdr:from>
        <xdr:to>
          <xdr:col>14</xdr:col>
          <xdr:colOff>326571</xdr:colOff>
          <xdr:row>1104</xdr:row>
          <xdr:rowOff>0</xdr:rowOff>
        </xdr:to>
        <xdr:sp macro="" textlink="">
          <xdr:nvSpPr>
            <xdr:cNvPr id="49266" name="Button 114" hidden="1">
              <a:extLst>
                <a:ext uri="{63B3BB69-23CF-44E3-9099-C40C66FF867C}">
                  <a14:compatExt spid="_x0000_s49266"/>
                </a:ext>
                <a:ext uri="{FF2B5EF4-FFF2-40B4-BE49-F238E27FC236}">
                  <a16:creationId xmlns:a16="http://schemas.microsoft.com/office/drawing/2014/main" id="{00000000-0008-0000-1D00-000072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1157</xdr:row>
          <xdr:rowOff>114300</xdr:rowOff>
        </xdr:from>
        <xdr:to>
          <xdr:col>14</xdr:col>
          <xdr:colOff>326571</xdr:colOff>
          <xdr:row>1159</xdr:row>
          <xdr:rowOff>0</xdr:rowOff>
        </xdr:to>
        <xdr:sp macro="" textlink="">
          <xdr:nvSpPr>
            <xdr:cNvPr id="49267" name="Button 115" hidden="1">
              <a:extLst>
                <a:ext uri="{63B3BB69-23CF-44E3-9099-C40C66FF867C}">
                  <a14:compatExt spid="_x0000_s49267"/>
                </a:ext>
                <a:ext uri="{FF2B5EF4-FFF2-40B4-BE49-F238E27FC236}">
                  <a16:creationId xmlns:a16="http://schemas.microsoft.com/office/drawing/2014/main" id="{00000000-0008-0000-1D00-000073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1212</xdr:row>
          <xdr:rowOff>114300</xdr:rowOff>
        </xdr:from>
        <xdr:to>
          <xdr:col>14</xdr:col>
          <xdr:colOff>326571</xdr:colOff>
          <xdr:row>1214</xdr:row>
          <xdr:rowOff>0</xdr:rowOff>
        </xdr:to>
        <xdr:sp macro="" textlink="">
          <xdr:nvSpPr>
            <xdr:cNvPr id="49268" name="Button 116" hidden="1">
              <a:extLst>
                <a:ext uri="{63B3BB69-23CF-44E3-9099-C40C66FF867C}">
                  <a14:compatExt spid="_x0000_s49268"/>
                </a:ext>
                <a:ext uri="{FF2B5EF4-FFF2-40B4-BE49-F238E27FC236}">
                  <a16:creationId xmlns:a16="http://schemas.microsoft.com/office/drawing/2014/main" id="{00000000-0008-0000-1D00-000074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1267</xdr:row>
          <xdr:rowOff>114300</xdr:rowOff>
        </xdr:from>
        <xdr:to>
          <xdr:col>14</xdr:col>
          <xdr:colOff>326571</xdr:colOff>
          <xdr:row>1269</xdr:row>
          <xdr:rowOff>0</xdr:rowOff>
        </xdr:to>
        <xdr:sp macro="" textlink="">
          <xdr:nvSpPr>
            <xdr:cNvPr id="49269" name="Button 117" hidden="1">
              <a:extLst>
                <a:ext uri="{63B3BB69-23CF-44E3-9099-C40C66FF867C}">
                  <a14:compatExt spid="_x0000_s49269"/>
                </a:ext>
                <a:ext uri="{FF2B5EF4-FFF2-40B4-BE49-F238E27FC236}">
                  <a16:creationId xmlns:a16="http://schemas.microsoft.com/office/drawing/2014/main" id="{00000000-0008-0000-1D00-000075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1323</xdr:row>
          <xdr:rowOff>117021</xdr:rowOff>
        </xdr:from>
        <xdr:to>
          <xdr:col>14</xdr:col>
          <xdr:colOff>326571</xdr:colOff>
          <xdr:row>1325</xdr:row>
          <xdr:rowOff>0</xdr:rowOff>
        </xdr:to>
        <xdr:sp macro="" textlink="">
          <xdr:nvSpPr>
            <xdr:cNvPr id="49270" name="Button 118" hidden="1">
              <a:extLst>
                <a:ext uri="{63B3BB69-23CF-44E3-9099-C40C66FF867C}">
                  <a14:compatExt spid="_x0000_s49270"/>
                </a:ext>
                <a:ext uri="{FF2B5EF4-FFF2-40B4-BE49-F238E27FC236}">
                  <a16:creationId xmlns:a16="http://schemas.microsoft.com/office/drawing/2014/main" id="{00000000-0008-0000-1D00-000076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1379</xdr:row>
          <xdr:rowOff>117021</xdr:rowOff>
        </xdr:from>
        <xdr:to>
          <xdr:col>14</xdr:col>
          <xdr:colOff>326571</xdr:colOff>
          <xdr:row>1381</xdr:row>
          <xdr:rowOff>0</xdr:rowOff>
        </xdr:to>
        <xdr:sp macro="" textlink="">
          <xdr:nvSpPr>
            <xdr:cNvPr id="49271" name="Button 119" hidden="1">
              <a:extLst>
                <a:ext uri="{63B3BB69-23CF-44E3-9099-C40C66FF867C}">
                  <a14:compatExt spid="_x0000_s49271"/>
                </a:ext>
                <a:ext uri="{FF2B5EF4-FFF2-40B4-BE49-F238E27FC236}">
                  <a16:creationId xmlns:a16="http://schemas.microsoft.com/office/drawing/2014/main" id="{00000000-0008-0000-1D00-000077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1434</xdr:row>
          <xdr:rowOff>117021</xdr:rowOff>
        </xdr:from>
        <xdr:to>
          <xdr:col>14</xdr:col>
          <xdr:colOff>326571</xdr:colOff>
          <xdr:row>1436</xdr:row>
          <xdr:rowOff>0</xdr:rowOff>
        </xdr:to>
        <xdr:sp macro="" textlink="">
          <xdr:nvSpPr>
            <xdr:cNvPr id="49272" name="Button 120" hidden="1">
              <a:extLst>
                <a:ext uri="{63B3BB69-23CF-44E3-9099-C40C66FF867C}">
                  <a14:compatExt spid="_x0000_s49272"/>
                </a:ext>
                <a:ext uri="{FF2B5EF4-FFF2-40B4-BE49-F238E27FC236}">
                  <a16:creationId xmlns:a16="http://schemas.microsoft.com/office/drawing/2014/main" id="{00000000-0008-0000-1D00-000078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1489</xdr:row>
          <xdr:rowOff>117021</xdr:rowOff>
        </xdr:from>
        <xdr:to>
          <xdr:col>14</xdr:col>
          <xdr:colOff>326571</xdr:colOff>
          <xdr:row>1491</xdr:row>
          <xdr:rowOff>0</xdr:rowOff>
        </xdr:to>
        <xdr:sp macro="" textlink="">
          <xdr:nvSpPr>
            <xdr:cNvPr id="49273" name="Button 121" hidden="1">
              <a:extLst>
                <a:ext uri="{63B3BB69-23CF-44E3-9099-C40C66FF867C}">
                  <a14:compatExt spid="_x0000_s49273"/>
                </a:ext>
                <a:ext uri="{FF2B5EF4-FFF2-40B4-BE49-F238E27FC236}">
                  <a16:creationId xmlns:a16="http://schemas.microsoft.com/office/drawing/2014/main" id="{00000000-0008-0000-1D00-000079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1544</xdr:row>
          <xdr:rowOff>117021</xdr:rowOff>
        </xdr:from>
        <xdr:to>
          <xdr:col>14</xdr:col>
          <xdr:colOff>326571</xdr:colOff>
          <xdr:row>1546</xdr:row>
          <xdr:rowOff>0</xdr:rowOff>
        </xdr:to>
        <xdr:sp macro="" textlink="">
          <xdr:nvSpPr>
            <xdr:cNvPr id="49274" name="Button 122" hidden="1">
              <a:extLst>
                <a:ext uri="{63B3BB69-23CF-44E3-9099-C40C66FF867C}">
                  <a14:compatExt spid="_x0000_s49274"/>
                </a:ext>
                <a:ext uri="{FF2B5EF4-FFF2-40B4-BE49-F238E27FC236}">
                  <a16:creationId xmlns:a16="http://schemas.microsoft.com/office/drawing/2014/main" id="{00000000-0008-0000-1D00-00007A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424543</xdr:colOff>
          <xdr:row>1599</xdr:row>
          <xdr:rowOff>117021</xdr:rowOff>
        </xdr:from>
        <xdr:to>
          <xdr:col>14</xdr:col>
          <xdr:colOff>326571</xdr:colOff>
          <xdr:row>1601</xdr:row>
          <xdr:rowOff>0</xdr:rowOff>
        </xdr:to>
        <xdr:sp macro="" textlink="">
          <xdr:nvSpPr>
            <xdr:cNvPr id="49275" name="Button 123" hidden="1">
              <a:extLst>
                <a:ext uri="{63B3BB69-23CF-44E3-9099-C40C66FF867C}">
                  <a14:compatExt spid="_x0000_s49275"/>
                </a:ext>
                <a:ext uri="{FF2B5EF4-FFF2-40B4-BE49-F238E27FC236}">
                  <a16:creationId xmlns:a16="http://schemas.microsoft.com/office/drawing/2014/main" id="{00000000-0008-0000-1D00-00007BC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277586</xdr:colOff>
          <xdr:row>22</xdr:row>
          <xdr:rowOff>29936</xdr:rowOff>
        </xdr:from>
        <xdr:to>
          <xdr:col>15</xdr:col>
          <xdr:colOff>266700</xdr:colOff>
          <xdr:row>23</xdr:row>
          <xdr:rowOff>127907</xdr:rowOff>
        </xdr:to>
        <xdr:sp macro="" textlink="">
          <xdr:nvSpPr>
            <xdr:cNvPr id="49277" name="Button 125" hidden="1">
              <a:extLst>
                <a:ext uri="{63B3BB69-23CF-44E3-9099-C40C66FF867C}">
                  <a14:compatExt spid="_x0000_s49277"/>
                </a:ext>
                <a:ext uri="{FF2B5EF4-FFF2-40B4-BE49-F238E27FC236}">
                  <a16:creationId xmlns:a16="http://schemas.microsoft.com/office/drawing/2014/main" id="{00000000-0008-0000-1D00-00007D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29936</xdr:rowOff>
        </xdr:from>
        <xdr:to>
          <xdr:col>15</xdr:col>
          <xdr:colOff>620486</xdr:colOff>
          <xdr:row>64</xdr:row>
          <xdr:rowOff>0</xdr:rowOff>
        </xdr:to>
        <xdr:sp macro="" textlink="">
          <xdr:nvSpPr>
            <xdr:cNvPr id="49278" name="Button 126" hidden="1">
              <a:extLst>
                <a:ext uri="{63B3BB69-23CF-44E3-9099-C40C66FF867C}">
                  <a14:compatExt spid="_x0000_s49278"/>
                </a:ext>
                <a:ext uri="{FF2B5EF4-FFF2-40B4-BE49-F238E27FC236}">
                  <a16:creationId xmlns:a16="http://schemas.microsoft.com/office/drawing/2014/main" id="{00000000-0008-0000-1D00-00007E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118</xdr:row>
          <xdr:rowOff>29936</xdr:rowOff>
        </xdr:from>
        <xdr:to>
          <xdr:col>15</xdr:col>
          <xdr:colOff>620486</xdr:colOff>
          <xdr:row>120</xdr:row>
          <xdr:rowOff>0</xdr:rowOff>
        </xdr:to>
        <xdr:sp macro="" textlink="">
          <xdr:nvSpPr>
            <xdr:cNvPr id="49279" name="Button 127" hidden="1">
              <a:extLst>
                <a:ext uri="{63B3BB69-23CF-44E3-9099-C40C66FF867C}">
                  <a14:compatExt spid="_x0000_s49279"/>
                </a:ext>
                <a:ext uri="{FF2B5EF4-FFF2-40B4-BE49-F238E27FC236}">
                  <a16:creationId xmlns:a16="http://schemas.microsoft.com/office/drawing/2014/main" id="{00000000-0008-0000-1D00-00007F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172</xdr:row>
          <xdr:rowOff>29936</xdr:rowOff>
        </xdr:from>
        <xdr:to>
          <xdr:col>15</xdr:col>
          <xdr:colOff>620486</xdr:colOff>
          <xdr:row>174</xdr:row>
          <xdr:rowOff>0</xdr:rowOff>
        </xdr:to>
        <xdr:sp macro="" textlink="">
          <xdr:nvSpPr>
            <xdr:cNvPr id="49280" name="Button 128" hidden="1">
              <a:extLst>
                <a:ext uri="{63B3BB69-23CF-44E3-9099-C40C66FF867C}">
                  <a14:compatExt spid="_x0000_s49280"/>
                </a:ext>
                <a:ext uri="{FF2B5EF4-FFF2-40B4-BE49-F238E27FC236}">
                  <a16:creationId xmlns:a16="http://schemas.microsoft.com/office/drawing/2014/main" id="{00000000-0008-0000-1D00-000080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227</xdr:row>
          <xdr:rowOff>29936</xdr:rowOff>
        </xdr:from>
        <xdr:to>
          <xdr:col>15</xdr:col>
          <xdr:colOff>620486</xdr:colOff>
          <xdr:row>229</xdr:row>
          <xdr:rowOff>0</xdr:rowOff>
        </xdr:to>
        <xdr:sp macro="" textlink="">
          <xdr:nvSpPr>
            <xdr:cNvPr id="49281" name="Button 129" hidden="1">
              <a:extLst>
                <a:ext uri="{63B3BB69-23CF-44E3-9099-C40C66FF867C}">
                  <a14:compatExt spid="_x0000_s49281"/>
                </a:ext>
                <a:ext uri="{FF2B5EF4-FFF2-40B4-BE49-F238E27FC236}">
                  <a16:creationId xmlns:a16="http://schemas.microsoft.com/office/drawing/2014/main" id="{00000000-0008-0000-1D00-000081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283</xdr:row>
          <xdr:rowOff>29936</xdr:rowOff>
        </xdr:from>
        <xdr:to>
          <xdr:col>15</xdr:col>
          <xdr:colOff>620486</xdr:colOff>
          <xdr:row>285</xdr:row>
          <xdr:rowOff>0</xdr:rowOff>
        </xdr:to>
        <xdr:sp macro="" textlink="">
          <xdr:nvSpPr>
            <xdr:cNvPr id="49282" name="Button 130" hidden="1">
              <a:extLst>
                <a:ext uri="{63B3BB69-23CF-44E3-9099-C40C66FF867C}">
                  <a14:compatExt spid="_x0000_s49282"/>
                </a:ext>
                <a:ext uri="{FF2B5EF4-FFF2-40B4-BE49-F238E27FC236}">
                  <a16:creationId xmlns:a16="http://schemas.microsoft.com/office/drawing/2014/main" id="{00000000-0008-0000-1D00-000082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338</xdr:row>
          <xdr:rowOff>29936</xdr:rowOff>
        </xdr:from>
        <xdr:to>
          <xdr:col>15</xdr:col>
          <xdr:colOff>620486</xdr:colOff>
          <xdr:row>340</xdr:row>
          <xdr:rowOff>0</xdr:rowOff>
        </xdr:to>
        <xdr:sp macro="" textlink="">
          <xdr:nvSpPr>
            <xdr:cNvPr id="49283" name="Button 131" hidden="1">
              <a:extLst>
                <a:ext uri="{63B3BB69-23CF-44E3-9099-C40C66FF867C}">
                  <a14:compatExt spid="_x0000_s49283"/>
                </a:ext>
                <a:ext uri="{FF2B5EF4-FFF2-40B4-BE49-F238E27FC236}">
                  <a16:creationId xmlns:a16="http://schemas.microsoft.com/office/drawing/2014/main" id="{00000000-0008-0000-1D00-000083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393</xdr:row>
          <xdr:rowOff>29936</xdr:rowOff>
        </xdr:from>
        <xdr:to>
          <xdr:col>15</xdr:col>
          <xdr:colOff>620486</xdr:colOff>
          <xdr:row>395</xdr:row>
          <xdr:rowOff>0</xdr:rowOff>
        </xdr:to>
        <xdr:sp macro="" textlink="">
          <xdr:nvSpPr>
            <xdr:cNvPr id="49284" name="Button 132" hidden="1">
              <a:extLst>
                <a:ext uri="{63B3BB69-23CF-44E3-9099-C40C66FF867C}">
                  <a14:compatExt spid="_x0000_s49284"/>
                </a:ext>
                <a:ext uri="{FF2B5EF4-FFF2-40B4-BE49-F238E27FC236}">
                  <a16:creationId xmlns:a16="http://schemas.microsoft.com/office/drawing/2014/main" id="{00000000-0008-0000-1D00-000084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446</xdr:row>
          <xdr:rowOff>29936</xdr:rowOff>
        </xdr:from>
        <xdr:to>
          <xdr:col>15</xdr:col>
          <xdr:colOff>620486</xdr:colOff>
          <xdr:row>448</xdr:row>
          <xdr:rowOff>0</xdr:rowOff>
        </xdr:to>
        <xdr:sp macro="" textlink="">
          <xdr:nvSpPr>
            <xdr:cNvPr id="49285" name="Button 133" hidden="1">
              <a:extLst>
                <a:ext uri="{63B3BB69-23CF-44E3-9099-C40C66FF867C}">
                  <a14:compatExt spid="_x0000_s49285"/>
                </a:ext>
                <a:ext uri="{FF2B5EF4-FFF2-40B4-BE49-F238E27FC236}">
                  <a16:creationId xmlns:a16="http://schemas.microsoft.com/office/drawing/2014/main" id="{00000000-0008-0000-1D00-000085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501</xdr:row>
          <xdr:rowOff>29936</xdr:rowOff>
        </xdr:from>
        <xdr:to>
          <xdr:col>15</xdr:col>
          <xdr:colOff>620486</xdr:colOff>
          <xdr:row>503</xdr:row>
          <xdr:rowOff>0</xdr:rowOff>
        </xdr:to>
        <xdr:sp macro="" textlink="">
          <xdr:nvSpPr>
            <xdr:cNvPr id="49286" name="Button 134" hidden="1">
              <a:extLst>
                <a:ext uri="{63B3BB69-23CF-44E3-9099-C40C66FF867C}">
                  <a14:compatExt spid="_x0000_s49286"/>
                </a:ext>
                <a:ext uri="{FF2B5EF4-FFF2-40B4-BE49-F238E27FC236}">
                  <a16:creationId xmlns:a16="http://schemas.microsoft.com/office/drawing/2014/main" id="{00000000-0008-0000-1D00-000086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557</xdr:row>
          <xdr:rowOff>29936</xdr:rowOff>
        </xdr:from>
        <xdr:to>
          <xdr:col>15</xdr:col>
          <xdr:colOff>620486</xdr:colOff>
          <xdr:row>559</xdr:row>
          <xdr:rowOff>0</xdr:rowOff>
        </xdr:to>
        <xdr:sp macro="" textlink="">
          <xdr:nvSpPr>
            <xdr:cNvPr id="49287" name="Button 135" hidden="1">
              <a:extLst>
                <a:ext uri="{63B3BB69-23CF-44E3-9099-C40C66FF867C}">
                  <a14:compatExt spid="_x0000_s49287"/>
                </a:ext>
                <a:ext uri="{FF2B5EF4-FFF2-40B4-BE49-F238E27FC236}">
                  <a16:creationId xmlns:a16="http://schemas.microsoft.com/office/drawing/2014/main" id="{00000000-0008-0000-1D00-000087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613</xdr:row>
          <xdr:rowOff>29936</xdr:rowOff>
        </xdr:from>
        <xdr:to>
          <xdr:col>15</xdr:col>
          <xdr:colOff>620486</xdr:colOff>
          <xdr:row>615</xdr:row>
          <xdr:rowOff>0</xdr:rowOff>
        </xdr:to>
        <xdr:sp macro="" textlink="">
          <xdr:nvSpPr>
            <xdr:cNvPr id="49288" name="Button 136" hidden="1">
              <a:extLst>
                <a:ext uri="{63B3BB69-23CF-44E3-9099-C40C66FF867C}">
                  <a14:compatExt spid="_x0000_s49288"/>
                </a:ext>
                <a:ext uri="{FF2B5EF4-FFF2-40B4-BE49-F238E27FC236}">
                  <a16:creationId xmlns:a16="http://schemas.microsoft.com/office/drawing/2014/main" id="{00000000-0008-0000-1D00-000088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668</xdr:row>
          <xdr:rowOff>29936</xdr:rowOff>
        </xdr:from>
        <xdr:to>
          <xdr:col>15</xdr:col>
          <xdr:colOff>620486</xdr:colOff>
          <xdr:row>670</xdr:row>
          <xdr:rowOff>0</xdr:rowOff>
        </xdr:to>
        <xdr:sp macro="" textlink="">
          <xdr:nvSpPr>
            <xdr:cNvPr id="49289" name="Button 137" hidden="1">
              <a:extLst>
                <a:ext uri="{63B3BB69-23CF-44E3-9099-C40C66FF867C}">
                  <a14:compatExt spid="_x0000_s49289"/>
                </a:ext>
                <a:ext uri="{FF2B5EF4-FFF2-40B4-BE49-F238E27FC236}">
                  <a16:creationId xmlns:a16="http://schemas.microsoft.com/office/drawing/2014/main" id="{00000000-0008-0000-1D00-000089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722</xdr:row>
          <xdr:rowOff>29936</xdr:rowOff>
        </xdr:from>
        <xdr:to>
          <xdr:col>15</xdr:col>
          <xdr:colOff>620486</xdr:colOff>
          <xdr:row>724</xdr:row>
          <xdr:rowOff>0</xdr:rowOff>
        </xdr:to>
        <xdr:sp macro="" textlink="">
          <xdr:nvSpPr>
            <xdr:cNvPr id="49290" name="Button 138" hidden="1">
              <a:extLst>
                <a:ext uri="{63B3BB69-23CF-44E3-9099-C40C66FF867C}">
                  <a14:compatExt spid="_x0000_s49290"/>
                </a:ext>
                <a:ext uri="{FF2B5EF4-FFF2-40B4-BE49-F238E27FC236}">
                  <a16:creationId xmlns:a16="http://schemas.microsoft.com/office/drawing/2014/main" id="{00000000-0008-0000-1D00-00008A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778</xdr:row>
          <xdr:rowOff>29936</xdr:rowOff>
        </xdr:from>
        <xdr:to>
          <xdr:col>15</xdr:col>
          <xdr:colOff>620486</xdr:colOff>
          <xdr:row>780</xdr:row>
          <xdr:rowOff>0</xdr:rowOff>
        </xdr:to>
        <xdr:sp macro="" textlink="">
          <xdr:nvSpPr>
            <xdr:cNvPr id="49291" name="Button 139" hidden="1">
              <a:extLst>
                <a:ext uri="{63B3BB69-23CF-44E3-9099-C40C66FF867C}">
                  <a14:compatExt spid="_x0000_s49291"/>
                </a:ext>
                <a:ext uri="{FF2B5EF4-FFF2-40B4-BE49-F238E27FC236}">
                  <a16:creationId xmlns:a16="http://schemas.microsoft.com/office/drawing/2014/main" id="{00000000-0008-0000-1D00-00008B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833</xdr:row>
          <xdr:rowOff>29936</xdr:rowOff>
        </xdr:from>
        <xdr:to>
          <xdr:col>15</xdr:col>
          <xdr:colOff>620486</xdr:colOff>
          <xdr:row>835</xdr:row>
          <xdr:rowOff>0</xdr:rowOff>
        </xdr:to>
        <xdr:sp macro="" textlink="">
          <xdr:nvSpPr>
            <xdr:cNvPr id="49292" name="Button 140" hidden="1">
              <a:extLst>
                <a:ext uri="{63B3BB69-23CF-44E3-9099-C40C66FF867C}">
                  <a14:compatExt spid="_x0000_s49292"/>
                </a:ext>
                <a:ext uri="{FF2B5EF4-FFF2-40B4-BE49-F238E27FC236}">
                  <a16:creationId xmlns:a16="http://schemas.microsoft.com/office/drawing/2014/main" id="{00000000-0008-0000-1D00-00008C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888</xdr:row>
          <xdr:rowOff>29936</xdr:rowOff>
        </xdr:from>
        <xdr:to>
          <xdr:col>15</xdr:col>
          <xdr:colOff>620486</xdr:colOff>
          <xdr:row>890</xdr:row>
          <xdr:rowOff>0</xdr:rowOff>
        </xdr:to>
        <xdr:sp macro="" textlink="">
          <xdr:nvSpPr>
            <xdr:cNvPr id="49293" name="Button 141" hidden="1">
              <a:extLst>
                <a:ext uri="{63B3BB69-23CF-44E3-9099-C40C66FF867C}">
                  <a14:compatExt spid="_x0000_s49293"/>
                </a:ext>
                <a:ext uri="{FF2B5EF4-FFF2-40B4-BE49-F238E27FC236}">
                  <a16:creationId xmlns:a16="http://schemas.microsoft.com/office/drawing/2014/main" id="{00000000-0008-0000-1D00-00008D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943</xdr:row>
          <xdr:rowOff>29936</xdr:rowOff>
        </xdr:from>
        <xdr:to>
          <xdr:col>15</xdr:col>
          <xdr:colOff>620486</xdr:colOff>
          <xdr:row>945</xdr:row>
          <xdr:rowOff>0</xdr:rowOff>
        </xdr:to>
        <xdr:sp macro="" textlink="">
          <xdr:nvSpPr>
            <xdr:cNvPr id="49294" name="Button 142" hidden="1">
              <a:extLst>
                <a:ext uri="{63B3BB69-23CF-44E3-9099-C40C66FF867C}">
                  <a14:compatExt spid="_x0000_s49294"/>
                </a:ext>
                <a:ext uri="{FF2B5EF4-FFF2-40B4-BE49-F238E27FC236}">
                  <a16:creationId xmlns:a16="http://schemas.microsoft.com/office/drawing/2014/main" id="{00000000-0008-0000-1D00-00008E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998</xdr:row>
          <xdr:rowOff>29936</xdr:rowOff>
        </xdr:from>
        <xdr:to>
          <xdr:col>15</xdr:col>
          <xdr:colOff>620486</xdr:colOff>
          <xdr:row>1000</xdr:row>
          <xdr:rowOff>0</xdr:rowOff>
        </xdr:to>
        <xdr:sp macro="" textlink="">
          <xdr:nvSpPr>
            <xdr:cNvPr id="49295" name="Button 143" hidden="1">
              <a:extLst>
                <a:ext uri="{63B3BB69-23CF-44E3-9099-C40C66FF867C}">
                  <a14:compatExt spid="_x0000_s49295"/>
                </a:ext>
                <a:ext uri="{FF2B5EF4-FFF2-40B4-BE49-F238E27FC236}">
                  <a16:creationId xmlns:a16="http://schemas.microsoft.com/office/drawing/2014/main" id="{00000000-0008-0000-1D00-00008F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1053</xdr:row>
          <xdr:rowOff>29936</xdr:rowOff>
        </xdr:from>
        <xdr:to>
          <xdr:col>15</xdr:col>
          <xdr:colOff>620486</xdr:colOff>
          <xdr:row>1055</xdr:row>
          <xdr:rowOff>0</xdr:rowOff>
        </xdr:to>
        <xdr:sp macro="" textlink="">
          <xdr:nvSpPr>
            <xdr:cNvPr id="49296" name="Button 144" hidden="1">
              <a:extLst>
                <a:ext uri="{63B3BB69-23CF-44E3-9099-C40C66FF867C}">
                  <a14:compatExt spid="_x0000_s49296"/>
                </a:ext>
                <a:ext uri="{FF2B5EF4-FFF2-40B4-BE49-F238E27FC236}">
                  <a16:creationId xmlns:a16="http://schemas.microsoft.com/office/drawing/2014/main" id="{00000000-0008-0000-1D00-000090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1107</xdr:row>
          <xdr:rowOff>29936</xdr:rowOff>
        </xdr:from>
        <xdr:to>
          <xdr:col>15</xdr:col>
          <xdr:colOff>620486</xdr:colOff>
          <xdr:row>1109</xdr:row>
          <xdr:rowOff>0</xdr:rowOff>
        </xdr:to>
        <xdr:sp macro="" textlink="">
          <xdr:nvSpPr>
            <xdr:cNvPr id="49297" name="Button 145" hidden="1">
              <a:extLst>
                <a:ext uri="{63B3BB69-23CF-44E3-9099-C40C66FF867C}">
                  <a14:compatExt spid="_x0000_s49297"/>
                </a:ext>
                <a:ext uri="{FF2B5EF4-FFF2-40B4-BE49-F238E27FC236}">
                  <a16:creationId xmlns:a16="http://schemas.microsoft.com/office/drawing/2014/main" id="{00000000-0008-0000-1D00-000091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1162</xdr:row>
          <xdr:rowOff>29936</xdr:rowOff>
        </xdr:from>
        <xdr:to>
          <xdr:col>15</xdr:col>
          <xdr:colOff>620486</xdr:colOff>
          <xdr:row>1164</xdr:row>
          <xdr:rowOff>0</xdr:rowOff>
        </xdr:to>
        <xdr:sp macro="" textlink="">
          <xdr:nvSpPr>
            <xdr:cNvPr id="49298" name="Button 146" hidden="1">
              <a:extLst>
                <a:ext uri="{63B3BB69-23CF-44E3-9099-C40C66FF867C}">
                  <a14:compatExt spid="_x0000_s49298"/>
                </a:ext>
                <a:ext uri="{FF2B5EF4-FFF2-40B4-BE49-F238E27FC236}">
                  <a16:creationId xmlns:a16="http://schemas.microsoft.com/office/drawing/2014/main" id="{00000000-0008-0000-1D00-000092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1217</xdr:row>
          <xdr:rowOff>29936</xdr:rowOff>
        </xdr:from>
        <xdr:to>
          <xdr:col>15</xdr:col>
          <xdr:colOff>620486</xdr:colOff>
          <xdr:row>1219</xdr:row>
          <xdr:rowOff>0</xdr:rowOff>
        </xdr:to>
        <xdr:sp macro="" textlink="">
          <xdr:nvSpPr>
            <xdr:cNvPr id="49299" name="Button 147" hidden="1">
              <a:extLst>
                <a:ext uri="{63B3BB69-23CF-44E3-9099-C40C66FF867C}">
                  <a14:compatExt spid="_x0000_s49299"/>
                </a:ext>
                <a:ext uri="{FF2B5EF4-FFF2-40B4-BE49-F238E27FC236}">
                  <a16:creationId xmlns:a16="http://schemas.microsoft.com/office/drawing/2014/main" id="{00000000-0008-0000-1D00-000093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1272</xdr:row>
          <xdr:rowOff>29936</xdr:rowOff>
        </xdr:from>
        <xdr:to>
          <xdr:col>15</xdr:col>
          <xdr:colOff>620486</xdr:colOff>
          <xdr:row>1274</xdr:row>
          <xdr:rowOff>0</xdr:rowOff>
        </xdr:to>
        <xdr:sp macro="" textlink="">
          <xdr:nvSpPr>
            <xdr:cNvPr id="49300" name="Button 148" hidden="1">
              <a:extLst>
                <a:ext uri="{63B3BB69-23CF-44E3-9099-C40C66FF867C}">
                  <a14:compatExt spid="_x0000_s49300"/>
                </a:ext>
                <a:ext uri="{FF2B5EF4-FFF2-40B4-BE49-F238E27FC236}">
                  <a16:creationId xmlns:a16="http://schemas.microsoft.com/office/drawing/2014/main" id="{00000000-0008-0000-1D00-000094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1328</xdr:row>
          <xdr:rowOff>29936</xdr:rowOff>
        </xdr:from>
        <xdr:to>
          <xdr:col>15</xdr:col>
          <xdr:colOff>620486</xdr:colOff>
          <xdr:row>1330</xdr:row>
          <xdr:rowOff>0</xdr:rowOff>
        </xdr:to>
        <xdr:sp macro="" textlink="">
          <xdr:nvSpPr>
            <xdr:cNvPr id="49301" name="Button 149" hidden="1">
              <a:extLst>
                <a:ext uri="{63B3BB69-23CF-44E3-9099-C40C66FF867C}">
                  <a14:compatExt spid="_x0000_s49301"/>
                </a:ext>
                <a:ext uri="{FF2B5EF4-FFF2-40B4-BE49-F238E27FC236}">
                  <a16:creationId xmlns:a16="http://schemas.microsoft.com/office/drawing/2014/main" id="{00000000-0008-0000-1D00-000095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1385</xdr:row>
          <xdr:rowOff>29936</xdr:rowOff>
        </xdr:from>
        <xdr:to>
          <xdr:col>15</xdr:col>
          <xdr:colOff>620486</xdr:colOff>
          <xdr:row>1387</xdr:row>
          <xdr:rowOff>0</xdr:rowOff>
        </xdr:to>
        <xdr:sp macro="" textlink="">
          <xdr:nvSpPr>
            <xdr:cNvPr id="49302" name="Button 150" hidden="1">
              <a:extLst>
                <a:ext uri="{63B3BB69-23CF-44E3-9099-C40C66FF867C}">
                  <a14:compatExt spid="_x0000_s49302"/>
                </a:ext>
                <a:ext uri="{FF2B5EF4-FFF2-40B4-BE49-F238E27FC236}">
                  <a16:creationId xmlns:a16="http://schemas.microsoft.com/office/drawing/2014/main" id="{00000000-0008-0000-1D00-000096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1439</xdr:row>
          <xdr:rowOff>29936</xdr:rowOff>
        </xdr:from>
        <xdr:to>
          <xdr:col>15</xdr:col>
          <xdr:colOff>620486</xdr:colOff>
          <xdr:row>1441</xdr:row>
          <xdr:rowOff>0</xdr:rowOff>
        </xdr:to>
        <xdr:sp macro="" textlink="">
          <xdr:nvSpPr>
            <xdr:cNvPr id="49303" name="Button 151" hidden="1">
              <a:extLst>
                <a:ext uri="{63B3BB69-23CF-44E3-9099-C40C66FF867C}">
                  <a14:compatExt spid="_x0000_s49303"/>
                </a:ext>
                <a:ext uri="{FF2B5EF4-FFF2-40B4-BE49-F238E27FC236}">
                  <a16:creationId xmlns:a16="http://schemas.microsoft.com/office/drawing/2014/main" id="{00000000-0008-0000-1D00-000097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1494</xdr:row>
          <xdr:rowOff>29936</xdr:rowOff>
        </xdr:from>
        <xdr:to>
          <xdr:col>15</xdr:col>
          <xdr:colOff>620486</xdr:colOff>
          <xdr:row>1496</xdr:row>
          <xdr:rowOff>0</xdr:rowOff>
        </xdr:to>
        <xdr:sp macro="" textlink="">
          <xdr:nvSpPr>
            <xdr:cNvPr id="49304" name="Button 152" hidden="1">
              <a:extLst>
                <a:ext uri="{63B3BB69-23CF-44E3-9099-C40C66FF867C}">
                  <a14:compatExt spid="_x0000_s49304"/>
                </a:ext>
                <a:ext uri="{FF2B5EF4-FFF2-40B4-BE49-F238E27FC236}">
                  <a16:creationId xmlns:a16="http://schemas.microsoft.com/office/drawing/2014/main" id="{00000000-0008-0000-1D00-000098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1549</xdr:row>
          <xdr:rowOff>29936</xdr:rowOff>
        </xdr:from>
        <xdr:to>
          <xdr:col>15</xdr:col>
          <xdr:colOff>620486</xdr:colOff>
          <xdr:row>1551</xdr:row>
          <xdr:rowOff>0</xdr:rowOff>
        </xdr:to>
        <xdr:sp macro="" textlink="">
          <xdr:nvSpPr>
            <xdr:cNvPr id="49305" name="Button 153" hidden="1">
              <a:extLst>
                <a:ext uri="{63B3BB69-23CF-44E3-9099-C40C66FF867C}">
                  <a14:compatExt spid="_x0000_s49305"/>
                </a:ext>
                <a:ext uri="{FF2B5EF4-FFF2-40B4-BE49-F238E27FC236}">
                  <a16:creationId xmlns:a16="http://schemas.microsoft.com/office/drawing/2014/main" id="{00000000-0008-0000-1D00-000099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1603</xdr:row>
          <xdr:rowOff>29936</xdr:rowOff>
        </xdr:from>
        <xdr:to>
          <xdr:col>15</xdr:col>
          <xdr:colOff>620486</xdr:colOff>
          <xdr:row>1605</xdr:row>
          <xdr:rowOff>0</xdr:rowOff>
        </xdr:to>
        <xdr:sp macro="" textlink="">
          <xdr:nvSpPr>
            <xdr:cNvPr id="49306" name="Button 154" hidden="1">
              <a:extLst>
                <a:ext uri="{63B3BB69-23CF-44E3-9099-C40C66FF867C}">
                  <a14:compatExt spid="_x0000_s49306"/>
                </a:ext>
                <a:ext uri="{FF2B5EF4-FFF2-40B4-BE49-F238E27FC236}">
                  <a16:creationId xmlns:a16="http://schemas.microsoft.com/office/drawing/2014/main" id="{00000000-0008-0000-1D00-00009AC00000}"/>
                </a:ext>
              </a:extLst>
            </xdr:cNvPr>
            <xdr:cNvSpPr/>
          </xdr:nvSpPr>
          <xdr:spPr bwMode="auto">
            <a:xfrm>
              <a:off x="0" y="0"/>
              <a:ext cx="0" cy="0"/>
            </a:xfrm>
            <a:prstGeom prst="rect">
              <a:avLst/>
            </a:prstGeom>
            <a:noFill/>
            <a:ln w="9525">
              <a:miter lim="800000"/>
              <a:headEnd/>
              <a:tailEnd/>
            </a:ln>
          </xdr:spPr>
          <xdr:txBody>
            <a:bodyPr vertOverflow="clip" wrap="square" lIns="64008" tIns="50292" rIns="64008" bIns="50292" anchor="ctr" upright="1"/>
            <a:lstStyle/>
            <a:p>
              <a:pPr algn="ctr" rtl="0">
                <a:defRPr sz="1000"/>
              </a:pPr>
              <a:r>
                <a:rPr lang="en-US" sz="900" b="0" i="0" u="none" strike="noStrike" baseline="0">
                  <a:solidFill>
                    <a:srgbClr val="000000"/>
                  </a:solidFill>
                  <a:latin typeface="Arial"/>
                  <a:cs typeface="Arial"/>
                </a:rPr>
                <a:t>COST CONTROL</a:t>
              </a:r>
            </a:p>
          </xdr:txBody>
        </xdr:sp>
        <xdr:clientData fPrintsWithSheet="0"/>
      </xdr:twoCellAnchor>
    </mc:Choice>
    <mc:Fallback/>
  </mc:AlternateContent>
  <xdr:twoCellAnchor>
    <xdr:from>
      <xdr:col>13</xdr:col>
      <xdr:colOff>96762</xdr:colOff>
      <xdr:row>40</xdr:row>
      <xdr:rowOff>39310</xdr:rowOff>
    </xdr:from>
    <xdr:to>
      <xdr:col>16</xdr:col>
      <xdr:colOff>408214</xdr:colOff>
      <xdr:row>43</xdr:row>
      <xdr:rowOff>151191</xdr:rowOff>
    </xdr:to>
    <xdr:sp macro="" textlink="">
      <xdr:nvSpPr>
        <xdr:cNvPr id="2" name="TextBox 1">
          <a:extLst>
            <a:ext uri="{FF2B5EF4-FFF2-40B4-BE49-F238E27FC236}">
              <a16:creationId xmlns:a16="http://schemas.microsoft.com/office/drawing/2014/main" id="{2F461709-3DCF-CFF9-4835-6AA4769F8104}"/>
            </a:ext>
          </a:extLst>
        </xdr:cNvPr>
        <xdr:cNvSpPr txBox="1"/>
      </xdr:nvSpPr>
      <xdr:spPr>
        <a:xfrm>
          <a:off x="7852833" y="7701643"/>
          <a:ext cx="2207381" cy="719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All daily load numbers are to be entered</a:t>
          </a:r>
          <a:r>
            <a:rPr lang="en-US" sz="1100" baseline="0"/>
            <a:t> in the "Daily Load" Sheet right next to this one.</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628650</xdr:colOff>
      <xdr:row>56</xdr:row>
      <xdr:rowOff>19050</xdr:rowOff>
    </xdr:to>
    <xdr:sp macro="" textlink="">
      <xdr:nvSpPr>
        <xdr:cNvPr id="79873" name="Text Box 1">
          <a:extLst>
            <a:ext uri="{FF2B5EF4-FFF2-40B4-BE49-F238E27FC236}">
              <a16:creationId xmlns:a16="http://schemas.microsoft.com/office/drawing/2014/main" id="{7763BCA2-7857-FBD2-02CD-D61C3A1928A7}"/>
            </a:ext>
          </a:extLst>
        </xdr:cNvPr>
        <xdr:cNvSpPr txBox="1">
          <a:spLocks noChangeArrowheads="1"/>
        </xdr:cNvSpPr>
      </xdr:nvSpPr>
      <xdr:spPr bwMode="auto">
        <a:xfrm>
          <a:off x="0" y="0"/>
          <a:ext cx="5919107" cy="10991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sng" strike="noStrike" baseline="0">
              <a:solidFill>
                <a:srgbClr val="FF0000"/>
              </a:solidFill>
              <a:latin typeface="Arial"/>
              <a:cs typeface="Arial"/>
            </a:rPr>
            <a:t>All well data is entered in the DATA SHEET</a:t>
          </a:r>
          <a:endParaRPr lang="en-CA" sz="1000" b="0" i="0" u="none" strike="noStrike" baseline="0">
            <a:solidFill>
              <a:srgbClr val="000000"/>
            </a:solidFill>
            <a:latin typeface="Arial"/>
            <a:cs typeface="Arial"/>
          </a:endParaRPr>
        </a:p>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Some entries can be made in the SUMMARY SHEET, such as tubing strings and depths, etc.</a:t>
          </a:r>
        </a:p>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**perforations and zones of interest will populate the OPERATIONS SHEET automatically</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Enter fluids used, trucked in and recovered in the DAILY LOAD SHEET.  The net load to recover numbers will populate the OPERATIONS automatically</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**any fluids trucked in or trucked out should also be entered in the LOAD SHEET.  If you forget to enter the same numbers in the LOAD, you will see an error message in that sheet, prompting you to correct the difference.</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Costs should be entered in the COST CONTROL SHEET, then entered in the PURCHORD SHEET, with the correct service company and code.</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All costs entered in COST CONTROL will populate correctly in the OPERATIONS SHEET automatically.</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TRANSFER SHEET needs to be e-mailed to OPERATIONS at the end of the job.</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Instructions for daily e-mails:</a:t>
          </a:r>
        </a:p>
        <a:p>
          <a:pPr algn="l" rtl="0">
            <a:defRPr sz="1000"/>
          </a:pPr>
          <a:r>
            <a:rPr lang="en-CA" sz="1000" b="1" i="0" u="none" strike="noStrike" baseline="0">
              <a:solidFill>
                <a:srgbClr val="000000"/>
              </a:solidFill>
              <a:latin typeface="Arial"/>
              <a:cs typeface="Arial"/>
            </a:rPr>
            <a:t>1)  In the OPERATIONS SHEET, go to EDIT, then MOVE OR COPY SHEET.  In the dialogue box, scroll up to NEW BOOK, check CREATE COPY, then OK.</a:t>
          </a:r>
        </a:p>
        <a:p>
          <a:pPr algn="l" rtl="0">
            <a:defRPr sz="1000"/>
          </a:pPr>
          <a:r>
            <a:rPr lang="en-CA" sz="1000" b="1" i="0" u="none" strike="noStrike" baseline="0">
              <a:solidFill>
                <a:srgbClr val="000000"/>
              </a:solidFill>
              <a:latin typeface="Arial"/>
              <a:cs typeface="Arial"/>
            </a:rPr>
            <a:t>2)  Next, go to FILE, then SAVE AS, then save it as __-__ e-mail copy.  Close the file, then go to your browser and send the email with the attachment  named "__-__ e-mail copy".  You can add as many sheets as you want to this e-mail copy.  For example, if you are swabbing, and want to include the swab report, before closing the e-mail copy, go to SWAB, then EDIT, MOVE OR COPY SHEET, and so on.  Add the sheet (copy only) to the __-__  e-mail copy by scrolling through the available open workbooks in the dialogue box.</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Enter all COST CODES and COST CATEGORIES in the </a:t>
          </a:r>
          <a:r>
            <a:rPr lang="en-CA" sz="1000" b="1" i="0" u="none" strike="noStrike" baseline="0">
              <a:solidFill>
                <a:srgbClr val="FF0000"/>
              </a:solidFill>
              <a:latin typeface="Arial"/>
              <a:cs typeface="Arial"/>
            </a:rPr>
            <a:t>Data Validation Sheet</a:t>
          </a:r>
          <a:r>
            <a:rPr lang="en-CA" sz="1000" b="1" i="0" u="none" strike="noStrike" baseline="0">
              <a:solidFill>
                <a:srgbClr val="000000"/>
              </a:solidFill>
              <a:latin typeface="Arial"/>
              <a:cs typeface="Arial"/>
            </a:rPr>
            <a:t>.  These values will automatically populate in the AFE, PURCHORD and Daily Operations sheets.</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workbook is designed to be used in Canada or the USA.  In many of the sheets, you will be able to specify whether Metric or English units are used, from a dropdown menu.  Many of the worksheets are in Protected mode.  Should you need to make changes for any reason, and need to unprotect the sheet, simply go to </a:t>
          </a:r>
          <a:r>
            <a:rPr lang="en-CA" sz="1000" b="1" i="0" u="none" strike="noStrike" baseline="0">
              <a:solidFill>
                <a:srgbClr val="FF0000"/>
              </a:solidFill>
              <a:latin typeface="Arial"/>
              <a:cs typeface="Arial"/>
            </a:rPr>
            <a:t>Review--&gt;Unprotect Sheet--&gt;Click on that</a:t>
          </a:r>
          <a:r>
            <a:rPr lang="en-CA" sz="1000" b="1" i="0" u="none" strike="noStrike" baseline="0">
              <a:solidFill>
                <a:srgbClr val="000000"/>
              </a:solidFill>
              <a:latin typeface="Arial"/>
              <a:cs typeface="Arial"/>
            </a:rPr>
            <a:t>.  No password is required.  You will then be able to edit all the fields.  Be careful to try not to overwrite some of the formulas.</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Use the MENU tab to jump to specific sheets without the need to scroll through them.</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When saving this workbook, you will get an error message like this: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Just click on "OK to All" and all will be well.  I hope you enjoy using this report package.  </a:t>
          </a:r>
        </a:p>
        <a:p>
          <a:pPr algn="l" rtl="0">
            <a:defRPr sz="1000"/>
          </a:pPr>
          <a:endParaRPr lang="en-CA" sz="1000" b="1" i="0" u="none" strike="noStrike" baseline="0">
            <a:solidFill>
              <a:srgbClr val="000000"/>
            </a:solidFill>
            <a:latin typeface="Arial"/>
            <a:cs typeface="Arial"/>
          </a:endParaRPr>
        </a:p>
      </xdr:txBody>
    </xdr:sp>
    <xdr:clientData/>
  </xdr:twoCellAnchor>
  <xdr:twoCellAnchor editAs="oneCell">
    <xdr:from>
      <xdr:col>1</xdr:col>
      <xdr:colOff>454480</xdr:colOff>
      <xdr:row>33</xdr:row>
      <xdr:rowOff>16330</xdr:rowOff>
    </xdr:from>
    <xdr:to>
      <xdr:col>6</xdr:col>
      <xdr:colOff>201468</xdr:colOff>
      <xdr:row>45</xdr:row>
      <xdr:rowOff>16391</xdr:rowOff>
    </xdr:to>
    <xdr:pic>
      <xdr:nvPicPr>
        <xdr:cNvPr id="3" name="Picture 2">
          <a:extLst>
            <a:ext uri="{FF2B5EF4-FFF2-40B4-BE49-F238E27FC236}">
              <a16:creationId xmlns:a16="http://schemas.microsoft.com/office/drawing/2014/main" id="{3C3FA46D-E78F-2E40-C062-C04776BC1C9B}"/>
            </a:ext>
          </a:extLst>
        </xdr:cNvPr>
        <xdr:cNvPicPr>
          <a:picLocks noChangeAspect="1"/>
        </xdr:cNvPicPr>
      </xdr:nvPicPr>
      <xdr:blipFill>
        <a:blip xmlns:r="http://schemas.openxmlformats.org/officeDocument/2006/relationships" r:embed="rId1"/>
        <a:stretch>
          <a:fillRect/>
        </a:stretch>
      </xdr:blipFill>
      <xdr:spPr>
        <a:xfrm>
          <a:off x="1102180" y="6482444"/>
          <a:ext cx="3094345" cy="235137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38100</xdr:rowOff>
        </xdr:from>
        <xdr:to>
          <xdr:col>0</xdr:col>
          <xdr:colOff>552450</xdr:colOff>
          <xdr:row>1</xdr:row>
          <xdr:rowOff>87086</xdr:rowOff>
        </xdr:to>
        <xdr:sp macro="" textlink="">
          <xdr:nvSpPr>
            <xdr:cNvPr id="39939" name="Button 3" hidden="1">
              <a:extLst>
                <a:ext uri="{63B3BB69-23CF-44E3-9099-C40C66FF867C}">
                  <a14:compatExt spid="_x0000_s39939"/>
                </a:ext>
                <a:ext uri="{FF2B5EF4-FFF2-40B4-BE49-F238E27FC236}">
                  <a16:creationId xmlns:a16="http://schemas.microsoft.com/office/drawing/2014/main" id="{00000000-0008-0000-1E00-0000039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277586</xdr:colOff>
          <xdr:row>0</xdr:row>
          <xdr:rowOff>38100</xdr:rowOff>
        </xdr:from>
        <xdr:to>
          <xdr:col>9</xdr:col>
          <xdr:colOff>593271</xdr:colOff>
          <xdr:row>1</xdr:row>
          <xdr:rowOff>87086</xdr:rowOff>
        </xdr:to>
        <xdr:sp macro="" textlink="">
          <xdr:nvSpPr>
            <xdr:cNvPr id="39940" name="Button 4" hidden="1">
              <a:extLst>
                <a:ext uri="{63B3BB69-23CF-44E3-9099-C40C66FF867C}">
                  <a14:compatExt spid="_x0000_s39940"/>
                </a:ext>
                <a:ext uri="{FF2B5EF4-FFF2-40B4-BE49-F238E27FC236}">
                  <a16:creationId xmlns:a16="http://schemas.microsoft.com/office/drawing/2014/main" id="{00000000-0008-0000-1E00-0000049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Tank Balance</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446314</xdr:colOff>
          <xdr:row>0</xdr:row>
          <xdr:rowOff>24493</xdr:rowOff>
        </xdr:from>
        <xdr:to>
          <xdr:col>8</xdr:col>
          <xdr:colOff>636814</xdr:colOff>
          <xdr:row>1</xdr:row>
          <xdr:rowOff>62593</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My Tally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435429</xdr:colOff>
          <xdr:row>1</xdr:row>
          <xdr:rowOff>95250</xdr:rowOff>
        </xdr:from>
        <xdr:to>
          <xdr:col>9</xdr:col>
          <xdr:colOff>0</xdr:colOff>
          <xdr:row>2</xdr:row>
          <xdr:rowOff>125186</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w="9525">
              <a:miter lim="800000"/>
              <a:headEnd/>
              <a:tailEnd/>
            </a:ln>
          </xdr:spPr>
          <xdr:txBody>
            <a:bodyPr vertOverflow="clip" wrap="square" lIns="64008" tIns="45720" rIns="64008" bIns="45720" anchor="ctr" upright="1"/>
            <a:lstStyle/>
            <a:p>
              <a:pPr algn="ctr" rtl="0">
                <a:defRPr sz="1000"/>
              </a:pPr>
              <a:r>
                <a:rPr lang="en-US" sz="800" b="0" i="0" u="none" strike="noStrike" baseline="0">
                  <a:solidFill>
                    <a:srgbClr val="000000"/>
                  </a:solidFill>
                  <a:latin typeface="Arial"/>
                  <a:cs typeface="Arial"/>
                </a:rPr>
                <a:t>Barlon Tally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525236</xdr:colOff>
          <xdr:row>1</xdr:row>
          <xdr:rowOff>38100</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715736</xdr:colOff>
          <xdr:row>0</xdr:row>
          <xdr:rowOff>19050</xdr:rowOff>
        </xdr:from>
        <xdr:to>
          <xdr:col>2</xdr:col>
          <xdr:colOff>435429</xdr:colOff>
          <xdr:row>1</xdr:row>
          <xdr:rowOff>68036</xdr:rowOff>
        </xdr:to>
        <xdr:sp macro="" textlink="">
          <xdr:nvSpPr>
            <xdr:cNvPr id="15378" name="Button 18" hidden="1">
              <a:extLst>
                <a:ext uri="{63B3BB69-23CF-44E3-9099-C40C66FF867C}">
                  <a14:compatExt spid="_x0000_s15378"/>
                </a:ext>
                <a:ext uri="{FF2B5EF4-FFF2-40B4-BE49-F238E27FC236}">
                  <a16:creationId xmlns:a16="http://schemas.microsoft.com/office/drawing/2014/main" id="{00000000-0008-0000-2000-0000123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0</xdr:row>
          <xdr:rowOff>29936</xdr:rowOff>
        </xdr:from>
        <xdr:to>
          <xdr:col>1</xdr:col>
          <xdr:colOff>625929</xdr:colOff>
          <xdr:row>1</xdr:row>
          <xdr:rowOff>78921</xdr:rowOff>
        </xdr:to>
        <xdr:sp macro="" textlink="">
          <xdr:nvSpPr>
            <xdr:cNvPr id="15379" name="Button 19" hidden="1">
              <a:extLst>
                <a:ext uri="{63B3BB69-23CF-44E3-9099-C40C66FF867C}">
                  <a14:compatExt spid="_x0000_s15379"/>
                </a:ext>
                <a:ext uri="{FF2B5EF4-FFF2-40B4-BE49-F238E27FC236}">
                  <a16:creationId xmlns:a16="http://schemas.microsoft.com/office/drawing/2014/main" id="{00000000-0008-0000-2000-0000133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AFE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715736</xdr:colOff>
          <xdr:row>46</xdr:row>
          <xdr:rowOff>19050</xdr:rowOff>
        </xdr:from>
        <xdr:to>
          <xdr:col>2</xdr:col>
          <xdr:colOff>1333500</xdr:colOff>
          <xdr:row>47</xdr:row>
          <xdr:rowOff>68036</xdr:rowOff>
        </xdr:to>
        <xdr:sp macro="" textlink="">
          <xdr:nvSpPr>
            <xdr:cNvPr id="15620" name="Button 260" hidden="1">
              <a:extLst>
                <a:ext uri="{63B3BB69-23CF-44E3-9099-C40C66FF867C}">
                  <a14:compatExt spid="_x0000_s15620"/>
                </a:ext>
                <a:ext uri="{FF2B5EF4-FFF2-40B4-BE49-F238E27FC236}">
                  <a16:creationId xmlns:a16="http://schemas.microsoft.com/office/drawing/2014/main" id="{00000000-0008-0000-2000-0000043D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10886</xdr:colOff>
          <xdr:row>46</xdr:row>
          <xdr:rowOff>38100</xdr:rowOff>
        </xdr:from>
        <xdr:to>
          <xdr:col>2</xdr:col>
          <xdr:colOff>625929</xdr:colOff>
          <xdr:row>47</xdr:row>
          <xdr:rowOff>87086</xdr:rowOff>
        </xdr:to>
        <xdr:sp macro="" textlink="">
          <xdr:nvSpPr>
            <xdr:cNvPr id="15621" name="Button 261" hidden="1">
              <a:extLst>
                <a:ext uri="{63B3BB69-23CF-44E3-9099-C40C66FF867C}">
                  <a14:compatExt spid="_x0000_s15621"/>
                </a:ext>
                <a:ext uri="{FF2B5EF4-FFF2-40B4-BE49-F238E27FC236}">
                  <a16:creationId xmlns:a16="http://schemas.microsoft.com/office/drawing/2014/main" id="{00000000-0008-0000-2000-0000053D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AFE</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10886</xdr:colOff>
          <xdr:row>0</xdr:row>
          <xdr:rowOff>48986</xdr:rowOff>
        </xdr:from>
        <xdr:to>
          <xdr:col>5</xdr:col>
          <xdr:colOff>612321</xdr:colOff>
          <xdr:row>1</xdr:row>
          <xdr:rowOff>57150</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2100-00000A3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10886</xdr:colOff>
          <xdr:row>0</xdr:row>
          <xdr:rowOff>19050</xdr:rowOff>
        </xdr:from>
        <xdr:to>
          <xdr:col>1</xdr:col>
          <xdr:colOff>304800</xdr:colOff>
          <xdr:row>1</xdr:row>
          <xdr:rowOff>152400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2200-000001D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xdr:row>
          <xdr:rowOff>10886</xdr:rowOff>
        </xdr:from>
        <xdr:to>
          <xdr:col>14</xdr:col>
          <xdr:colOff>171450</xdr:colOff>
          <xdr:row>1</xdr:row>
          <xdr:rowOff>217714</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2200-000002D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Depth Calc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29936</xdr:colOff>
          <xdr:row>2</xdr:row>
          <xdr:rowOff>62593</xdr:rowOff>
        </xdr:from>
        <xdr:to>
          <xdr:col>14</xdr:col>
          <xdr:colOff>201386</xdr:colOff>
          <xdr:row>3</xdr:row>
          <xdr:rowOff>70757</xdr:rowOff>
        </xdr:to>
        <xdr:sp macro="" textlink="">
          <xdr:nvSpPr>
            <xdr:cNvPr id="56323" name="Button 3" hidden="1">
              <a:extLst>
                <a:ext uri="{63B3BB69-23CF-44E3-9099-C40C66FF867C}">
                  <a14:compatExt spid="_x0000_s56323"/>
                </a:ext>
                <a:ext uri="{FF2B5EF4-FFF2-40B4-BE49-F238E27FC236}">
                  <a16:creationId xmlns:a16="http://schemas.microsoft.com/office/drawing/2014/main" id="{00000000-0008-0000-2200-000003D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Barlon Tally</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1</xdr:col>
          <xdr:colOff>302079</xdr:colOff>
          <xdr:row>1</xdr:row>
          <xdr:rowOff>76200</xdr:rowOff>
        </xdr:to>
        <xdr:sp macro="" textlink="">
          <xdr:nvSpPr>
            <xdr:cNvPr id="37898" name="Button 10" hidden="1">
              <a:extLst>
                <a:ext uri="{63B3BB69-23CF-44E3-9099-C40C66FF867C}">
                  <a14:compatExt spid="_x0000_s37898"/>
                </a:ext>
                <a:ext uri="{FF2B5EF4-FFF2-40B4-BE49-F238E27FC236}">
                  <a16:creationId xmlns:a16="http://schemas.microsoft.com/office/drawing/2014/main" id="{00000000-0008-0000-2300-00000A94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0</xdr:row>
          <xdr:rowOff>29936</xdr:rowOff>
        </xdr:from>
        <xdr:to>
          <xdr:col>9</xdr:col>
          <xdr:colOff>808264</xdr:colOff>
          <xdr:row>1</xdr:row>
          <xdr:rowOff>76200</xdr:rowOff>
        </xdr:to>
        <xdr:sp macro="" textlink="">
          <xdr:nvSpPr>
            <xdr:cNvPr id="37899" name="Button 11" hidden="1">
              <a:extLst>
                <a:ext uri="{63B3BB69-23CF-44E3-9099-C40C66FF867C}">
                  <a14:compatExt spid="_x0000_s37899"/>
                </a:ext>
                <a:ext uri="{FF2B5EF4-FFF2-40B4-BE49-F238E27FC236}">
                  <a16:creationId xmlns:a16="http://schemas.microsoft.com/office/drawing/2014/main" id="{00000000-0008-0000-2300-00000B94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My Tally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xdr:row>
          <xdr:rowOff>76200</xdr:rowOff>
        </xdr:from>
        <xdr:to>
          <xdr:col>9</xdr:col>
          <xdr:colOff>808264</xdr:colOff>
          <xdr:row>3</xdr:row>
          <xdr:rowOff>127907</xdr:rowOff>
        </xdr:to>
        <xdr:sp macro="" textlink="">
          <xdr:nvSpPr>
            <xdr:cNvPr id="37900" name="Button 12" hidden="1">
              <a:extLst>
                <a:ext uri="{63B3BB69-23CF-44E3-9099-C40C66FF867C}">
                  <a14:compatExt spid="_x0000_s37900"/>
                </a:ext>
                <a:ext uri="{FF2B5EF4-FFF2-40B4-BE49-F238E27FC236}">
                  <a16:creationId xmlns:a16="http://schemas.microsoft.com/office/drawing/2014/main" id="{00000000-0008-0000-2300-00000C940000}"/>
                </a:ext>
              </a:extLst>
            </xdr:cNvPr>
            <xdr:cNvSpPr/>
          </xdr:nvSpPr>
          <xdr:spPr bwMode="auto">
            <a:xfrm>
              <a:off x="0" y="0"/>
              <a:ext cx="0" cy="0"/>
            </a:xfrm>
            <a:prstGeom prst="rect">
              <a:avLst/>
            </a:prstGeom>
            <a:noFill/>
            <a:ln w="9525">
              <a:miter lim="800000"/>
              <a:headEnd/>
              <a:tailEnd/>
            </a:ln>
          </xdr:spPr>
          <xdr:txBody>
            <a:bodyPr vertOverflow="clip" wrap="square" lIns="64008" tIns="45720" rIns="64008" bIns="45720" anchor="ctr" upright="1"/>
            <a:lstStyle/>
            <a:p>
              <a:pPr algn="ctr" rtl="0">
                <a:defRPr sz="1000"/>
              </a:pPr>
              <a:r>
                <a:rPr lang="en-US" sz="800" b="0" i="0" u="none" strike="noStrike" baseline="0">
                  <a:solidFill>
                    <a:srgbClr val="000000"/>
                  </a:solidFill>
                  <a:latin typeface="Arial"/>
                  <a:cs typeface="Arial"/>
                </a:rPr>
                <a:t>Depth Calc</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157843</xdr:colOff>
          <xdr:row>0</xdr:row>
          <xdr:rowOff>68036</xdr:rowOff>
        </xdr:from>
        <xdr:to>
          <xdr:col>1</xdr:col>
          <xdr:colOff>59871</xdr:colOff>
          <xdr:row>1</xdr:row>
          <xdr:rowOff>117021</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2400-0000035C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1</xdr:col>
      <xdr:colOff>465364</xdr:colOff>
      <xdr:row>5</xdr:row>
      <xdr:rowOff>87086</xdr:rowOff>
    </xdr:from>
    <xdr:to>
      <xdr:col>4</xdr:col>
      <xdr:colOff>10886</xdr:colOff>
      <xdr:row>5</xdr:row>
      <xdr:rowOff>87086</xdr:rowOff>
    </xdr:to>
    <xdr:sp macro="" textlink="">
      <xdr:nvSpPr>
        <xdr:cNvPr id="26629" name="Line 1">
          <a:extLst>
            <a:ext uri="{FF2B5EF4-FFF2-40B4-BE49-F238E27FC236}">
              <a16:creationId xmlns:a16="http://schemas.microsoft.com/office/drawing/2014/main" id="{ED95BC4E-991C-CB8B-E273-D0D9D2AD4395}"/>
            </a:ext>
          </a:extLst>
        </xdr:cNvPr>
        <xdr:cNvSpPr>
          <a:spLocks noChangeShapeType="1"/>
        </xdr:cNvSpPr>
      </xdr:nvSpPr>
      <xdr:spPr bwMode="auto">
        <a:xfrm>
          <a:off x="1113064" y="917121"/>
          <a:ext cx="148862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19050</xdr:rowOff>
        </xdr:from>
        <xdr:to>
          <xdr:col>0</xdr:col>
          <xdr:colOff>547007</xdr:colOff>
          <xdr:row>1</xdr:row>
          <xdr:rowOff>68036</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2500-0000026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0</xdr:col>
      <xdr:colOff>59871</xdr:colOff>
      <xdr:row>61</xdr:row>
      <xdr:rowOff>68036</xdr:rowOff>
    </xdr:from>
    <xdr:to>
      <xdr:col>10</xdr:col>
      <xdr:colOff>576943</xdr:colOff>
      <xdr:row>64</xdr:row>
      <xdr:rowOff>146957</xdr:rowOff>
    </xdr:to>
    <xdr:sp macro="" textlink="">
      <xdr:nvSpPr>
        <xdr:cNvPr id="58383" name="Text Box 3">
          <a:extLst>
            <a:ext uri="{FF2B5EF4-FFF2-40B4-BE49-F238E27FC236}">
              <a16:creationId xmlns:a16="http://schemas.microsoft.com/office/drawing/2014/main" id="{FFCB6BE3-E8BF-EA1D-2B51-C2E80FA022BF}"/>
            </a:ext>
          </a:extLst>
        </xdr:cNvPr>
        <xdr:cNvSpPr txBox="1">
          <a:spLocks noChangeArrowheads="1"/>
        </xdr:cNvSpPr>
      </xdr:nvSpPr>
      <xdr:spPr bwMode="auto">
        <a:xfrm>
          <a:off x="59871" y="10194471"/>
          <a:ext cx="6994072" cy="576943"/>
        </a:xfrm>
        <a:prstGeom prst="rect">
          <a:avLst/>
        </a:prstGeom>
        <a:solidFill>
          <a:srgbClr val="FFFFFF"/>
        </a:solidFill>
        <a:ln w="9525">
          <a:solidFill>
            <a:srgbClr val="00FFFF"/>
          </a:solidFill>
          <a:miter lim="800000"/>
          <a:headEnd/>
          <a:tailEnd/>
        </a:ln>
      </xdr:spPr>
    </xdr:sp>
    <xdr:clientData/>
  </xdr:twoCellAnchor>
  <xdr:twoCellAnchor editAs="oneCell">
    <xdr:from>
      <xdr:col>4</xdr:col>
      <xdr:colOff>495300</xdr:colOff>
      <xdr:row>84</xdr:row>
      <xdr:rowOff>136071</xdr:rowOff>
    </xdr:from>
    <xdr:to>
      <xdr:col>10</xdr:col>
      <xdr:colOff>587829</xdr:colOff>
      <xdr:row>86</xdr:row>
      <xdr:rowOff>127907</xdr:rowOff>
    </xdr:to>
    <xdr:sp macro="" textlink="">
      <xdr:nvSpPr>
        <xdr:cNvPr id="58384" name="Text Box 4">
          <a:extLst>
            <a:ext uri="{FF2B5EF4-FFF2-40B4-BE49-F238E27FC236}">
              <a16:creationId xmlns:a16="http://schemas.microsoft.com/office/drawing/2014/main" id="{9E155A67-B9A4-D097-0184-CFBF3B10CAB1}"/>
            </a:ext>
          </a:extLst>
        </xdr:cNvPr>
        <xdr:cNvSpPr txBox="1">
          <a:spLocks noChangeArrowheads="1"/>
        </xdr:cNvSpPr>
      </xdr:nvSpPr>
      <xdr:spPr bwMode="auto">
        <a:xfrm>
          <a:off x="3086100" y="14080671"/>
          <a:ext cx="3978729" cy="323850"/>
        </a:xfrm>
        <a:prstGeom prst="rect">
          <a:avLst/>
        </a:prstGeom>
        <a:noFill/>
        <a:ln w="9525">
          <a:solidFill>
            <a:srgbClr val="00FF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234043</xdr:colOff>
      <xdr:row>86</xdr:row>
      <xdr:rowOff>38100</xdr:rowOff>
    </xdr:from>
    <xdr:to>
      <xdr:col>4</xdr:col>
      <xdr:colOff>424543</xdr:colOff>
      <xdr:row>87</xdr:row>
      <xdr:rowOff>108857</xdr:rowOff>
    </xdr:to>
    <xdr:sp macro="" textlink="">
      <xdr:nvSpPr>
        <xdr:cNvPr id="58385" name="Text Box 5">
          <a:extLst>
            <a:ext uri="{FF2B5EF4-FFF2-40B4-BE49-F238E27FC236}">
              <a16:creationId xmlns:a16="http://schemas.microsoft.com/office/drawing/2014/main" id="{667C299F-0B0A-A505-B25B-223EED4B9BED}"/>
            </a:ext>
          </a:extLst>
        </xdr:cNvPr>
        <xdr:cNvSpPr txBox="1">
          <a:spLocks noChangeArrowheads="1"/>
        </xdr:cNvSpPr>
      </xdr:nvSpPr>
      <xdr:spPr bwMode="auto">
        <a:xfrm>
          <a:off x="2177143" y="14314714"/>
          <a:ext cx="838200" cy="236765"/>
        </a:xfrm>
        <a:prstGeom prst="rect">
          <a:avLst/>
        </a:prstGeom>
        <a:noFill/>
        <a:ln w="9525">
          <a:solidFill>
            <a:srgbClr val="69FF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xdr:col>
          <xdr:colOff>334736</xdr:colOff>
          <xdr:row>0</xdr:row>
          <xdr:rowOff>87086</xdr:rowOff>
        </xdr:from>
        <xdr:to>
          <xdr:col>11</xdr:col>
          <xdr:colOff>234043</xdr:colOff>
          <xdr:row>1</xdr:row>
          <xdr:rowOff>136071</xdr:rowOff>
        </xdr:to>
        <xdr:sp macro="" textlink="">
          <xdr:nvSpPr>
            <xdr:cNvPr id="58369" name="Button 1" hidden="1">
              <a:extLst>
                <a:ext uri="{63B3BB69-23CF-44E3-9099-C40C66FF867C}">
                  <a14:compatExt spid="_x0000_s58369"/>
                </a:ext>
                <a:ext uri="{FF2B5EF4-FFF2-40B4-BE49-F238E27FC236}">
                  <a16:creationId xmlns:a16="http://schemas.microsoft.com/office/drawing/2014/main" id="{00000000-0008-0000-2600-000001E4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19050</xdr:rowOff>
        </xdr:from>
        <xdr:to>
          <xdr:col>0</xdr:col>
          <xdr:colOff>547007</xdr:colOff>
          <xdr:row>2</xdr:row>
          <xdr:rowOff>68036</xdr:rowOff>
        </xdr:to>
        <xdr:sp macro="" textlink="">
          <xdr:nvSpPr>
            <xdr:cNvPr id="32770" name="Button 2" hidden="1">
              <a:extLst>
                <a:ext uri="{63B3BB69-23CF-44E3-9099-C40C66FF867C}">
                  <a14:compatExt spid="_x0000_s32770"/>
                </a:ext>
                <a:ext uri="{FF2B5EF4-FFF2-40B4-BE49-F238E27FC236}">
                  <a16:creationId xmlns:a16="http://schemas.microsoft.com/office/drawing/2014/main" id="{00000000-0008-0000-2700-0000028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612321</xdr:colOff>
          <xdr:row>0</xdr:row>
          <xdr:rowOff>0</xdr:rowOff>
        </xdr:from>
        <xdr:to>
          <xdr:col>12</xdr:col>
          <xdr:colOff>503464</xdr:colOff>
          <xdr:row>1</xdr:row>
          <xdr:rowOff>48986</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0300-00000134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40.xml><?xml version="1.0" encoding="utf-8"?>
<xdr:wsDr xmlns:xdr="http://schemas.openxmlformats.org/drawingml/2006/spreadsheetDrawing" xmlns:a="http://schemas.openxmlformats.org/drawingml/2006/main">
  <xdr:twoCellAnchor>
    <xdr:from>
      <xdr:col>3</xdr:col>
      <xdr:colOff>111579</xdr:colOff>
      <xdr:row>24</xdr:row>
      <xdr:rowOff>108857</xdr:rowOff>
    </xdr:from>
    <xdr:to>
      <xdr:col>4</xdr:col>
      <xdr:colOff>19050</xdr:colOff>
      <xdr:row>24</xdr:row>
      <xdr:rowOff>108857</xdr:rowOff>
    </xdr:to>
    <xdr:sp macro="" textlink="">
      <xdr:nvSpPr>
        <xdr:cNvPr id="22536" name="Line 1">
          <a:extLst>
            <a:ext uri="{FF2B5EF4-FFF2-40B4-BE49-F238E27FC236}">
              <a16:creationId xmlns:a16="http://schemas.microsoft.com/office/drawing/2014/main" id="{A6334853-1F86-F692-450B-0582F6F798EE}"/>
            </a:ext>
          </a:extLst>
        </xdr:cNvPr>
        <xdr:cNvSpPr>
          <a:spLocks noChangeShapeType="1"/>
        </xdr:cNvSpPr>
      </xdr:nvSpPr>
      <xdr:spPr bwMode="auto">
        <a:xfrm>
          <a:off x="1989364" y="4093029"/>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29936</xdr:colOff>
          <xdr:row>0</xdr:row>
          <xdr:rowOff>19050</xdr:rowOff>
        </xdr:from>
        <xdr:to>
          <xdr:col>0</xdr:col>
          <xdr:colOff>574221</xdr:colOff>
          <xdr:row>1</xdr:row>
          <xdr:rowOff>68036</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2800-0000035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29936</xdr:colOff>
          <xdr:row>1</xdr:row>
          <xdr:rowOff>97971</xdr:rowOff>
        </xdr:from>
        <xdr:to>
          <xdr:col>1</xdr:col>
          <xdr:colOff>261257</xdr:colOff>
          <xdr:row>2</xdr:row>
          <xdr:rowOff>146957</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2800-0000045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Depth Calc</a:t>
              </a:r>
            </a:p>
          </xdr:txBody>
        </xdr:sp>
        <xdr:clientData fPrintsWithSheet="0"/>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7</xdr:col>
      <xdr:colOff>506186</xdr:colOff>
      <xdr:row>6</xdr:row>
      <xdr:rowOff>68036</xdr:rowOff>
    </xdr:from>
    <xdr:to>
      <xdr:col>8</xdr:col>
      <xdr:colOff>141514</xdr:colOff>
      <xdr:row>6</xdr:row>
      <xdr:rowOff>68036</xdr:rowOff>
    </xdr:to>
    <xdr:sp macro="" textlink="">
      <xdr:nvSpPr>
        <xdr:cNvPr id="25614" name="Line 7">
          <a:extLst>
            <a:ext uri="{FF2B5EF4-FFF2-40B4-BE49-F238E27FC236}">
              <a16:creationId xmlns:a16="http://schemas.microsoft.com/office/drawing/2014/main" id="{B178058B-576F-CCBD-E82B-89DFED701970}"/>
            </a:ext>
          </a:extLst>
        </xdr:cNvPr>
        <xdr:cNvSpPr>
          <a:spLocks noChangeShapeType="1"/>
        </xdr:cNvSpPr>
      </xdr:nvSpPr>
      <xdr:spPr bwMode="auto">
        <a:xfrm>
          <a:off x="5040086" y="1064079"/>
          <a:ext cx="2830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487136</xdr:colOff>
      <xdr:row>6</xdr:row>
      <xdr:rowOff>78921</xdr:rowOff>
    </xdr:from>
    <xdr:to>
      <xdr:col>8</xdr:col>
      <xdr:colOff>152400</xdr:colOff>
      <xdr:row>7</xdr:row>
      <xdr:rowOff>57150</xdr:rowOff>
    </xdr:to>
    <xdr:sp macro="" textlink="">
      <xdr:nvSpPr>
        <xdr:cNvPr id="25615" name="Line 8">
          <a:extLst>
            <a:ext uri="{FF2B5EF4-FFF2-40B4-BE49-F238E27FC236}">
              <a16:creationId xmlns:a16="http://schemas.microsoft.com/office/drawing/2014/main" id="{E07568A2-FB53-30E7-53FE-0D727BF92572}"/>
            </a:ext>
          </a:extLst>
        </xdr:cNvPr>
        <xdr:cNvSpPr>
          <a:spLocks noChangeShapeType="1"/>
        </xdr:cNvSpPr>
      </xdr:nvSpPr>
      <xdr:spPr bwMode="auto">
        <a:xfrm flipH="1">
          <a:off x="5021036" y="1074964"/>
          <a:ext cx="312964" cy="14423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19050</xdr:rowOff>
        </xdr:from>
        <xdr:to>
          <xdr:col>0</xdr:col>
          <xdr:colOff>525236</xdr:colOff>
          <xdr:row>1</xdr:row>
          <xdr:rowOff>57150</xdr:rowOff>
        </xdr:to>
        <xdr:sp macro="" textlink="">
          <xdr:nvSpPr>
            <xdr:cNvPr id="25609" name="Button 9" hidden="1">
              <a:extLst>
                <a:ext uri="{63B3BB69-23CF-44E3-9099-C40C66FF867C}">
                  <a14:compatExt spid="_x0000_s25609"/>
                </a:ext>
                <a:ext uri="{FF2B5EF4-FFF2-40B4-BE49-F238E27FC236}">
                  <a16:creationId xmlns:a16="http://schemas.microsoft.com/office/drawing/2014/main" id="{00000000-0008-0000-2900-00000964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40821</xdr:colOff>
          <xdr:row>0</xdr:row>
          <xdr:rowOff>19050</xdr:rowOff>
        </xdr:from>
        <xdr:to>
          <xdr:col>0</xdr:col>
          <xdr:colOff>566057</xdr:colOff>
          <xdr:row>1</xdr:row>
          <xdr:rowOff>48986</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2A00-00000424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81643</xdr:colOff>
          <xdr:row>1</xdr:row>
          <xdr:rowOff>87086</xdr:rowOff>
        </xdr:from>
        <xdr:to>
          <xdr:col>2</xdr:col>
          <xdr:colOff>223157</xdr:colOff>
          <xdr:row>2</xdr:row>
          <xdr:rowOff>127907</xdr:rowOff>
        </xdr:to>
        <xdr:sp macro="" textlink="">
          <xdr:nvSpPr>
            <xdr:cNvPr id="38919" name="Button 7" hidden="1">
              <a:extLst>
                <a:ext uri="{63B3BB69-23CF-44E3-9099-C40C66FF867C}">
                  <a14:compatExt spid="_x0000_s38919"/>
                </a:ext>
                <a:ext uri="{FF2B5EF4-FFF2-40B4-BE49-F238E27FC236}">
                  <a16:creationId xmlns:a16="http://schemas.microsoft.com/office/drawing/2014/main" id="{00000000-0008-0000-2B00-0000079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46</xdr:row>
          <xdr:rowOff>87086</xdr:rowOff>
        </xdr:from>
        <xdr:to>
          <xdr:col>2</xdr:col>
          <xdr:colOff>223157</xdr:colOff>
          <xdr:row>47</xdr:row>
          <xdr:rowOff>127907</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2B00-0000089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91</xdr:row>
          <xdr:rowOff>87086</xdr:rowOff>
        </xdr:from>
        <xdr:to>
          <xdr:col>2</xdr:col>
          <xdr:colOff>223157</xdr:colOff>
          <xdr:row>92</xdr:row>
          <xdr:rowOff>127907</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2B00-0000099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136</xdr:row>
          <xdr:rowOff>87086</xdr:rowOff>
        </xdr:from>
        <xdr:to>
          <xdr:col>2</xdr:col>
          <xdr:colOff>223157</xdr:colOff>
          <xdr:row>137</xdr:row>
          <xdr:rowOff>127907</xdr:rowOff>
        </xdr:to>
        <xdr:sp macro="" textlink="">
          <xdr:nvSpPr>
            <xdr:cNvPr id="38922" name="Button 10" hidden="1">
              <a:extLst>
                <a:ext uri="{63B3BB69-23CF-44E3-9099-C40C66FF867C}">
                  <a14:compatExt spid="_x0000_s38922"/>
                </a:ext>
                <a:ext uri="{FF2B5EF4-FFF2-40B4-BE49-F238E27FC236}">
                  <a16:creationId xmlns:a16="http://schemas.microsoft.com/office/drawing/2014/main" id="{00000000-0008-0000-2B00-00000A9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181</xdr:row>
          <xdr:rowOff>87086</xdr:rowOff>
        </xdr:from>
        <xdr:to>
          <xdr:col>2</xdr:col>
          <xdr:colOff>223157</xdr:colOff>
          <xdr:row>182</xdr:row>
          <xdr:rowOff>127907</xdr:rowOff>
        </xdr:to>
        <xdr:sp macro="" textlink="">
          <xdr:nvSpPr>
            <xdr:cNvPr id="38923" name="Button 11" hidden="1">
              <a:extLst>
                <a:ext uri="{63B3BB69-23CF-44E3-9099-C40C66FF867C}">
                  <a14:compatExt spid="_x0000_s38923"/>
                </a:ext>
                <a:ext uri="{FF2B5EF4-FFF2-40B4-BE49-F238E27FC236}">
                  <a16:creationId xmlns:a16="http://schemas.microsoft.com/office/drawing/2014/main" id="{00000000-0008-0000-2B00-00000B9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226</xdr:row>
          <xdr:rowOff>87086</xdr:rowOff>
        </xdr:from>
        <xdr:to>
          <xdr:col>2</xdr:col>
          <xdr:colOff>223157</xdr:colOff>
          <xdr:row>227</xdr:row>
          <xdr:rowOff>127907</xdr:rowOff>
        </xdr:to>
        <xdr:sp macro="" textlink="">
          <xdr:nvSpPr>
            <xdr:cNvPr id="38924" name="Button 12" hidden="1">
              <a:extLst>
                <a:ext uri="{63B3BB69-23CF-44E3-9099-C40C66FF867C}">
                  <a14:compatExt spid="_x0000_s38924"/>
                </a:ext>
                <a:ext uri="{FF2B5EF4-FFF2-40B4-BE49-F238E27FC236}">
                  <a16:creationId xmlns:a16="http://schemas.microsoft.com/office/drawing/2014/main" id="{00000000-0008-0000-2B00-00000C9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89807</xdr:colOff>
          <xdr:row>1</xdr:row>
          <xdr:rowOff>57150</xdr:rowOff>
        </xdr:from>
        <xdr:to>
          <xdr:col>14</xdr:col>
          <xdr:colOff>111579</xdr:colOff>
          <xdr:row>5</xdr:row>
          <xdr:rowOff>38100</xdr:rowOff>
        </xdr:to>
        <xdr:sp macro="" textlink="">
          <xdr:nvSpPr>
            <xdr:cNvPr id="38925" name="Button 13" hidden="1">
              <a:extLst>
                <a:ext uri="{63B3BB69-23CF-44E3-9099-C40C66FF867C}">
                  <a14:compatExt spid="_x0000_s38925"/>
                </a:ext>
                <a:ext uri="{FF2B5EF4-FFF2-40B4-BE49-F238E27FC236}">
                  <a16:creationId xmlns:a16="http://schemas.microsoft.com/office/drawing/2014/main" id="{00000000-0008-0000-2B00-00000D980000}"/>
                </a:ext>
              </a:extLst>
            </xdr:cNvPr>
            <xdr:cNvSpPr/>
          </xdr:nvSpPr>
          <xdr:spPr bwMode="auto">
            <a:xfrm>
              <a:off x="0" y="0"/>
              <a:ext cx="0" cy="0"/>
            </a:xfrm>
            <a:prstGeom prst="rect">
              <a:avLst/>
            </a:prstGeom>
            <a:noFill/>
            <a:ln w="9525">
              <a:miter lim="800000"/>
              <a:headEnd/>
              <a:tailEnd/>
            </a:ln>
          </xdr:spPr>
          <xdr:txBody>
            <a:bodyPr vertOverflow="clip" wrap="square" lIns="73152" tIns="59436" rIns="73152" bIns="59436" anchor="ctr" upright="1"/>
            <a:lstStyle/>
            <a:p>
              <a:pPr algn="ctr" rtl="0">
                <a:defRPr sz="1000"/>
              </a:pPr>
              <a:r>
                <a:rPr lang="en-US" sz="1000" b="1" i="0" u="none" strike="noStrike" baseline="0">
                  <a:solidFill>
                    <a:srgbClr val="FFFF99"/>
                  </a:solidFill>
                  <a:latin typeface="Arial"/>
                  <a:cs typeface="Arial"/>
                </a:rPr>
                <a:t>Add Swab Sheet</a:t>
              </a:r>
            </a:p>
          </xdr:txBody>
        </xdr:sp>
        <xdr:clientData fPrintsWithSheet="0"/>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81643</xdr:colOff>
          <xdr:row>1</xdr:row>
          <xdr:rowOff>87086</xdr:rowOff>
        </xdr:from>
        <xdr:to>
          <xdr:col>2</xdr:col>
          <xdr:colOff>223157</xdr:colOff>
          <xdr:row>2</xdr:row>
          <xdr:rowOff>127907</xdr:rowOff>
        </xdr:to>
        <xdr:sp macro="" textlink="">
          <xdr:nvSpPr>
            <xdr:cNvPr id="81921" name="Button 1" hidden="1">
              <a:extLst>
                <a:ext uri="{63B3BB69-23CF-44E3-9099-C40C66FF867C}">
                  <a14:compatExt spid="_x0000_s81921"/>
                </a:ext>
                <a:ext uri="{FF2B5EF4-FFF2-40B4-BE49-F238E27FC236}">
                  <a16:creationId xmlns:a16="http://schemas.microsoft.com/office/drawing/2014/main" id="{00000000-0008-0000-2C00-00000140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46</xdr:row>
          <xdr:rowOff>87086</xdr:rowOff>
        </xdr:from>
        <xdr:to>
          <xdr:col>2</xdr:col>
          <xdr:colOff>223157</xdr:colOff>
          <xdr:row>47</xdr:row>
          <xdr:rowOff>127907</xdr:rowOff>
        </xdr:to>
        <xdr:sp macro="" textlink="">
          <xdr:nvSpPr>
            <xdr:cNvPr id="81922" name="Button 2" hidden="1">
              <a:extLst>
                <a:ext uri="{63B3BB69-23CF-44E3-9099-C40C66FF867C}">
                  <a14:compatExt spid="_x0000_s81922"/>
                </a:ext>
                <a:ext uri="{FF2B5EF4-FFF2-40B4-BE49-F238E27FC236}">
                  <a16:creationId xmlns:a16="http://schemas.microsoft.com/office/drawing/2014/main" id="{00000000-0008-0000-2C00-00000240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91</xdr:row>
          <xdr:rowOff>87086</xdr:rowOff>
        </xdr:from>
        <xdr:to>
          <xdr:col>2</xdr:col>
          <xdr:colOff>223157</xdr:colOff>
          <xdr:row>92</xdr:row>
          <xdr:rowOff>127907</xdr:rowOff>
        </xdr:to>
        <xdr:sp macro="" textlink="">
          <xdr:nvSpPr>
            <xdr:cNvPr id="81923" name="Button 3" hidden="1">
              <a:extLst>
                <a:ext uri="{63B3BB69-23CF-44E3-9099-C40C66FF867C}">
                  <a14:compatExt spid="_x0000_s81923"/>
                </a:ext>
                <a:ext uri="{FF2B5EF4-FFF2-40B4-BE49-F238E27FC236}">
                  <a16:creationId xmlns:a16="http://schemas.microsoft.com/office/drawing/2014/main" id="{00000000-0008-0000-2C00-00000340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136</xdr:row>
          <xdr:rowOff>87086</xdr:rowOff>
        </xdr:from>
        <xdr:to>
          <xdr:col>2</xdr:col>
          <xdr:colOff>223157</xdr:colOff>
          <xdr:row>137</xdr:row>
          <xdr:rowOff>127907</xdr:rowOff>
        </xdr:to>
        <xdr:sp macro="" textlink="">
          <xdr:nvSpPr>
            <xdr:cNvPr id="81924" name="Button 4" hidden="1">
              <a:extLst>
                <a:ext uri="{63B3BB69-23CF-44E3-9099-C40C66FF867C}">
                  <a14:compatExt spid="_x0000_s81924"/>
                </a:ext>
                <a:ext uri="{FF2B5EF4-FFF2-40B4-BE49-F238E27FC236}">
                  <a16:creationId xmlns:a16="http://schemas.microsoft.com/office/drawing/2014/main" id="{00000000-0008-0000-2C00-00000440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181</xdr:row>
          <xdr:rowOff>87086</xdr:rowOff>
        </xdr:from>
        <xdr:to>
          <xdr:col>2</xdr:col>
          <xdr:colOff>223157</xdr:colOff>
          <xdr:row>182</xdr:row>
          <xdr:rowOff>127907</xdr:rowOff>
        </xdr:to>
        <xdr:sp macro="" textlink="">
          <xdr:nvSpPr>
            <xdr:cNvPr id="81925" name="Button 5" hidden="1">
              <a:extLst>
                <a:ext uri="{63B3BB69-23CF-44E3-9099-C40C66FF867C}">
                  <a14:compatExt spid="_x0000_s81925"/>
                </a:ext>
                <a:ext uri="{FF2B5EF4-FFF2-40B4-BE49-F238E27FC236}">
                  <a16:creationId xmlns:a16="http://schemas.microsoft.com/office/drawing/2014/main" id="{00000000-0008-0000-2C00-00000540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226</xdr:row>
          <xdr:rowOff>87086</xdr:rowOff>
        </xdr:from>
        <xdr:to>
          <xdr:col>2</xdr:col>
          <xdr:colOff>223157</xdr:colOff>
          <xdr:row>227</xdr:row>
          <xdr:rowOff>127907</xdr:rowOff>
        </xdr:to>
        <xdr:sp macro="" textlink="">
          <xdr:nvSpPr>
            <xdr:cNvPr id="81926" name="Button 6" hidden="1">
              <a:extLst>
                <a:ext uri="{63B3BB69-23CF-44E3-9099-C40C66FF867C}">
                  <a14:compatExt spid="_x0000_s81926"/>
                </a:ext>
                <a:ext uri="{FF2B5EF4-FFF2-40B4-BE49-F238E27FC236}">
                  <a16:creationId xmlns:a16="http://schemas.microsoft.com/office/drawing/2014/main" id="{00000000-0008-0000-2C00-00000640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160564</xdr:colOff>
          <xdr:row>1</xdr:row>
          <xdr:rowOff>38100</xdr:rowOff>
        </xdr:from>
        <xdr:to>
          <xdr:col>14</xdr:col>
          <xdr:colOff>182336</xdr:colOff>
          <xdr:row>5</xdr:row>
          <xdr:rowOff>19050</xdr:rowOff>
        </xdr:to>
        <xdr:sp macro="" textlink="">
          <xdr:nvSpPr>
            <xdr:cNvPr id="81927" name="Button 7" hidden="1">
              <a:extLst>
                <a:ext uri="{63B3BB69-23CF-44E3-9099-C40C66FF867C}">
                  <a14:compatExt spid="_x0000_s81927"/>
                </a:ext>
                <a:ext uri="{FF2B5EF4-FFF2-40B4-BE49-F238E27FC236}">
                  <a16:creationId xmlns:a16="http://schemas.microsoft.com/office/drawing/2014/main" id="{00000000-0008-0000-2C00-000007400100}"/>
                </a:ext>
              </a:extLst>
            </xdr:cNvPr>
            <xdr:cNvSpPr/>
          </xdr:nvSpPr>
          <xdr:spPr bwMode="auto">
            <a:xfrm>
              <a:off x="0" y="0"/>
              <a:ext cx="0" cy="0"/>
            </a:xfrm>
            <a:prstGeom prst="rect">
              <a:avLst/>
            </a:prstGeom>
            <a:noFill/>
            <a:ln w="9525">
              <a:miter lim="800000"/>
              <a:headEnd/>
              <a:tailEnd/>
            </a:ln>
          </xdr:spPr>
          <xdr:txBody>
            <a:bodyPr vertOverflow="clip" wrap="square" lIns="73152" tIns="59436" rIns="73152" bIns="59436" anchor="ctr" upright="1"/>
            <a:lstStyle/>
            <a:p>
              <a:pPr algn="ctr" rtl="0">
                <a:defRPr sz="1000"/>
              </a:pPr>
              <a:r>
                <a:rPr lang="en-US" sz="1000" b="1" i="0" u="none" strike="noStrike" baseline="0">
                  <a:solidFill>
                    <a:srgbClr val="FFFF99"/>
                  </a:solidFill>
                  <a:latin typeface="Arial"/>
                  <a:cs typeface="Arial"/>
                </a:rPr>
                <a:t>Add Swab Sheet</a:t>
              </a:r>
            </a:p>
          </xdr:txBody>
        </xdr:sp>
        <xdr:clientData fPrintsWithSheet="0"/>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81643</xdr:colOff>
          <xdr:row>1</xdr:row>
          <xdr:rowOff>87086</xdr:rowOff>
        </xdr:from>
        <xdr:to>
          <xdr:col>2</xdr:col>
          <xdr:colOff>223157</xdr:colOff>
          <xdr:row>2</xdr:row>
          <xdr:rowOff>127907</xdr:rowOff>
        </xdr:to>
        <xdr:sp macro="" textlink="">
          <xdr:nvSpPr>
            <xdr:cNvPr id="82945" name="Button 1" hidden="1">
              <a:extLst>
                <a:ext uri="{63B3BB69-23CF-44E3-9099-C40C66FF867C}">
                  <a14:compatExt spid="_x0000_s82945"/>
                </a:ext>
                <a:ext uri="{FF2B5EF4-FFF2-40B4-BE49-F238E27FC236}">
                  <a16:creationId xmlns:a16="http://schemas.microsoft.com/office/drawing/2014/main" id="{00000000-0008-0000-2D00-00000144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46</xdr:row>
          <xdr:rowOff>87086</xdr:rowOff>
        </xdr:from>
        <xdr:to>
          <xdr:col>2</xdr:col>
          <xdr:colOff>223157</xdr:colOff>
          <xdr:row>47</xdr:row>
          <xdr:rowOff>127907</xdr:rowOff>
        </xdr:to>
        <xdr:sp macro="" textlink="">
          <xdr:nvSpPr>
            <xdr:cNvPr id="82946" name="Button 2" hidden="1">
              <a:extLst>
                <a:ext uri="{63B3BB69-23CF-44E3-9099-C40C66FF867C}">
                  <a14:compatExt spid="_x0000_s82946"/>
                </a:ext>
                <a:ext uri="{FF2B5EF4-FFF2-40B4-BE49-F238E27FC236}">
                  <a16:creationId xmlns:a16="http://schemas.microsoft.com/office/drawing/2014/main" id="{00000000-0008-0000-2D00-00000244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91</xdr:row>
          <xdr:rowOff>87086</xdr:rowOff>
        </xdr:from>
        <xdr:to>
          <xdr:col>2</xdr:col>
          <xdr:colOff>223157</xdr:colOff>
          <xdr:row>92</xdr:row>
          <xdr:rowOff>127907</xdr:rowOff>
        </xdr:to>
        <xdr:sp macro="" textlink="">
          <xdr:nvSpPr>
            <xdr:cNvPr id="82947" name="Button 3" hidden="1">
              <a:extLst>
                <a:ext uri="{63B3BB69-23CF-44E3-9099-C40C66FF867C}">
                  <a14:compatExt spid="_x0000_s82947"/>
                </a:ext>
                <a:ext uri="{FF2B5EF4-FFF2-40B4-BE49-F238E27FC236}">
                  <a16:creationId xmlns:a16="http://schemas.microsoft.com/office/drawing/2014/main" id="{00000000-0008-0000-2D00-00000344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136</xdr:row>
          <xdr:rowOff>87086</xdr:rowOff>
        </xdr:from>
        <xdr:to>
          <xdr:col>2</xdr:col>
          <xdr:colOff>223157</xdr:colOff>
          <xdr:row>137</xdr:row>
          <xdr:rowOff>127907</xdr:rowOff>
        </xdr:to>
        <xdr:sp macro="" textlink="">
          <xdr:nvSpPr>
            <xdr:cNvPr id="82948" name="Button 4" hidden="1">
              <a:extLst>
                <a:ext uri="{63B3BB69-23CF-44E3-9099-C40C66FF867C}">
                  <a14:compatExt spid="_x0000_s82948"/>
                </a:ext>
                <a:ext uri="{FF2B5EF4-FFF2-40B4-BE49-F238E27FC236}">
                  <a16:creationId xmlns:a16="http://schemas.microsoft.com/office/drawing/2014/main" id="{00000000-0008-0000-2D00-00000444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181</xdr:row>
          <xdr:rowOff>87086</xdr:rowOff>
        </xdr:from>
        <xdr:to>
          <xdr:col>2</xdr:col>
          <xdr:colOff>223157</xdr:colOff>
          <xdr:row>182</xdr:row>
          <xdr:rowOff>127907</xdr:rowOff>
        </xdr:to>
        <xdr:sp macro="" textlink="">
          <xdr:nvSpPr>
            <xdr:cNvPr id="82949" name="Button 5" hidden="1">
              <a:extLst>
                <a:ext uri="{63B3BB69-23CF-44E3-9099-C40C66FF867C}">
                  <a14:compatExt spid="_x0000_s82949"/>
                </a:ext>
                <a:ext uri="{FF2B5EF4-FFF2-40B4-BE49-F238E27FC236}">
                  <a16:creationId xmlns:a16="http://schemas.microsoft.com/office/drawing/2014/main" id="{00000000-0008-0000-2D00-00000544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81643</xdr:colOff>
          <xdr:row>226</xdr:row>
          <xdr:rowOff>87086</xdr:rowOff>
        </xdr:from>
        <xdr:to>
          <xdr:col>2</xdr:col>
          <xdr:colOff>223157</xdr:colOff>
          <xdr:row>227</xdr:row>
          <xdr:rowOff>127907</xdr:rowOff>
        </xdr:to>
        <xdr:sp macro="" textlink="">
          <xdr:nvSpPr>
            <xdr:cNvPr id="82950" name="Button 6" hidden="1">
              <a:extLst>
                <a:ext uri="{63B3BB69-23CF-44E3-9099-C40C66FF867C}">
                  <a14:compatExt spid="_x0000_s82950"/>
                </a:ext>
                <a:ext uri="{FF2B5EF4-FFF2-40B4-BE49-F238E27FC236}">
                  <a16:creationId xmlns:a16="http://schemas.microsoft.com/office/drawing/2014/main" id="{00000000-0008-0000-2D00-00000644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182336</xdr:colOff>
          <xdr:row>1</xdr:row>
          <xdr:rowOff>48986</xdr:rowOff>
        </xdr:from>
        <xdr:to>
          <xdr:col>14</xdr:col>
          <xdr:colOff>201386</xdr:colOff>
          <xdr:row>5</xdr:row>
          <xdr:rowOff>29936</xdr:rowOff>
        </xdr:to>
        <xdr:sp macro="" textlink="">
          <xdr:nvSpPr>
            <xdr:cNvPr id="82951" name="Button 7" hidden="1">
              <a:extLst>
                <a:ext uri="{63B3BB69-23CF-44E3-9099-C40C66FF867C}">
                  <a14:compatExt spid="_x0000_s82951"/>
                </a:ext>
                <a:ext uri="{FF2B5EF4-FFF2-40B4-BE49-F238E27FC236}">
                  <a16:creationId xmlns:a16="http://schemas.microsoft.com/office/drawing/2014/main" id="{00000000-0008-0000-2D00-000007440100}"/>
                </a:ext>
              </a:extLst>
            </xdr:cNvPr>
            <xdr:cNvSpPr/>
          </xdr:nvSpPr>
          <xdr:spPr bwMode="auto">
            <a:xfrm>
              <a:off x="0" y="0"/>
              <a:ext cx="0" cy="0"/>
            </a:xfrm>
            <a:prstGeom prst="rect">
              <a:avLst/>
            </a:prstGeom>
            <a:noFill/>
            <a:ln w="9525">
              <a:miter lim="800000"/>
              <a:headEnd/>
              <a:tailEnd/>
            </a:ln>
          </xdr:spPr>
          <xdr:txBody>
            <a:bodyPr vertOverflow="clip" wrap="square" lIns="73152" tIns="59436" rIns="73152" bIns="59436" anchor="ctr" upright="1"/>
            <a:lstStyle/>
            <a:p>
              <a:pPr algn="ctr" rtl="0">
                <a:defRPr sz="1000"/>
              </a:pPr>
              <a:r>
                <a:rPr lang="en-US" sz="1000" b="1" i="0" u="none" strike="noStrike" baseline="0">
                  <a:solidFill>
                    <a:srgbClr val="FFFF99"/>
                  </a:solidFill>
                  <a:latin typeface="Arial"/>
                  <a:cs typeface="Arial"/>
                </a:rPr>
                <a:t>Add Swab Sheet</a:t>
              </a:r>
            </a:p>
          </xdr:txBody>
        </xdr:sp>
        <xdr:clientData fPrintsWithSheet="0"/>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100693</xdr:colOff>
          <xdr:row>0</xdr:row>
          <xdr:rowOff>51707</xdr:rowOff>
        </xdr:from>
        <xdr:to>
          <xdr:col>1</xdr:col>
          <xdr:colOff>0</xdr:colOff>
          <xdr:row>1</xdr:row>
          <xdr:rowOff>68036</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2E00-0000042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171450</xdr:colOff>
          <xdr:row>0</xdr:row>
          <xdr:rowOff>10886</xdr:rowOff>
        </xdr:from>
        <xdr:to>
          <xdr:col>18</xdr:col>
          <xdr:colOff>514350</xdr:colOff>
          <xdr:row>0</xdr:row>
          <xdr:rowOff>209550</xdr:rowOff>
        </xdr:to>
        <xdr:sp macro="" textlink="">
          <xdr:nvSpPr>
            <xdr:cNvPr id="74758" name="Button 6" hidden="1">
              <a:extLst>
                <a:ext uri="{63B3BB69-23CF-44E3-9099-C40C66FF867C}">
                  <a14:compatExt spid="_x0000_s74758"/>
                </a:ext>
                <a:ext uri="{FF2B5EF4-FFF2-40B4-BE49-F238E27FC236}">
                  <a16:creationId xmlns:a16="http://schemas.microsoft.com/office/drawing/2014/main" id="{00000000-0008-0000-2F00-00000624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48.xml><?xml version="1.0" encoding="utf-8"?>
<xdr:wsDr xmlns:xdr="http://schemas.openxmlformats.org/drawingml/2006/spreadsheetDrawing" xmlns:a="http://schemas.openxmlformats.org/drawingml/2006/main">
  <xdr:twoCellAnchor>
    <xdr:from>
      <xdr:col>6</xdr:col>
      <xdr:colOff>212271</xdr:colOff>
      <xdr:row>1</xdr:row>
      <xdr:rowOff>78921</xdr:rowOff>
    </xdr:from>
    <xdr:to>
      <xdr:col>7</xdr:col>
      <xdr:colOff>29936</xdr:colOff>
      <xdr:row>1</xdr:row>
      <xdr:rowOff>78921</xdr:rowOff>
    </xdr:to>
    <xdr:sp macro="" textlink="">
      <xdr:nvSpPr>
        <xdr:cNvPr id="59398" name="Line 3">
          <a:extLst>
            <a:ext uri="{FF2B5EF4-FFF2-40B4-BE49-F238E27FC236}">
              <a16:creationId xmlns:a16="http://schemas.microsoft.com/office/drawing/2014/main" id="{AB5137EB-F513-2979-31CB-C6D1A7A9BCB5}"/>
            </a:ext>
          </a:extLst>
        </xdr:cNvPr>
        <xdr:cNvSpPr>
          <a:spLocks noChangeShapeType="1"/>
        </xdr:cNvSpPr>
      </xdr:nvSpPr>
      <xdr:spPr bwMode="auto">
        <a:xfrm flipH="1">
          <a:off x="4098471" y="242207"/>
          <a:ext cx="46536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111579</xdr:colOff>
          <xdr:row>0</xdr:row>
          <xdr:rowOff>87086</xdr:rowOff>
        </xdr:from>
        <xdr:to>
          <xdr:col>1</xdr:col>
          <xdr:colOff>10886</xdr:colOff>
          <xdr:row>1</xdr:row>
          <xdr:rowOff>136071</xdr:rowOff>
        </xdr:to>
        <xdr:sp macro="" textlink="">
          <xdr:nvSpPr>
            <xdr:cNvPr id="59393" name="Button 1" hidden="1">
              <a:extLst>
                <a:ext uri="{63B3BB69-23CF-44E3-9099-C40C66FF867C}">
                  <a14:compatExt spid="_x0000_s59393"/>
                </a:ext>
                <a:ext uri="{FF2B5EF4-FFF2-40B4-BE49-F238E27FC236}">
                  <a16:creationId xmlns:a16="http://schemas.microsoft.com/office/drawing/2014/main" id="{00000000-0008-0000-3000-000001E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100693</xdr:colOff>
          <xdr:row>0</xdr:row>
          <xdr:rowOff>106136</xdr:rowOff>
        </xdr:from>
        <xdr:to>
          <xdr:col>6</xdr:col>
          <xdr:colOff>223157</xdr:colOff>
          <xdr:row>1</xdr:row>
          <xdr:rowOff>155121</xdr:rowOff>
        </xdr:to>
        <xdr:sp macro="" textlink="">
          <xdr:nvSpPr>
            <xdr:cNvPr id="59394" name="Button 2" hidden="1">
              <a:extLst>
                <a:ext uri="{63B3BB69-23CF-44E3-9099-C40C66FF867C}">
                  <a14:compatExt spid="_x0000_s59394"/>
                </a:ext>
                <a:ext uri="{FF2B5EF4-FFF2-40B4-BE49-F238E27FC236}">
                  <a16:creationId xmlns:a16="http://schemas.microsoft.com/office/drawing/2014/main" id="{00000000-0008-0000-3000-000002E8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GASRATE CALCULATOR</a:t>
              </a:r>
            </a:p>
          </xdr:txBody>
        </xdr:sp>
        <xdr:clientData fPrintsWithSheet="0"/>
      </xdr:twoCellAnchor>
    </mc:Choice>
    <mc:Fallback/>
  </mc:AlternateContent>
</xdr:wsDr>
</file>

<file path=xl/drawings/drawing49.xml><?xml version="1.0" encoding="utf-8"?>
<xdr:wsDr xmlns:xdr="http://schemas.openxmlformats.org/drawingml/2006/spreadsheetDrawing" xmlns:a="http://schemas.openxmlformats.org/drawingml/2006/main">
  <xdr:twoCellAnchor>
    <xdr:from>
      <xdr:col>19</xdr:col>
      <xdr:colOff>29936</xdr:colOff>
      <xdr:row>14</xdr:row>
      <xdr:rowOff>182336</xdr:rowOff>
    </xdr:from>
    <xdr:to>
      <xdr:col>25</xdr:col>
      <xdr:colOff>272143</xdr:colOff>
      <xdr:row>29</xdr:row>
      <xdr:rowOff>57150</xdr:rowOff>
    </xdr:to>
    <xdr:graphicFrame macro="">
      <xdr:nvGraphicFramePr>
        <xdr:cNvPr id="12299" name="Chart 5">
          <a:extLst>
            <a:ext uri="{FF2B5EF4-FFF2-40B4-BE49-F238E27FC236}">
              <a16:creationId xmlns:a16="http://schemas.microsoft.com/office/drawing/2014/main" id="{EB4B5702-CF5F-35F3-9F54-341241A0F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51707</xdr:colOff>
      <xdr:row>45</xdr:row>
      <xdr:rowOff>68036</xdr:rowOff>
    </xdr:from>
    <xdr:to>
      <xdr:col>25</xdr:col>
      <xdr:colOff>293914</xdr:colOff>
      <xdr:row>59</xdr:row>
      <xdr:rowOff>190500</xdr:rowOff>
    </xdr:to>
    <xdr:graphicFrame macro="">
      <xdr:nvGraphicFramePr>
        <xdr:cNvPr id="12300" name="Chart 6">
          <a:extLst>
            <a:ext uri="{FF2B5EF4-FFF2-40B4-BE49-F238E27FC236}">
              <a16:creationId xmlns:a16="http://schemas.microsoft.com/office/drawing/2014/main" id="{3D0B4138-8495-5080-268D-36DF75FD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435429</xdr:colOff>
          <xdr:row>0</xdr:row>
          <xdr:rowOff>163286</xdr:rowOff>
        </xdr:from>
        <xdr:to>
          <xdr:col>1</xdr:col>
          <xdr:colOff>979714</xdr:colOff>
          <xdr:row>1</xdr:row>
          <xdr:rowOff>144236</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3100-0000043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342900</xdr:colOff>
          <xdr:row>1</xdr:row>
          <xdr:rowOff>125186</xdr:rowOff>
        </xdr:from>
        <xdr:to>
          <xdr:col>2</xdr:col>
          <xdr:colOff>655864</xdr:colOff>
          <xdr:row>3</xdr:row>
          <xdr:rowOff>19050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0400-000002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1</xdr:row>
          <xdr:rowOff>125186</xdr:rowOff>
        </xdr:from>
        <xdr:to>
          <xdr:col>3</xdr:col>
          <xdr:colOff>655864</xdr:colOff>
          <xdr:row>3</xdr:row>
          <xdr:rowOff>19050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0400-000003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2</xdr:row>
          <xdr:rowOff>125186</xdr:rowOff>
        </xdr:from>
        <xdr:to>
          <xdr:col>1</xdr:col>
          <xdr:colOff>756557</xdr:colOff>
          <xdr:row>4</xdr:row>
          <xdr:rowOff>19050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0400-000004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2</xdr:row>
          <xdr:rowOff>125186</xdr:rowOff>
        </xdr:from>
        <xdr:to>
          <xdr:col>2</xdr:col>
          <xdr:colOff>655864</xdr:colOff>
          <xdr:row>4</xdr:row>
          <xdr:rowOff>19050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0400-000005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xdr:row>
          <xdr:rowOff>125186</xdr:rowOff>
        </xdr:from>
        <xdr:to>
          <xdr:col>3</xdr:col>
          <xdr:colOff>655864</xdr:colOff>
          <xdr:row>4</xdr:row>
          <xdr:rowOff>19050</xdr:rowOff>
        </xdr:to>
        <xdr:sp macro="" textlink="">
          <xdr:nvSpPr>
            <xdr:cNvPr id="67590" name="Check Box 6" hidden="1">
              <a:extLst>
                <a:ext uri="{63B3BB69-23CF-44E3-9099-C40C66FF867C}">
                  <a14:compatExt spid="_x0000_s67590"/>
                </a:ext>
                <a:ext uri="{FF2B5EF4-FFF2-40B4-BE49-F238E27FC236}">
                  <a16:creationId xmlns:a16="http://schemas.microsoft.com/office/drawing/2014/main" id="{00000000-0008-0000-0400-000006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3</xdr:row>
          <xdr:rowOff>125186</xdr:rowOff>
        </xdr:from>
        <xdr:to>
          <xdr:col>1</xdr:col>
          <xdr:colOff>756557</xdr:colOff>
          <xdr:row>5</xdr:row>
          <xdr:rowOff>19050</xdr:rowOff>
        </xdr:to>
        <xdr:sp macro="" textlink="">
          <xdr:nvSpPr>
            <xdr:cNvPr id="67591" name="Check Box 7" hidden="1">
              <a:extLst>
                <a:ext uri="{63B3BB69-23CF-44E3-9099-C40C66FF867C}">
                  <a14:compatExt spid="_x0000_s67591"/>
                </a:ext>
                <a:ext uri="{FF2B5EF4-FFF2-40B4-BE49-F238E27FC236}">
                  <a16:creationId xmlns:a16="http://schemas.microsoft.com/office/drawing/2014/main" id="{00000000-0008-0000-0400-000007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xdr:row>
          <xdr:rowOff>125186</xdr:rowOff>
        </xdr:from>
        <xdr:to>
          <xdr:col>2</xdr:col>
          <xdr:colOff>655864</xdr:colOff>
          <xdr:row>5</xdr:row>
          <xdr:rowOff>19050</xdr:rowOff>
        </xdr:to>
        <xdr:sp macro="" textlink="">
          <xdr:nvSpPr>
            <xdr:cNvPr id="67592" name="Check Box 8" hidden="1">
              <a:extLst>
                <a:ext uri="{63B3BB69-23CF-44E3-9099-C40C66FF867C}">
                  <a14:compatExt spid="_x0000_s67592"/>
                </a:ext>
                <a:ext uri="{FF2B5EF4-FFF2-40B4-BE49-F238E27FC236}">
                  <a16:creationId xmlns:a16="http://schemas.microsoft.com/office/drawing/2014/main" id="{00000000-0008-0000-0400-000008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xdr:row>
          <xdr:rowOff>125186</xdr:rowOff>
        </xdr:from>
        <xdr:to>
          <xdr:col>3</xdr:col>
          <xdr:colOff>655864</xdr:colOff>
          <xdr:row>5</xdr:row>
          <xdr:rowOff>19050</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0400-000009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4</xdr:row>
          <xdr:rowOff>125186</xdr:rowOff>
        </xdr:from>
        <xdr:to>
          <xdr:col>1</xdr:col>
          <xdr:colOff>756557</xdr:colOff>
          <xdr:row>6</xdr:row>
          <xdr:rowOff>19050</xdr:rowOff>
        </xdr:to>
        <xdr:sp macro="" textlink="">
          <xdr:nvSpPr>
            <xdr:cNvPr id="67594" name="Check Box 10" hidden="1">
              <a:extLst>
                <a:ext uri="{63B3BB69-23CF-44E3-9099-C40C66FF867C}">
                  <a14:compatExt spid="_x0000_s67594"/>
                </a:ext>
                <a:ext uri="{FF2B5EF4-FFF2-40B4-BE49-F238E27FC236}">
                  <a16:creationId xmlns:a16="http://schemas.microsoft.com/office/drawing/2014/main" id="{00000000-0008-0000-0400-00000A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4</xdr:row>
          <xdr:rowOff>125186</xdr:rowOff>
        </xdr:from>
        <xdr:to>
          <xdr:col>2</xdr:col>
          <xdr:colOff>655864</xdr:colOff>
          <xdr:row>6</xdr:row>
          <xdr:rowOff>19050</xdr:rowOff>
        </xdr:to>
        <xdr:sp macro="" textlink="">
          <xdr:nvSpPr>
            <xdr:cNvPr id="67595" name="Check Box 11" hidden="1">
              <a:extLst>
                <a:ext uri="{63B3BB69-23CF-44E3-9099-C40C66FF867C}">
                  <a14:compatExt spid="_x0000_s67595"/>
                </a:ext>
                <a:ext uri="{FF2B5EF4-FFF2-40B4-BE49-F238E27FC236}">
                  <a16:creationId xmlns:a16="http://schemas.microsoft.com/office/drawing/2014/main" id="{00000000-0008-0000-0400-00000B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xdr:row>
          <xdr:rowOff>125186</xdr:rowOff>
        </xdr:from>
        <xdr:to>
          <xdr:col>3</xdr:col>
          <xdr:colOff>655864</xdr:colOff>
          <xdr:row>6</xdr:row>
          <xdr:rowOff>19050</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0400-00000C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5</xdr:row>
          <xdr:rowOff>125186</xdr:rowOff>
        </xdr:from>
        <xdr:to>
          <xdr:col>1</xdr:col>
          <xdr:colOff>756557</xdr:colOff>
          <xdr:row>7</xdr:row>
          <xdr:rowOff>19050</xdr:rowOff>
        </xdr:to>
        <xdr:sp macro="" textlink="">
          <xdr:nvSpPr>
            <xdr:cNvPr id="67597" name="Check Box 13" hidden="1">
              <a:extLst>
                <a:ext uri="{63B3BB69-23CF-44E3-9099-C40C66FF867C}">
                  <a14:compatExt spid="_x0000_s67597"/>
                </a:ext>
                <a:ext uri="{FF2B5EF4-FFF2-40B4-BE49-F238E27FC236}">
                  <a16:creationId xmlns:a16="http://schemas.microsoft.com/office/drawing/2014/main" id="{00000000-0008-0000-0400-00000D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5</xdr:row>
          <xdr:rowOff>125186</xdr:rowOff>
        </xdr:from>
        <xdr:to>
          <xdr:col>2</xdr:col>
          <xdr:colOff>655864</xdr:colOff>
          <xdr:row>7</xdr:row>
          <xdr:rowOff>19050</xdr:rowOff>
        </xdr:to>
        <xdr:sp macro="" textlink="">
          <xdr:nvSpPr>
            <xdr:cNvPr id="67598" name="Check Box 14" hidden="1">
              <a:extLst>
                <a:ext uri="{63B3BB69-23CF-44E3-9099-C40C66FF867C}">
                  <a14:compatExt spid="_x0000_s67598"/>
                </a:ext>
                <a:ext uri="{FF2B5EF4-FFF2-40B4-BE49-F238E27FC236}">
                  <a16:creationId xmlns:a16="http://schemas.microsoft.com/office/drawing/2014/main" id="{00000000-0008-0000-0400-00000E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5</xdr:row>
          <xdr:rowOff>125186</xdr:rowOff>
        </xdr:from>
        <xdr:to>
          <xdr:col>3</xdr:col>
          <xdr:colOff>655864</xdr:colOff>
          <xdr:row>7</xdr:row>
          <xdr:rowOff>19050</xdr:rowOff>
        </xdr:to>
        <xdr:sp macro="" textlink="">
          <xdr:nvSpPr>
            <xdr:cNvPr id="67599" name="Check Box 15" hidden="1">
              <a:extLst>
                <a:ext uri="{63B3BB69-23CF-44E3-9099-C40C66FF867C}">
                  <a14:compatExt spid="_x0000_s67599"/>
                </a:ext>
                <a:ext uri="{FF2B5EF4-FFF2-40B4-BE49-F238E27FC236}">
                  <a16:creationId xmlns:a16="http://schemas.microsoft.com/office/drawing/2014/main" id="{00000000-0008-0000-0400-00000F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6</xdr:row>
          <xdr:rowOff>125186</xdr:rowOff>
        </xdr:from>
        <xdr:to>
          <xdr:col>2</xdr:col>
          <xdr:colOff>655864</xdr:colOff>
          <xdr:row>8</xdr:row>
          <xdr:rowOff>19050</xdr:rowOff>
        </xdr:to>
        <xdr:sp macro="" textlink="">
          <xdr:nvSpPr>
            <xdr:cNvPr id="67601" name="Check Box 17" hidden="1">
              <a:extLst>
                <a:ext uri="{63B3BB69-23CF-44E3-9099-C40C66FF867C}">
                  <a14:compatExt spid="_x0000_s67601"/>
                </a:ext>
                <a:ext uri="{FF2B5EF4-FFF2-40B4-BE49-F238E27FC236}">
                  <a16:creationId xmlns:a16="http://schemas.microsoft.com/office/drawing/2014/main" id="{00000000-0008-0000-0400-000011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6</xdr:row>
          <xdr:rowOff>125186</xdr:rowOff>
        </xdr:from>
        <xdr:to>
          <xdr:col>3</xdr:col>
          <xdr:colOff>655864</xdr:colOff>
          <xdr:row>8</xdr:row>
          <xdr:rowOff>19050</xdr:rowOff>
        </xdr:to>
        <xdr:sp macro="" textlink="">
          <xdr:nvSpPr>
            <xdr:cNvPr id="67602" name="Check Box 18" hidden="1">
              <a:extLst>
                <a:ext uri="{63B3BB69-23CF-44E3-9099-C40C66FF867C}">
                  <a14:compatExt spid="_x0000_s67602"/>
                </a:ext>
                <a:ext uri="{FF2B5EF4-FFF2-40B4-BE49-F238E27FC236}">
                  <a16:creationId xmlns:a16="http://schemas.microsoft.com/office/drawing/2014/main" id="{00000000-0008-0000-0400-000012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7</xdr:row>
          <xdr:rowOff>125186</xdr:rowOff>
        </xdr:from>
        <xdr:to>
          <xdr:col>2</xdr:col>
          <xdr:colOff>655864</xdr:colOff>
          <xdr:row>9</xdr:row>
          <xdr:rowOff>19050</xdr:rowOff>
        </xdr:to>
        <xdr:sp macro="" textlink="">
          <xdr:nvSpPr>
            <xdr:cNvPr id="67604" name="Check Box 20" hidden="1">
              <a:extLst>
                <a:ext uri="{63B3BB69-23CF-44E3-9099-C40C66FF867C}">
                  <a14:compatExt spid="_x0000_s67604"/>
                </a:ext>
                <a:ext uri="{FF2B5EF4-FFF2-40B4-BE49-F238E27FC236}">
                  <a16:creationId xmlns:a16="http://schemas.microsoft.com/office/drawing/2014/main" id="{00000000-0008-0000-0400-000014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7</xdr:row>
          <xdr:rowOff>125186</xdr:rowOff>
        </xdr:from>
        <xdr:to>
          <xdr:col>3</xdr:col>
          <xdr:colOff>655864</xdr:colOff>
          <xdr:row>9</xdr:row>
          <xdr:rowOff>19050</xdr:rowOff>
        </xdr:to>
        <xdr:sp macro="" textlink="">
          <xdr:nvSpPr>
            <xdr:cNvPr id="67605" name="Check Box 21" hidden="1">
              <a:extLst>
                <a:ext uri="{63B3BB69-23CF-44E3-9099-C40C66FF867C}">
                  <a14:compatExt spid="_x0000_s67605"/>
                </a:ext>
                <a:ext uri="{FF2B5EF4-FFF2-40B4-BE49-F238E27FC236}">
                  <a16:creationId xmlns:a16="http://schemas.microsoft.com/office/drawing/2014/main" id="{00000000-0008-0000-0400-000015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8</xdr:row>
          <xdr:rowOff>125186</xdr:rowOff>
        </xdr:from>
        <xdr:to>
          <xdr:col>1</xdr:col>
          <xdr:colOff>756557</xdr:colOff>
          <xdr:row>10</xdr:row>
          <xdr:rowOff>19050</xdr:rowOff>
        </xdr:to>
        <xdr:sp macro="" textlink="">
          <xdr:nvSpPr>
            <xdr:cNvPr id="67606" name="Check Box 22" hidden="1">
              <a:extLst>
                <a:ext uri="{63B3BB69-23CF-44E3-9099-C40C66FF867C}">
                  <a14:compatExt spid="_x0000_s67606"/>
                </a:ext>
                <a:ext uri="{FF2B5EF4-FFF2-40B4-BE49-F238E27FC236}">
                  <a16:creationId xmlns:a16="http://schemas.microsoft.com/office/drawing/2014/main" id="{00000000-0008-0000-0400-000016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8</xdr:row>
          <xdr:rowOff>125186</xdr:rowOff>
        </xdr:from>
        <xdr:to>
          <xdr:col>2</xdr:col>
          <xdr:colOff>655864</xdr:colOff>
          <xdr:row>10</xdr:row>
          <xdr:rowOff>19050</xdr:rowOff>
        </xdr:to>
        <xdr:sp macro="" textlink="">
          <xdr:nvSpPr>
            <xdr:cNvPr id="67607" name="Check Box 23" hidden="1">
              <a:extLst>
                <a:ext uri="{63B3BB69-23CF-44E3-9099-C40C66FF867C}">
                  <a14:compatExt spid="_x0000_s67607"/>
                </a:ext>
                <a:ext uri="{FF2B5EF4-FFF2-40B4-BE49-F238E27FC236}">
                  <a16:creationId xmlns:a16="http://schemas.microsoft.com/office/drawing/2014/main" id="{00000000-0008-0000-0400-000017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8</xdr:row>
          <xdr:rowOff>125186</xdr:rowOff>
        </xdr:from>
        <xdr:to>
          <xdr:col>3</xdr:col>
          <xdr:colOff>655864</xdr:colOff>
          <xdr:row>10</xdr:row>
          <xdr:rowOff>19050</xdr:rowOff>
        </xdr:to>
        <xdr:sp macro="" textlink="">
          <xdr:nvSpPr>
            <xdr:cNvPr id="67608" name="Check Box 24" hidden="1">
              <a:extLst>
                <a:ext uri="{63B3BB69-23CF-44E3-9099-C40C66FF867C}">
                  <a14:compatExt spid="_x0000_s67608"/>
                </a:ext>
                <a:ext uri="{FF2B5EF4-FFF2-40B4-BE49-F238E27FC236}">
                  <a16:creationId xmlns:a16="http://schemas.microsoft.com/office/drawing/2014/main" id="{00000000-0008-0000-0400-000018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9</xdr:row>
          <xdr:rowOff>125186</xdr:rowOff>
        </xdr:from>
        <xdr:to>
          <xdr:col>2</xdr:col>
          <xdr:colOff>655864</xdr:colOff>
          <xdr:row>11</xdr:row>
          <xdr:rowOff>19050</xdr:rowOff>
        </xdr:to>
        <xdr:sp macro="" textlink="">
          <xdr:nvSpPr>
            <xdr:cNvPr id="67610" name="Check Box 26" hidden="1">
              <a:extLst>
                <a:ext uri="{63B3BB69-23CF-44E3-9099-C40C66FF867C}">
                  <a14:compatExt spid="_x0000_s67610"/>
                </a:ext>
                <a:ext uri="{FF2B5EF4-FFF2-40B4-BE49-F238E27FC236}">
                  <a16:creationId xmlns:a16="http://schemas.microsoft.com/office/drawing/2014/main" id="{00000000-0008-0000-0400-00001A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9</xdr:row>
          <xdr:rowOff>125186</xdr:rowOff>
        </xdr:from>
        <xdr:to>
          <xdr:col>3</xdr:col>
          <xdr:colOff>655864</xdr:colOff>
          <xdr:row>11</xdr:row>
          <xdr:rowOff>19050</xdr:rowOff>
        </xdr:to>
        <xdr:sp macro="" textlink="">
          <xdr:nvSpPr>
            <xdr:cNvPr id="67611" name="Check Box 27" hidden="1">
              <a:extLst>
                <a:ext uri="{63B3BB69-23CF-44E3-9099-C40C66FF867C}">
                  <a14:compatExt spid="_x0000_s67611"/>
                </a:ext>
                <a:ext uri="{FF2B5EF4-FFF2-40B4-BE49-F238E27FC236}">
                  <a16:creationId xmlns:a16="http://schemas.microsoft.com/office/drawing/2014/main" id="{00000000-0008-0000-0400-00001B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10</xdr:row>
          <xdr:rowOff>125186</xdr:rowOff>
        </xdr:from>
        <xdr:to>
          <xdr:col>2</xdr:col>
          <xdr:colOff>655864</xdr:colOff>
          <xdr:row>12</xdr:row>
          <xdr:rowOff>19050</xdr:rowOff>
        </xdr:to>
        <xdr:sp macro="" textlink="">
          <xdr:nvSpPr>
            <xdr:cNvPr id="67613" name="Check Box 29" hidden="1">
              <a:extLst>
                <a:ext uri="{63B3BB69-23CF-44E3-9099-C40C66FF867C}">
                  <a14:compatExt spid="_x0000_s67613"/>
                </a:ext>
                <a:ext uri="{FF2B5EF4-FFF2-40B4-BE49-F238E27FC236}">
                  <a16:creationId xmlns:a16="http://schemas.microsoft.com/office/drawing/2014/main" id="{00000000-0008-0000-0400-00001D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10</xdr:row>
          <xdr:rowOff>125186</xdr:rowOff>
        </xdr:from>
        <xdr:to>
          <xdr:col>3</xdr:col>
          <xdr:colOff>655864</xdr:colOff>
          <xdr:row>12</xdr:row>
          <xdr:rowOff>19050</xdr:rowOff>
        </xdr:to>
        <xdr:sp macro="" textlink="">
          <xdr:nvSpPr>
            <xdr:cNvPr id="67614" name="Check Box 30" hidden="1">
              <a:extLst>
                <a:ext uri="{63B3BB69-23CF-44E3-9099-C40C66FF867C}">
                  <a14:compatExt spid="_x0000_s67614"/>
                </a:ext>
                <a:ext uri="{FF2B5EF4-FFF2-40B4-BE49-F238E27FC236}">
                  <a16:creationId xmlns:a16="http://schemas.microsoft.com/office/drawing/2014/main" id="{00000000-0008-0000-0400-00001E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11</xdr:row>
          <xdr:rowOff>125186</xdr:rowOff>
        </xdr:from>
        <xdr:to>
          <xdr:col>2</xdr:col>
          <xdr:colOff>655864</xdr:colOff>
          <xdr:row>13</xdr:row>
          <xdr:rowOff>19050</xdr:rowOff>
        </xdr:to>
        <xdr:sp macro="" textlink="">
          <xdr:nvSpPr>
            <xdr:cNvPr id="67616" name="Check Box 32" hidden="1">
              <a:extLst>
                <a:ext uri="{63B3BB69-23CF-44E3-9099-C40C66FF867C}">
                  <a14:compatExt spid="_x0000_s67616"/>
                </a:ext>
                <a:ext uri="{FF2B5EF4-FFF2-40B4-BE49-F238E27FC236}">
                  <a16:creationId xmlns:a16="http://schemas.microsoft.com/office/drawing/2014/main" id="{00000000-0008-0000-0400-000020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11</xdr:row>
          <xdr:rowOff>125186</xdr:rowOff>
        </xdr:from>
        <xdr:to>
          <xdr:col>3</xdr:col>
          <xdr:colOff>655864</xdr:colOff>
          <xdr:row>13</xdr:row>
          <xdr:rowOff>19050</xdr:rowOff>
        </xdr:to>
        <xdr:sp macro="" textlink="">
          <xdr:nvSpPr>
            <xdr:cNvPr id="67617" name="Check Box 33" hidden="1">
              <a:extLst>
                <a:ext uri="{63B3BB69-23CF-44E3-9099-C40C66FF867C}">
                  <a14:compatExt spid="_x0000_s67617"/>
                </a:ext>
                <a:ext uri="{FF2B5EF4-FFF2-40B4-BE49-F238E27FC236}">
                  <a16:creationId xmlns:a16="http://schemas.microsoft.com/office/drawing/2014/main" id="{00000000-0008-0000-0400-000021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12</xdr:row>
          <xdr:rowOff>125186</xdr:rowOff>
        </xdr:from>
        <xdr:to>
          <xdr:col>1</xdr:col>
          <xdr:colOff>756557</xdr:colOff>
          <xdr:row>14</xdr:row>
          <xdr:rowOff>19050</xdr:rowOff>
        </xdr:to>
        <xdr:sp macro="" textlink="">
          <xdr:nvSpPr>
            <xdr:cNvPr id="67618" name="Check Box 34" hidden="1">
              <a:extLst>
                <a:ext uri="{63B3BB69-23CF-44E3-9099-C40C66FF867C}">
                  <a14:compatExt spid="_x0000_s67618"/>
                </a:ext>
                <a:ext uri="{FF2B5EF4-FFF2-40B4-BE49-F238E27FC236}">
                  <a16:creationId xmlns:a16="http://schemas.microsoft.com/office/drawing/2014/main" id="{00000000-0008-0000-0400-000022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12</xdr:row>
          <xdr:rowOff>125186</xdr:rowOff>
        </xdr:from>
        <xdr:to>
          <xdr:col>2</xdr:col>
          <xdr:colOff>655864</xdr:colOff>
          <xdr:row>14</xdr:row>
          <xdr:rowOff>19050</xdr:rowOff>
        </xdr:to>
        <xdr:sp macro="" textlink="">
          <xdr:nvSpPr>
            <xdr:cNvPr id="67619" name="Check Box 35" hidden="1">
              <a:extLst>
                <a:ext uri="{63B3BB69-23CF-44E3-9099-C40C66FF867C}">
                  <a14:compatExt spid="_x0000_s67619"/>
                </a:ext>
                <a:ext uri="{FF2B5EF4-FFF2-40B4-BE49-F238E27FC236}">
                  <a16:creationId xmlns:a16="http://schemas.microsoft.com/office/drawing/2014/main" id="{00000000-0008-0000-0400-000023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12</xdr:row>
          <xdr:rowOff>125186</xdr:rowOff>
        </xdr:from>
        <xdr:to>
          <xdr:col>3</xdr:col>
          <xdr:colOff>655864</xdr:colOff>
          <xdr:row>14</xdr:row>
          <xdr:rowOff>19050</xdr:rowOff>
        </xdr:to>
        <xdr:sp macro="" textlink="">
          <xdr:nvSpPr>
            <xdr:cNvPr id="67620" name="Check Box 36" hidden="1">
              <a:extLst>
                <a:ext uri="{63B3BB69-23CF-44E3-9099-C40C66FF867C}">
                  <a14:compatExt spid="_x0000_s67620"/>
                </a:ext>
                <a:ext uri="{FF2B5EF4-FFF2-40B4-BE49-F238E27FC236}">
                  <a16:creationId xmlns:a16="http://schemas.microsoft.com/office/drawing/2014/main" id="{00000000-0008-0000-0400-000024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14</xdr:row>
          <xdr:rowOff>125186</xdr:rowOff>
        </xdr:from>
        <xdr:to>
          <xdr:col>1</xdr:col>
          <xdr:colOff>756557</xdr:colOff>
          <xdr:row>16</xdr:row>
          <xdr:rowOff>19050</xdr:rowOff>
        </xdr:to>
        <xdr:sp macro="" textlink="">
          <xdr:nvSpPr>
            <xdr:cNvPr id="67621" name="Check Box 37" hidden="1">
              <a:extLst>
                <a:ext uri="{63B3BB69-23CF-44E3-9099-C40C66FF867C}">
                  <a14:compatExt spid="_x0000_s67621"/>
                </a:ext>
                <a:ext uri="{FF2B5EF4-FFF2-40B4-BE49-F238E27FC236}">
                  <a16:creationId xmlns:a16="http://schemas.microsoft.com/office/drawing/2014/main" id="{00000000-0008-0000-0400-000025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14</xdr:row>
          <xdr:rowOff>125186</xdr:rowOff>
        </xdr:from>
        <xdr:to>
          <xdr:col>2</xdr:col>
          <xdr:colOff>655864</xdr:colOff>
          <xdr:row>16</xdr:row>
          <xdr:rowOff>19050</xdr:rowOff>
        </xdr:to>
        <xdr:sp macro="" textlink="">
          <xdr:nvSpPr>
            <xdr:cNvPr id="67622" name="Check Box 38" hidden="1">
              <a:extLst>
                <a:ext uri="{63B3BB69-23CF-44E3-9099-C40C66FF867C}">
                  <a14:compatExt spid="_x0000_s67622"/>
                </a:ext>
                <a:ext uri="{FF2B5EF4-FFF2-40B4-BE49-F238E27FC236}">
                  <a16:creationId xmlns:a16="http://schemas.microsoft.com/office/drawing/2014/main" id="{00000000-0008-0000-0400-000026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14</xdr:row>
          <xdr:rowOff>125186</xdr:rowOff>
        </xdr:from>
        <xdr:to>
          <xdr:col>3</xdr:col>
          <xdr:colOff>655864</xdr:colOff>
          <xdr:row>16</xdr:row>
          <xdr:rowOff>19050</xdr:rowOff>
        </xdr:to>
        <xdr:sp macro="" textlink="">
          <xdr:nvSpPr>
            <xdr:cNvPr id="67623" name="Check Box 39" hidden="1">
              <a:extLst>
                <a:ext uri="{63B3BB69-23CF-44E3-9099-C40C66FF867C}">
                  <a14:compatExt spid="_x0000_s67623"/>
                </a:ext>
                <a:ext uri="{FF2B5EF4-FFF2-40B4-BE49-F238E27FC236}">
                  <a16:creationId xmlns:a16="http://schemas.microsoft.com/office/drawing/2014/main" id="{00000000-0008-0000-0400-000027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15</xdr:row>
          <xdr:rowOff>125186</xdr:rowOff>
        </xdr:from>
        <xdr:to>
          <xdr:col>1</xdr:col>
          <xdr:colOff>756557</xdr:colOff>
          <xdr:row>17</xdr:row>
          <xdr:rowOff>19050</xdr:rowOff>
        </xdr:to>
        <xdr:sp macro="" textlink="">
          <xdr:nvSpPr>
            <xdr:cNvPr id="67624" name="Check Box 40" hidden="1">
              <a:extLst>
                <a:ext uri="{63B3BB69-23CF-44E3-9099-C40C66FF867C}">
                  <a14:compatExt spid="_x0000_s67624"/>
                </a:ext>
                <a:ext uri="{FF2B5EF4-FFF2-40B4-BE49-F238E27FC236}">
                  <a16:creationId xmlns:a16="http://schemas.microsoft.com/office/drawing/2014/main" id="{00000000-0008-0000-0400-000028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15</xdr:row>
          <xdr:rowOff>125186</xdr:rowOff>
        </xdr:from>
        <xdr:to>
          <xdr:col>2</xdr:col>
          <xdr:colOff>655864</xdr:colOff>
          <xdr:row>17</xdr:row>
          <xdr:rowOff>19050</xdr:rowOff>
        </xdr:to>
        <xdr:sp macro="" textlink="">
          <xdr:nvSpPr>
            <xdr:cNvPr id="67625" name="Check Box 41" hidden="1">
              <a:extLst>
                <a:ext uri="{63B3BB69-23CF-44E3-9099-C40C66FF867C}">
                  <a14:compatExt spid="_x0000_s67625"/>
                </a:ext>
                <a:ext uri="{FF2B5EF4-FFF2-40B4-BE49-F238E27FC236}">
                  <a16:creationId xmlns:a16="http://schemas.microsoft.com/office/drawing/2014/main" id="{00000000-0008-0000-0400-000029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15</xdr:row>
          <xdr:rowOff>125186</xdr:rowOff>
        </xdr:from>
        <xdr:to>
          <xdr:col>3</xdr:col>
          <xdr:colOff>655864</xdr:colOff>
          <xdr:row>17</xdr:row>
          <xdr:rowOff>19050</xdr:rowOff>
        </xdr:to>
        <xdr:sp macro="" textlink="">
          <xdr:nvSpPr>
            <xdr:cNvPr id="67626" name="Check Box 42" hidden="1">
              <a:extLst>
                <a:ext uri="{63B3BB69-23CF-44E3-9099-C40C66FF867C}">
                  <a14:compatExt spid="_x0000_s67626"/>
                </a:ext>
                <a:ext uri="{FF2B5EF4-FFF2-40B4-BE49-F238E27FC236}">
                  <a16:creationId xmlns:a16="http://schemas.microsoft.com/office/drawing/2014/main" id="{00000000-0008-0000-0400-00002A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16</xdr:row>
          <xdr:rowOff>125186</xdr:rowOff>
        </xdr:from>
        <xdr:to>
          <xdr:col>1</xdr:col>
          <xdr:colOff>756557</xdr:colOff>
          <xdr:row>18</xdr:row>
          <xdr:rowOff>19050</xdr:rowOff>
        </xdr:to>
        <xdr:sp macro="" textlink="">
          <xdr:nvSpPr>
            <xdr:cNvPr id="67627" name="Check Box 43" hidden="1">
              <a:extLst>
                <a:ext uri="{63B3BB69-23CF-44E3-9099-C40C66FF867C}">
                  <a14:compatExt spid="_x0000_s67627"/>
                </a:ext>
                <a:ext uri="{FF2B5EF4-FFF2-40B4-BE49-F238E27FC236}">
                  <a16:creationId xmlns:a16="http://schemas.microsoft.com/office/drawing/2014/main" id="{00000000-0008-0000-0400-00002B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16</xdr:row>
          <xdr:rowOff>125186</xdr:rowOff>
        </xdr:from>
        <xdr:to>
          <xdr:col>2</xdr:col>
          <xdr:colOff>655864</xdr:colOff>
          <xdr:row>18</xdr:row>
          <xdr:rowOff>19050</xdr:rowOff>
        </xdr:to>
        <xdr:sp macro="" textlink="">
          <xdr:nvSpPr>
            <xdr:cNvPr id="67628" name="Check Box 44" hidden="1">
              <a:extLst>
                <a:ext uri="{63B3BB69-23CF-44E3-9099-C40C66FF867C}">
                  <a14:compatExt spid="_x0000_s67628"/>
                </a:ext>
                <a:ext uri="{FF2B5EF4-FFF2-40B4-BE49-F238E27FC236}">
                  <a16:creationId xmlns:a16="http://schemas.microsoft.com/office/drawing/2014/main" id="{00000000-0008-0000-0400-00002C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16</xdr:row>
          <xdr:rowOff>125186</xdr:rowOff>
        </xdr:from>
        <xdr:to>
          <xdr:col>3</xdr:col>
          <xdr:colOff>655864</xdr:colOff>
          <xdr:row>18</xdr:row>
          <xdr:rowOff>19050</xdr:rowOff>
        </xdr:to>
        <xdr:sp macro="" textlink="">
          <xdr:nvSpPr>
            <xdr:cNvPr id="67629" name="Check Box 45" hidden="1">
              <a:extLst>
                <a:ext uri="{63B3BB69-23CF-44E3-9099-C40C66FF867C}">
                  <a14:compatExt spid="_x0000_s67629"/>
                </a:ext>
                <a:ext uri="{FF2B5EF4-FFF2-40B4-BE49-F238E27FC236}">
                  <a16:creationId xmlns:a16="http://schemas.microsoft.com/office/drawing/2014/main" id="{00000000-0008-0000-0400-00002D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17</xdr:row>
          <xdr:rowOff>125186</xdr:rowOff>
        </xdr:from>
        <xdr:to>
          <xdr:col>1</xdr:col>
          <xdr:colOff>756557</xdr:colOff>
          <xdr:row>19</xdr:row>
          <xdr:rowOff>19050</xdr:rowOff>
        </xdr:to>
        <xdr:sp macro="" textlink="">
          <xdr:nvSpPr>
            <xdr:cNvPr id="67630" name="Check Box 46" hidden="1">
              <a:extLst>
                <a:ext uri="{63B3BB69-23CF-44E3-9099-C40C66FF867C}">
                  <a14:compatExt spid="_x0000_s67630"/>
                </a:ext>
                <a:ext uri="{FF2B5EF4-FFF2-40B4-BE49-F238E27FC236}">
                  <a16:creationId xmlns:a16="http://schemas.microsoft.com/office/drawing/2014/main" id="{00000000-0008-0000-0400-00002E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17</xdr:row>
          <xdr:rowOff>125186</xdr:rowOff>
        </xdr:from>
        <xdr:to>
          <xdr:col>2</xdr:col>
          <xdr:colOff>655864</xdr:colOff>
          <xdr:row>19</xdr:row>
          <xdr:rowOff>19050</xdr:rowOff>
        </xdr:to>
        <xdr:sp macro="" textlink="">
          <xdr:nvSpPr>
            <xdr:cNvPr id="67631" name="Check Box 47" hidden="1">
              <a:extLst>
                <a:ext uri="{63B3BB69-23CF-44E3-9099-C40C66FF867C}">
                  <a14:compatExt spid="_x0000_s67631"/>
                </a:ext>
                <a:ext uri="{FF2B5EF4-FFF2-40B4-BE49-F238E27FC236}">
                  <a16:creationId xmlns:a16="http://schemas.microsoft.com/office/drawing/2014/main" id="{00000000-0008-0000-0400-00002F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17</xdr:row>
          <xdr:rowOff>125186</xdr:rowOff>
        </xdr:from>
        <xdr:to>
          <xdr:col>3</xdr:col>
          <xdr:colOff>655864</xdr:colOff>
          <xdr:row>19</xdr:row>
          <xdr:rowOff>19050</xdr:rowOff>
        </xdr:to>
        <xdr:sp macro="" textlink="">
          <xdr:nvSpPr>
            <xdr:cNvPr id="67632" name="Check Box 48" hidden="1">
              <a:extLst>
                <a:ext uri="{63B3BB69-23CF-44E3-9099-C40C66FF867C}">
                  <a14:compatExt spid="_x0000_s67632"/>
                </a:ext>
                <a:ext uri="{FF2B5EF4-FFF2-40B4-BE49-F238E27FC236}">
                  <a16:creationId xmlns:a16="http://schemas.microsoft.com/office/drawing/2014/main" id="{00000000-0008-0000-0400-000030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18</xdr:row>
          <xdr:rowOff>125186</xdr:rowOff>
        </xdr:from>
        <xdr:to>
          <xdr:col>1</xdr:col>
          <xdr:colOff>756557</xdr:colOff>
          <xdr:row>20</xdr:row>
          <xdr:rowOff>19050</xdr:rowOff>
        </xdr:to>
        <xdr:sp macro="" textlink="">
          <xdr:nvSpPr>
            <xdr:cNvPr id="67633" name="Check Box 49" hidden="1">
              <a:extLst>
                <a:ext uri="{63B3BB69-23CF-44E3-9099-C40C66FF867C}">
                  <a14:compatExt spid="_x0000_s67633"/>
                </a:ext>
                <a:ext uri="{FF2B5EF4-FFF2-40B4-BE49-F238E27FC236}">
                  <a16:creationId xmlns:a16="http://schemas.microsoft.com/office/drawing/2014/main" id="{00000000-0008-0000-0400-000031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18</xdr:row>
          <xdr:rowOff>125186</xdr:rowOff>
        </xdr:from>
        <xdr:to>
          <xdr:col>2</xdr:col>
          <xdr:colOff>655864</xdr:colOff>
          <xdr:row>20</xdr:row>
          <xdr:rowOff>19050</xdr:rowOff>
        </xdr:to>
        <xdr:sp macro="" textlink="">
          <xdr:nvSpPr>
            <xdr:cNvPr id="67634" name="Check Box 50" hidden="1">
              <a:extLst>
                <a:ext uri="{63B3BB69-23CF-44E3-9099-C40C66FF867C}">
                  <a14:compatExt spid="_x0000_s67634"/>
                </a:ext>
                <a:ext uri="{FF2B5EF4-FFF2-40B4-BE49-F238E27FC236}">
                  <a16:creationId xmlns:a16="http://schemas.microsoft.com/office/drawing/2014/main" id="{00000000-0008-0000-0400-000032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18</xdr:row>
          <xdr:rowOff>125186</xdr:rowOff>
        </xdr:from>
        <xdr:to>
          <xdr:col>3</xdr:col>
          <xdr:colOff>655864</xdr:colOff>
          <xdr:row>20</xdr:row>
          <xdr:rowOff>19050</xdr:rowOff>
        </xdr:to>
        <xdr:sp macro="" textlink="">
          <xdr:nvSpPr>
            <xdr:cNvPr id="67635" name="Check Box 51" hidden="1">
              <a:extLst>
                <a:ext uri="{63B3BB69-23CF-44E3-9099-C40C66FF867C}">
                  <a14:compatExt spid="_x0000_s67635"/>
                </a:ext>
                <a:ext uri="{FF2B5EF4-FFF2-40B4-BE49-F238E27FC236}">
                  <a16:creationId xmlns:a16="http://schemas.microsoft.com/office/drawing/2014/main" id="{00000000-0008-0000-0400-000033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19</xdr:row>
          <xdr:rowOff>125186</xdr:rowOff>
        </xdr:from>
        <xdr:to>
          <xdr:col>1</xdr:col>
          <xdr:colOff>756557</xdr:colOff>
          <xdr:row>21</xdr:row>
          <xdr:rowOff>19050</xdr:rowOff>
        </xdr:to>
        <xdr:sp macro="" textlink="">
          <xdr:nvSpPr>
            <xdr:cNvPr id="67636" name="Check Box 52" hidden="1">
              <a:extLst>
                <a:ext uri="{63B3BB69-23CF-44E3-9099-C40C66FF867C}">
                  <a14:compatExt spid="_x0000_s67636"/>
                </a:ext>
                <a:ext uri="{FF2B5EF4-FFF2-40B4-BE49-F238E27FC236}">
                  <a16:creationId xmlns:a16="http://schemas.microsoft.com/office/drawing/2014/main" id="{00000000-0008-0000-0400-000034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19</xdr:row>
          <xdr:rowOff>125186</xdr:rowOff>
        </xdr:from>
        <xdr:to>
          <xdr:col>2</xdr:col>
          <xdr:colOff>655864</xdr:colOff>
          <xdr:row>21</xdr:row>
          <xdr:rowOff>19050</xdr:rowOff>
        </xdr:to>
        <xdr:sp macro="" textlink="">
          <xdr:nvSpPr>
            <xdr:cNvPr id="67637" name="Check Box 53" hidden="1">
              <a:extLst>
                <a:ext uri="{63B3BB69-23CF-44E3-9099-C40C66FF867C}">
                  <a14:compatExt spid="_x0000_s67637"/>
                </a:ext>
                <a:ext uri="{FF2B5EF4-FFF2-40B4-BE49-F238E27FC236}">
                  <a16:creationId xmlns:a16="http://schemas.microsoft.com/office/drawing/2014/main" id="{00000000-0008-0000-0400-000035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19</xdr:row>
          <xdr:rowOff>125186</xdr:rowOff>
        </xdr:from>
        <xdr:to>
          <xdr:col>3</xdr:col>
          <xdr:colOff>655864</xdr:colOff>
          <xdr:row>21</xdr:row>
          <xdr:rowOff>19050</xdr:rowOff>
        </xdr:to>
        <xdr:sp macro="" textlink="">
          <xdr:nvSpPr>
            <xdr:cNvPr id="67638" name="Check Box 54" hidden="1">
              <a:extLst>
                <a:ext uri="{63B3BB69-23CF-44E3-9099-C40C66FF867C}">
                  <a14:compatExt spid="_x0000_s67638"/>
                </a:ext>
                <a:ext uri="{FF2B5EF4-FFF2-40B4-BE49-F238E27FC236}">
                  <a16:creationId xmlns:a16="http://schemas.microsoft.com/office/drawing/2014/main" id="{00000000-0008-0000-0400-000036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20</xdr:row>
          <xdr:rowOff>125186</xdr:rowOff>
        </xdr:from>
        <xdr:to>
          <xdr:col>1</xdr:col>
          <xdr:colOff>756557</xdr:colOff>
          <xdr:row>22</xdr:row>
          <xdr:rowOff>19050</xdr:rowOff>
        </xdr:to>
        <xdr:sp macro="" textlink="">
          <xdr:nvSpPr>
            <xdr:cNvPr id="67639" name="Check Box 55" hidden="1">
              <a:extLst>
                <a:ext uri="{63B3BB69-23CF-44E3-9099-C40C66FF867C}">
                  <a14:compatExt spid="_x0000_s67639"/>
                </a:ext>
                <a:ext uri="{FF2B5EF4-FFF2-40B4-BE49-F238E27FC236}">
                  <a16:creationId xmlns:a16="http://schemas.microsoft.com/office/drawing/2014/main" id="{00000000-0008-0000-0400-000037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20</xdr:row>
          <xdr:rowOff>125186</xdr:rowOff>
        </xdr:from>
        <xdr:to>
          <xdr:col>2</xdr:col>
          <xdr:colOff>655864</xdr:colOff>
          <xdr:row>22</xdr:row>
          <xdr:rowOff>19050</xdr:rowOff>
        </xdr:to>
        <xdr:sp macro="" textlink="">
          <xdr:nvSpPr>
            <xdr:cNvPr id="67640" name="Check Box 56" hidden="1">
              <a:extLst>
                <a:ext uri="{63B3BB69-23CF-44E3-9099-C40C66FF867C}">
                  <a14:compatExt spid="_x0000_s67640"/>
                </a:ext>
                <a:ext uri="{FF2B5EF4-FFF2-40B4-BE49-F238E27FC236}">
                  <a16:creationId xmlns:a16="http://schemas.microsoft.com/office/drawing/2014/main" id="{00000000-0008-0000-0400-000038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20</xdr:row>
          <xdr:rowOff>125186</xdr:rowOff>
        </xdr:from>
        <xdr:to>
          <xdr:col>3</xdr:col>
          <xdr:colOff>655864</xdr:colOff>
          <xdr:row>22</xdr:row>
          <xdr:rowOff>19050</xdr:rowOff>
        </xdr:to>
        <xdr:sp macro="" textlink="">
          <xdr:nvSpPr>
            <xdr:cNvPr id="67641" name="Check Box 57" hidden="1">
              <a:extLst>
                <a:ext uri="{63B3BB69-23CF-44E3-9099-C40C66FF867C}">
                  <a14:compatExt spid="_x0000_s67641"/>
                </a:ext>
                <a:ext uri="{FF2B5EF4-FFF2-40B4-BE49-F238E27FC236}">
                  <a16:creationId xmlns:a16="http://schemas.microsoft.com/office/drawing/2014/main" id="{00000000-0008-0000-0400-000039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21</xdr:row>
          <xdr:rowOff>125186</xdr:rowOff>
        </xdr:from>
        <xdr:to>
          <xdr:col>1</xdr:col>
          <xdr:colOff>756557</xdr:colOff>
          <xdr:row>23</xdr:row>
          <xdr:rowOff>19050</xdr:rowOff>
        </xdr:to>
        <xdr:sp macro="" textlink="">
          <xdr:nvSpPr>
            <xdr:cNvPr id="67642" name="Check Box 58" hidden="1">
              <a:extLst>
                <a:ext uri="{63B3BB69-23CF-44E3-9099-C40C66FF867C}">
                  <a14:compatExt spid="_x0000_s67642"/>
                </a:ext>
                <a:ext uri="{FF2B5EF4-FFF2-40B4-BE49-F238E27FC236}">
                  <a16:creationId xmlns:a16="http://schemas.microsoft.com/office/drawing/2014/main" id="{00000000-0008-0000-0400-00003A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21</xdr:row>
          <xdr:rowOff>125186</xdr:rowOff>
        </xdr:from>
        <xdr:to>
          <xdr:col>2</xdr:col>
          <xdr:colOff>655864</xdr:colOff>
          <xdr:row>23</xdr:row>
          <xdr:rowOff>19050</xdr:rowOff>
        </xdr:to>
        <xdr:sp macro="" textlink="">
          <xdr:nvSpPr>
            <xdr:cNvPr id="67643" name="Check Box 59" hidden="1">
              <a:extLst>
                <a:ext uri="{63B3BB69-23CF-44E3-9099-C40C66FF867C}">
                  <a14:compatExt spid="_x0000_s67643"/>
                </a:ext>
                <a:ext uri="{FF2B5EF4-FFF2-40B4-BE49-F238E27FC236}">
                  <a16:creationId xmlns:a16="http://schemas.microsoft.com/office/drawing/2014/main" id="{00000000-0008-0000-0400-00003B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21</xdr:row>
          <xdr:rowOff>125186</xdr:rowOff>
        </xdr:from>
        <xdr:to>
          <xdr:col>3</xdr:col>
          <xdr:colOff>655864</xdr:colOff>
          <xdr:row>23</xdr:row>
          <xdr:rowOff>19050</xdr:rowOff>
        </xdr:to>
        <xdr:sp macro="" textlink="">
          <xdr:nvSpPr>
            <xdr:cNvPr id="67644" name="Check Box 60" hidden="1">
              <a:extLst>
                <a:ext uri="{63B3BB69-23CF-44E3-9099-C40C66FF867C}">
                  <a14:compatExt spid="_x0000_s67644"/>
                </a:ext>
                <a:ext uri="{FF2B5EF4-FFF2-40B4-BE49-F238E27FC236}">
                  <a16:creationId xmlns:a16="http://schemas.microsoft.com/office/drawing/2014/main" id="{00000000-0008-0000-0400-00003C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22</xdr:row>
          <xdr:rowOff>125186</xdr:rowOff>
        </xdr:from>
        <xdr:to>
          <xdr:col>1</xdr:col>
          <xdr:colOff>756557</xdr:colOff>
          <xdr:row>24</xdr:row>
          <xdr:rowOff>19050</xdr:rowOff>
        </xdr:to>
        <xdr:sp macro="" textlink="">
          <xdr:nvSpPr>
            <xdr:cNvPr id="67645" name="Check Box 61" hidden="1">
              <a:extLst>
                <a:ext uri="{63B3BB69-23CF-44E3-9099-C40C66FF867C}">
                  <a14:compatExt spid="_x0000_s67645"/>
                </a:ext>
                <a:ext uri="{FF2B5EF4-FFF2-40B4-BE49-F238E27FC236}">
                  <a16:creationId xmlns:a16="http://schemas.microsoft.com/office/drawing/2014/main" id="{00000000-0008-0000-0400-00003D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22</xdr:row>
          <xdr:rowOff>125186</xdr:rowOff>
        </xdr:from>
        <xdr:to>
          <xdr:col>2</xdr:col>
          <xdr:colOff>655864</xdr:colOff>
          <xdr:row>24</xdr:row>
          <xdr:rowOff>19050</xdr:rowOff>
        </xdr:to>
        <xdr:sp macro="" textlink="">
          <xdr:nvSpPr>
            <xdr:cNvPr id="67646" name="Check Box 62" hidden="1">
              <a:extLst>
                <a:ext uri="{63B3BB69-23CF-44E3-9099-C40C66FF867C}">
                  <a14:compatExt spid="_x0000_s67646"/>
                </a:ext>
                <a:ext uri="{FF2B5EF4-FFF2-40B4-BE49-F238E27FC236}">
                  <a16:creationId xmlns:a16="http://schemas.microsoft.com/office/drawing/2014/main" id="{00000000-0008-0000-0400-00003E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22</xdr:row>
          <xdr:rowOff>125186</xdr:rowOff>
        </xdr:from>
        <xdr:to>
          <xdr:col>3</xdr:col>
          <xdr:colOff>655864</xdr:colOff>
          <xdr:row>24</xdr:row>
          <xdr:rowOff>19050</xdr:rowOff>
        </xdr:to>
        <xdr:sp macro="" textlink="">
          <xdr:nvSpPr>
            <xdr:cNvPr id="67647" name="Check Box 63" hidden="1">
              <a:extLst>
                <a:ext uri="{63B3BB69-23CF-44E3-9099-C40C66FF867C}">
                  <a14:compatExt spid="_x0000_s67647"/>
                </a:ext>
                <a:ext uri="{FF2B5EF4-FFF2-40B4-BE49-F238E27FC236}">
                  <a16:creationId xmlns:a16="http://schemas.microsoft.com/office/drawing/2014/main" id="{00000000-0008-0000-0400-00003F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23</xdr:row>
          <xdr:rowOff>125186</xdr:rowOff>
        </xdr:from>
        <xdr:to>
          <xdr:col>2</xdr:col>
          <xdr:colOff>655864</xdr:colOff>
          <xdr:row>25</xdr:row>
          <xdr:rowOff>19050</xdr:rowOff>
        </xdr:to>
        <xdr:sp macro="" textlink="">
          <xdr:nvSpPr>
            <xdr:cNvPr id="67649" name="Check Box 65" hidden="1">
              <a:extLst>
                <a:ext uri="{63B3BB69-23CF-44E3-9099-C40C66FF867C}">
                  <a14:compatExt spid="_x0000_s67649"/>
                </a:ext>
                <a:ext uri="{FF2B5EF4-FFF2-40B4-BE49-F238E27FC236}">
                  <a16:creationId xmlns:a16="http://schemas.microsoft.com/office/drawing/2014/main" id="{00000000-0008-0000-0400-000041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23</xdr:row>
          <xdr:rowOff>125186</xdr:rowOff>
        </xdr:from>
        <xdr:to>
          <xdr:col>3</xdr:col>
          <xdr:colOff>655864</xdr:colOff>
          <xdr:row>25</xdr:row>
          <xdr:rowOff>19050</xdr:rowOff>
        </xdr:to>
        <xdr:sp macro="" textlink="">
          <xdr:nvSpPr>
            <xdr:cNvPr id="67650" name="Check Box 66" hidden="1">
              <a:extLst>
                <a:ext uri="{63B3BB69-23CF-44E3-9099-C40C66FF867C}">
                  <a14:compatExt spid="_x0000_s67650"/>
                </a:ext>
                <a:ext uri="{FF2B5EF4-FFF2-40B4-BE49-F238E27FC236}">
                  <a16:creationId xmlns:a16="http://schemas.microsoft.com/office/drawing/2014/main" id="{00000000-0008-0000-0400-000042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24</xdr:row>
          <xdr:rowOff>125186</xdr:rowOff>
        </xdr:from>
        <xdr:to>
          <xdr:col>2</xdr:col>
          <xdr:colOff>655864</xdr:colOff>
          <xdr:row>26</xdr:row>
          <xdr:rowOff>19050</xdr:rowOff>
        </xdr:to>
        <xdr:sp macro="" textlink="">
          <xdr:nvSpPr>
            <xdr:cNvPr id="67652" name="Check Box 68" hidden="1">
              <a:extLst>
                <a:ext uri="{63B3BB69-23CF-44E3-9099-C40C66FF867C}">
                  <a14:compatExt spid="_x0000_s67652"/>
                </a:ext>
                <a:ext uri="{FF2B5EF4-FFF2-40B4-BE49-F238E27FC236}">
                  <a16:creationId xmlns:a16="http://schemas.microsoft.com/office/drawing/2014/main" id="{00000000-0008-0000-0400-000044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24</xdr:row>
          <xdr:rowOff>125186</xdr:rowOff>
        </xdr:from>
        <xdr:to>
          <xdr:col>3</xdr:col>
          <xdr:colOff>655864</xdr:colOff>
          <xdr:row>26</xdr:row>
          <xdr:rowOff>19050</xdr:rowOff>
        </xdr:to>
        <xdr:sp macro="" textlink="">
          <xdr:nvSpPr>
            <xdr:cNvPr id="67653" name="Check Box 69" hidden="1">
              <a:extLst>
                <a:ext uri="{63B3BB69-23CF-44E3-9099-C40C66FF867C}">
                  <a14:compatExt spid="_x0000_s67653"/>
                </a:ext>
                <a:ext uri="{FF2B5EF4-FFF2-40B4-BE49-F238E27FC236}">
                  <a16:creationId xmlns:a16="http://schemas.microsoft.com/office/drawing/2014/main" id="{00000000-0008-0000-0400-000045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25</xdr:row>
          <xdr:rowOff>125186</xdr:rowOff>
        </xdr:from>
        <xdr:to>
          <xdr:col>1</xdr:col>
          <xdr:colOff>756557</xdr:colOff>
          <xdr:row>27</xdr:row>
          <xdr:rowOff>19050</xdr:rowOff>
        </xdr:to>
        <xdr:sp macro="" textlink="">
          <xdr:nvSpPr>
            <xdr:cNvPr id="67654" name="Check Box 70" hidden="1">
              <a:extLst>
                <a:ext uri="{63B3BB69-23CF-44E3-9099-C40C66FF867C}">
                  <a14:compatExt spid="_x0000_s67654"/>
                </a:ext>
                <a:ext uri="{FF2B5EF4-FFF2-40B4-BE49-F238E27FC236}">
                  <a16:creationId xmlns:a16="http://schemas.microsoft.com/office/drawing/2014/main" id="{00000000-0008-0000-0400-000046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25</xdr:row>
          <xdr:rowOff>125186</xdr:rowOff>
        </xdr:from>
        <xdr:to>
          <xdr:col>2</xdr:col>
          <xdr:colOff>655864</xdr:colOff>
          <xdr:row>27</xdr:row>
          <xdr:rowOff>19050</xdr:rowOff>
        </xdr:to>
        <xdr:sp macro="" textlink="">
          <xdr:nvSpPr>
            <xdr:cNvPr id="67655" name="Check Box 71" hidden="1">
              <a:extLst>
                <a:ext uri="{63B3BB69-23CF-44E3-9099-C40C66FF867C}">
                  <a14:compatExt spid="_x0000_s67655"/>
                </a:ext>
                <a:ext uri="{FF2B5EF4-FFF2-40B4-BE49-F238E27FC236}">
                  <a16:creationId xmlns:a16="http://schemas.microsoft.com/office/drawing/2014/main" id="{00000000-0008-0000-0400-000047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25</xdr:row>
          <xdr:rowOff>125186</xdr:rowOff>
        </xdr:from>
        <xdr:to>
          <xdr:col>3</xdr:col>
          <xdr:colOff>655864</xdr:colOff>
          <xdr:row>27</xdr:row>
          <xdr:rowOff>19050</xdr:rowOff>
        </xdr:to>
        <xdr:sp macro="" textlink="">
          <xdr:nvSpPr>
            <xdr:cNvPr id="67656" name="Check Box 72" hidden="1">
              <a:extLst>
                <a:ext uri="{63B3BB69-23CF-44E3-9099-C40C66FF867C}">
                  <a14:compatExt spid="_x0000_s67656"/>
                </a:ext>
                <a:ext uri="{FF2B5EF4-FFF2-40B4-BE49-F238E27FC236}">
                  <a16:creationId xmlns:a16="http://schemas.microsoft.com/office/drawing/2014/main" id="{00000000-0008-0000-0400-000048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26</xdr:row>
          <xdr:rowOff>125186</xdr:rowOff>
        </xdr:from>
        <xdr:to>
          <xdr:col>1</xdr:col>
          <xdr:colOff>756557</xdr:colOff>
          <xdr:row>28</xdr:row>
          <xdr:rowOff>19050</xdr:rowOff>
        </xdr:to>
        <xdr:sp macro="" textlink="">
          <xdr:nvSpPr>
            <xdr:cNvPr id="67657" name="Check Box 73" hidden="1">
              <a:extLst>
                <a:ext uri="{63B3BB69-23CF-44E3-9099-C40C66FF867C}">
                  <a14:compatExt spid="_x0000_s67657"/>
                </a:ext>
                <a:ext uri="{FF2B5EF4-FFF2-40B4-BE49-F238E27FC236}">
                  <a16:creationId xmlns:a16="http://schemas.microsoft.com/office/drawing/2014/main" id="{00000000-0008-0000-0400-000049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26</xdr:row>
          <xdr:rowOff>125186</xdr:rowOff>
        </xdr:from>
        <xdr:to>
          <xdr:col>2</xdr:col>
          <xdr:colOff>655864</xdr:colOff>
          <xdr:row>28</xdr:row>
          <xdr:rowOff>19050</xdr:rowOff>
        </xdr:to>
        <xdr:sp macro="" textlink="">
          <xdr:nvSpPr>
            <xdr:cNvPr id="67658" name="Check Box 74" hidden="1">
              <a:extLst>
                <a:ext uri="{63B3BB69-23CF-44E3-9099-C40C66FF867C}">
                  <a14:compatExt spid="_x0000_s67658"/>
                </a:ext>
                <a:ext uri="{FF2B5EF4-FFF2-40B4-BE49-F238E27FC236}">
                  <a16:creationId xmlns:a16="http://schemas.microsoft.com/office/drawing/2014/main" id="{00000000-0008-0000-0400-00004A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26</xdr:row>
          <xdr:rowOff>125186</xdr:rowOff>
        </xdr:from>
        <xdr:to>
          <xdr:col>3</xdr:col>
          <xdr:colOff>655864</xdr:colOff>
          <xdr:row>28</xdr:row>
          <xdr:rowOff>19050</xdr:rowOff>
        </xdr:to>
        <xdr:sp macro="" textlink="">
          <xdr:nvSpPr>
            <xdr:cNvPr id="67659" name="Check Box 75" hidden="1">
              <a:extLst>
                <a:ext uri="{63B3BB69-23CF-44E3-9099-C40C66FF867C}">
                  <a14:compatExt spid="_x0000_s67659"/>
                </a:ext>
                <a:ext uri="{FF2B5EF4-FFF2-40B4-BE49-F238E27FC236}">
                  <a16:creationId xmlns:a16="http://schemas.microsoft.com/office/drawing/2014/main" id="{00000000-0008-0000-0400-00004B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27</xdr:row>
          <xdr:rowOff>125186</xdr:rowOff>
        </xdr:from>
        <xdr:to>
          <xdr:col>2</xdr:col>
          <xdr:colOff>655864</xdr:colOff>
          <xdr:row>29</xdr:row>
          <xdr:rowOff>19050</xdr:rowOff>
        </xdr:to>
        <xdr:sp macro="" textlink="">
          <xdr:nvSpPr>
            <xdr:cNvPr id="67661" name="Check Box 77" hidden="1">
              <a:extLst>
                <a:ext uri="{63B3BB69-23CF-44E3-9099-C40C66FF867C}">
                  <a14:compatExt spid="_x0000_s67661"/>
                </a:ext>
                <a:ext uri="{FF2B5EF4-FFF2-40B4-BE49-F238E27FC236}">
                  <a16:creationId xmlns:a16="http://schemas.microsoft.com/office/drawing/2014/main" id="{00000000-0008-0000-0400-00004D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27</xdr:row>
          <xdr:rowOff>125186</xdr:rowOff>
        </xdr:from>
        <xdr:to>
          <xdr:col>3</xdr:col>
          <xdr:colOff>655864</xdr:colOff>
          <xdr:row>29</xdr:row>
          <xdr:rowOff>19050</xdr:rowOff>
        </xdr:to>
        <xdr:sp macro="" textlink="">
          <xdr:nvSpPr>
            <xdr:cNvPr id="67662" name="Check Box 78" hidden="1">
              <a:extLst>
                <a:ext uri="{63B3BB69-23CF-44E3-9099-C40C66FF867C}">
                  <a14:compatExt spid="_x0000_s67662"/>
                </a:ext>
                <a:ext uri="{FF2B5EF4-FFF2-40B4-BE49-F238E27FC236}">
                  <a16:creationId xmlns:a16="http://schemas.microsoft.com/office/drawing/2014/main" id="{00000000-0008-0000-0400-00004E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28</xdr:row>
          <xdr:rowOff>125186</xdr:rowOff>
        </xdr:from>
        <xdr:to>
          <xdr:col>1</xdr:col>
          <xdr:colOff>756557</xdr:colOff>
          <xdr:row>30</xdr:row>
          <xdr:rowOff>19050</xdr:rowOff>
        </xdr:to>
        <xdr:sp macro="" textlink="">
          <xdr:nvSpPr>
            <xdr:cNvPr id="67663" name="Check Box 79" hidden="1">
              <a:extLst>
                <a:ext uri="{63B3BB69-23CF-44E3-9099-C40C66FF867C}">
                  <a14:compatExt spid="_x0000_s67663"/>
                </a:ext>
                <a:ext uri="{FF2B5EF4-FFF2-40B4-BE49-F238E27FC236}">
                  <a16:creationId xmlns:a16="http://schemas.microsoft.com/office/drawing/2014/main" id="{00000000-0008-0000-0400-00004F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28</xdr:row>
          <xdr:rowOff>125186</xdr:rowOff>
        </xdr:from>
        <xdr:to>
          <xdr:col>2</xdr:col>
          <xdr:colOff>655864</xdr:colOff>
          <xdr:row>30</xdr:row>
          <xdr:rowOff>19050</xdr:rowOff>
        </xdr:to>
        <xdr:sp macro="" textlink="">
          <xdr:nvSpPr>
            <xdr:cNvPr id="67664" name="Check Box 80" hidden="1">
              <a:extLst>
                <a:ext uri="{63B3BB69-23CF-44E3-9099-C40C66FF867C}">
                  <a14:compatExt spid="_x0000_s67664"/>
                </a:ext>
                <a:ext uri="{FF2B5EF4-FFF2-40B4-BE49-F238E27FC236}">
                  <a16:creationId xmlns:a16="http://schemas.microsoft.com/office/drawing/2014/main" id="{00000000-0008-0000-0400-000050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28</xdr:row>
          <xdr:rowOff>125186</xdr:rowOff>
        </xdr:from>
        <xdr:to>
          <xdr:col>3</xdr:col>
          <xdr:colOff>655864</xdr:colOff>
          <xdr:row>30</xdr:row>
          <xdr:rowOff>19050</xdr:rowOff>
        </xdr:to>
        <xdr:sp macro="" textlink="">
          <xdr:nvSpPr>
            <xdr:cNvPr id="67665" name="Check Box 81" hidden="1">
              <a:extLst>
                <a:ext uri="{63B3BB69-23CF-44E3-9099-C40C66FF867C}">
                  <a14:compatExt spid="_x0000_s67665"/>
                </a:ext>
                <a:ext uri="{FF2B5EF4-FFF2-40B4-BE49-F238E27FC236}">
                  <a16:creationId xmlns:a16="http://schemas.microsoft.com/office/drawing/2014/main" id="{00000000-0008-0000-0400-000051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29</xdr:row>
          <xdr:rowOff>125186</xdr:rowOff>
        </xdr:from>
        <xdr:to>
          <xdr:col>1</xdr:col>
          <xdr:colOff>756557</xdr:colOff>
          <xdr:row>31</xdr:row>
          <xdr:rowOff>19050</xdr:rowOff>
        </xdr:to>
        <xdr:sp macro="" textlink="">
          <xdr:nvSpPr>
            <xdr:cNvPr id="67666" name="Check Box 82" hidden="1">
              <a:extLst>
                <a:ext uri="{63B3BB69-23CF-44E3-9099-C40C66FF867C}">
                  <a14:compatExt spid="_x0000_s67666"/>
                </a:ext>
                <a:ext uri="{FF2B5EF4-FFF2-40B4-BE49-F238E27FC236}">
                  <a16:creationId xmlns:a16="http://schemas.microsoft.com/office/drawing/2014/main" id="{00000000-0008-0000-0400-000052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29</xdr:row>
          <xdr:rowOff>125186</xdr:rowOff>
        </xdr:from>
        <xdr:to>
          <xdr:col>2</xdr:col>
          <xdr:colOff>655864</xdr:colOff>
          <xdr:row>31</xdr:row>
          <xdr:rowOff>19050</xdr:rowOff>
        </xdr:to>
        <xdr:sp macro="" textlink="">
          <xdr:nvSpPr>
            <xdr:cNvPr id="67667" name="Check Box 83" hidden="1">
              <a:extLst>
                <a:ext uri="{63B3BB69-23CF-44E3-9099-C40C66FF867C}">
                  <a14:compatExt spid="_x0000_s67667"/>
                </a:ext>
                <a:ext uri="{FF2B5EF4-FFF2-40B4-BE49-F238E27FC236}">
                  <a16:creationId xmlns:a16="http://schemas.microsoft.com/office/drawing/2014/main" id="{00000000-0008-0000-0400-000053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29</xdr:row>
          <xdr:rowOff>125186</xdr:rowOff>
        </xdr:from>
        <xdr:to>
          <xdr:col>3</xdr:col>
          <xdr:colOff>655864</xdr:colOff>
          <xdr:row>31</xdr:row>
          <xdr:rowOff>19050</xdr:rowOff>
        </xdr:to>
        <xdr:sp macro="" textlink="">
          <xdr:nvSpPr>
            <xdr:cNvPr id="67668" name="Check Box 84" hidden="1">
              <a:extLst>
                <a:ext uri="{63B3BB69-23CF-44E3-9099-C40C66FF867C}">
                  <a14:compatExt spid="_x0000_s67668"/>
                </a:ext>
                <a:ext uri="{FF2B5EF4-FFF2-40B4-BE49-F238E27FC236}">
                  <a16:creationId xmlns:a16="http://schemas.microsoft.com/office/drawing/2014/main" id="{00000000-0008-0000-0400-000054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30</xdr:row>
          <xdr:rowOff>125186</xdr:rowOff>
        </xdr:from>
        <xdr:to>
          <xdr:col>1</xdr:col>
          <xdr:colOff>756557</xdr:colOff>
          <xdr:row>32</xdr:row>
          <xdr:rowOff>19050</xdr:rowOff>
        </xdr:to>
        <xdr:sp macro="" textlink="">
          <xdr:nvSpPr>
            <xdr:cNvPr id="67669" name="Check Box 85" hidden="1">
              <a:extLst>
                <a:ext uri="{63B3BB69-23CF-44E3-9099-C40C66FF867C}">
                  <a14:compatExt spid="_x0000_s67669"/>
                </a:ext>
                <a:ext uri="{FF2B5EF4-FFF2-40B4-BE49-F238E27FC236}">
                  <a16:creationId xmlns:a16="http://schemas.microsoft.com/office/drawing/2014/main" id="{00000000-0008-0000-0400-000055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125186</xdr:rowOff>
        </xdr:from>
        <xdr:to>
          <xdr:col>2</xdr:col>
          <xdr:colOff>655864</xdr:colOff>
          <xdr:row>32</xdr:row>
          <xdr:rowOff>19050</xdr:rowOff>
        </xdr:to>
        <xdr:sp macro="" textlink="">
          <xdr:nvSpPr>
            <xdr:cNvPr id="67670" name="Check Box 86" hidden="1">
              <a:extLst>
                <a:ext uri="{63B3BB69-23CF-44E3-9099-C40C66FF867C}">
                  <a14:compatExt spid="_x0000_s67670"/>
                </a:ext>
                <a:ext uri="{FF2B5EF4-FFF2-40B4-BE49-F238E27FC236}">
                  <a16:creationId xmlns:a16="http://schemas.microsoft.com/office/drawing/2014/main" id="{00000000-0008-0000-0400-000056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30</xdr:row>
          <xdr:rowOff>125186</xdr:rowOff>
        </xdr:from>
        <xdr:to>
          <xdr:col>3</xdr:col>
          <xdr:colOff>655864</xdr:colOff>
          <xdr:row>32</xdr:row>
          <xdr:rowOff>19050</xdr:rowOff>
        </xdr:to>
        <xdr:sp macro="" textlink="">
          <xdr:nvSpPr>
            <xdr:cNvPr id="67671" name="Check Box 87" hidden="1">
              <a:extLst>
                <a:ext uri="{63B3BB69-23CF-44E3-9099-C40C66FF867C}">
                  <a14:compatExt spid="_x0000_s67671"/>
                </a:ext>
                <a:ext uri="{FF2B5EF4-FFF2-40B4-BE49-F238E27FC236}">
                  <a16:creationId xmlns:a16="http://schemas.microsoft.com/office/drawing/2014/main" id="{00000000-0008-0000-0400-000057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31</xdr:row>
          <xdr:rowOff>125186</xdr:rowOff>
        </xdr:from>
        <xdr:to>
          <xdr:col>1</xdr:col>
          <xdr:colOff>756557</xdr:colOff>
          <xdr:row>33</xdr:row>
          <xdr:rowOff>19050</xdr:rowOff>
        </xdr:to>
        <xdr:sp macro="" textlink="">
          <xdr:nvSpPr>
            <xdr:cNvPr id="67672" name="Check Box 88" hidden="1">
              <a:extLst>
                <a:ext uri="{63B3BB69-23CF-44E3-9099-C40C66FF867C}">
                  <a14:compatExt spid="_x0000_s67672"/>
                </a:ext>
                <a:ext uri="{FF2B5EF4-FFF2-40B4-BE49-F238E27FC236}">
                  <a16:creationId xmlns:a16="http://schemas.microsoft.com/office/drawing/2014/main" id="{00000000-0008-0000-0400-000058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31</xdr:row>
          <xdr:rowOff>125186</xdr:rowOff>
        </xdr:from>
        <xdr:to>
          <xdr:col>2</xdr:col>
          <xdr:colOff>655864</xdr:colOff>
          <xdr:row>33</xdr:row>
          <xdr:rowOff>19050</xdr:rowOff>
        </xdr:to>
        <xdr:sp macro="" textlink="">
          <xdr:nvSpPr>
            <xdr:cNvPr id="67673" name="Check Box 89" hidden="1">
              <a:extLst>
                <a:ext uri="{63B3BB69-23CF-44E3-9099-C40C66FF867C}">
                  <a14:compatExt spid="_x0000_s67673"/>
                </a:ext>
                <a:ext uri="{FF2B5EF4-FFF2-40B4-BE49-F238E27FC236}">
                  <a16:creationId xmlns:a16="http://schemas.microsoft.com/office/drawing/2014/main" id="{00000000-0008-0000-0400-000059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31</xdr:row>
          <xdr:rowOff>125186</xdr:rowOff>
        </xdr:from>
        <xdr:to>
          <xdr:col>3</xdr:col>
          <xdr:colOff>655864</xdr:colOff>
          <xdr:row>33</xdr:row>
          <xdr:rowOff>19050</xdr:rowOff>
        </xdr:to>
        <xdr:sp macro="" textlink="">
          <xdr:nvSpPr>
            <xdr:cNvPr id="67674" name="Check Box 90" hidden="1">
              <a:extLst>
                <a:ext uri="{63B3BB69-23CF-44E3-9099-C40C66FF867C}">
                  <a14:compatExt spid="_x0000_s67674"/>
                </a:ext>
                <a:ext uri="{FF2B5EF4-FFF2-40B4-BE49-F238E27FC236}">
                  <a16:creationId xmlns:a16="http://schemas.microsoft.com/office/drawing/2014/main" id="{00000000-0008-0000-0400-00005A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32</xdr:row>
          <xdr:rowOff>125186</xdr:rowOff>
        </xdr:from>
        <xdr:to>
          <xdr:col>1</xdr:col>
          <xdr:colOff>756557</xdr:colOff>
          <xdr:row>34</xdr:row>
          <xdr:rowOff>19050</xdr:rowOff>
        </xdr:to>
        <xdr:sp macro="" textlink="">
          <xdr:nvSpPr>
            <xdr:cNvPr id="67675" name="Check Box 91" hidden="1">
              <a:extLst>
                <a:ext uri="{63B3BB69-23CF-44E3-9099-C40C66FF867C}">
                  <a14:compatExt spid="_x0000_s67675"/>
                </a:ext>
                <a:ext uri="{FF2B5EF4-FFF2-40B4-BE49-F238E27FC236}">
                  <a16:creationId xmlns:a16="http://schemas.microsoft.com/office/drawing/2014/main" id="{00000000-0008-0000-0400-00005B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32</xdr:row>
          <xdr:rowOff>125186</xdr:rowOff>
        </xdr:from>
        <xdr:to>
          <xdr:col>2</xdr:col>
          <xdr:colOff>655864</xdr:colOff>
          <xdr:row>34</xdr:row>
          <xdr:rowOff>19050</xdr:rowOff>
        </xdr:to>
        <xdr:sp macro="" textlink="">
          <xdr:nvSpPr>
            <xdr:cNvPr id="67676" name="Check Box 92" hidden="1">
              <a:extLst>
                <a:ext uri="{63B3BB69-23CF-44E3-9099-C40C66FF867C}">
                  <a14:compatExt spid="_x0000_s67676"/>
                </a:ext>
                <a:ext uri="{FF2B5EF4-FFF2-40B4-BE49-F238E27FC236}">
                  <a16:creationId xmlns:a16="http://schemas.microsoft.com/office/drawing/2014/main" id="{00000000-0008-0000-0400-00005C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32</xdr:row>
          <xdr:rowOff>125186</xdr:rowOff>
        </xdr:from>
        <xdr:to>
          <xdr:col>3</xdr:col>
          <xdr:colOff>655864</xdr:colOff>
          <xdr:row>34</xdr:row>
          <xdr:rowOff>19050</xdr:rowOff>
        </xdr:to>
        <xdr:sp macro="" textlink="">
          <xdr:nvSpPr>
            <xdr:cNvPr id="67677" name="Check Box 93" hidden="1">
              <a:extLst>
                <a:ext uri="{63B3BB69-23CF-44E3-9099-C40C66FF867C}">
                  <a14:compatExt spid="_x0000_s67677"/>
                </a:ext>
                <a:ext uri="{FF2B5EF4-FFF2-40B4-BE49-F238E27FC236}">
                  <a16:creationId xmlns:a16="http://schemas.microsoft.com/office/drawing/2014/main" id="{00000000-0008-0000-0400-00005D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33</xdr:row>
          <xdr:rowOff>125186</xdr:rowOff>
        </xdr:from>
        <xdr:to>
          <xdr:col>1</xdr:col>
          <xdr:colOff>756557</xdr:colOff>
          <xdr:row>35</xdr:row>
          <xdr:rowOff>19050</xdr:rowOff>
        </xdr:to>
        <xdr:sp macro="" textlink="">
          <xdr:nvSpPr>
            <xdr:cNvPr id="67678" name="Check Box 94" hidden="1">
              <a:extLst>
                <a:ext uri="{63B3BB69-23CF-44E3-9099-C40C66FF867C}">
                  <a14:compatExt spid="_x0000_s67678"/>
                </a:ext>
                <a:ext uri="{FF2B5EF4-FFF2-40B4-BE49-F238E27FC236}">
                  <a16:creationId xmlns:a16="http://schemas.microsoft.com/office/drawing/2014/main" id="{00000000-0008-0000-0400-00005E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33</xdr:row>
          <xdr:rowOff>125186</xdr:rowOff>
        </xdr:from>
        <xdr:to>
          <xdr:col>2</xdr:col>
          <xdr:colOff>655864</xdr:colOff>
          <xdr:row>35</xdr:row>
          <xdr:rowOff>19050</xdr:rowOff>
        </xdr:to>
        <xdr:sp macro="" textlink="">
          <xdr:nvSpPr>
            <xdr:cNvPr id="67679" name="Check Box 95" hidden="1">
              <a:extLst>
                <a:ext uri="{63B3BB69-23CF-44E3-9099-C40C66FF867C}">
                  <a14:compatExt spid="_x0000_s67679"/>
                </a:ext>
                <a:ext uri="{FF2B5EF4-FFF2-40B4-BE49-F238E27FC236}">
                  <a16:creationId xmlns:a16="http://schemas.microsoft.com/office/drawing/2014/main" id="{00000000-0008-0000-0400-00005F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33</xdr:row>
          <xdr:rowOff>125186</xdr:rowOff>
        </xdr:from>
        <xdr:to>
          <xdr:col>3</xdr:col>
          <xdr:colOff>655864</xdr:colOff>
          <xdr:row>35</xdr:row>
          <xdr:rowOff>19050</xdr:rowOff>
        </xdr:to>
        <xdr:sp macro="" textlink="">
          <xdr:nvSpPr>
            <xdr:cNvPr id="67680" name="Check Box 96" hidden="1">
              <a:extLst>
                <a:ext uri="{63B3BB69-23CF-44E3-9099-C40C66FF867C}">
                  <a14:compatExt spid="_x0000_s67680"/>
                </a:ext>
                <a:ext uri="{FF2B5EF4-FFF2-40B4-BE49-F238E27FC236}">
                  <a16:creationId xmlns:a16="http://schemas.microsoft.com/office/drawing/2014/main" id="{00000000-0008-0000-0400-000060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34</xdr:row>
          <xdr:rowOff>125186</xdr:rowOff>
        </xdr:from>
        <xdr:to>
          <xdr:col>1</xdr:col>
          <xdr:colOff>756557</xdr:colOff>
          <xdr:row>36</xdr:row>
          <xdr:rowOff>19050</xdr:rowOff>
        </xdr:to>
        <xdr:sp macro="" textlink="">
          <xdr:nvSpPr>
            <xdr:cNvPr id="67681" name="Check Box 97" hidden="1">
              <a:extLst>
                <a:ext uri="{63B3BB69-23CF-44E3-9099-C40C66FF867C}">
                  <a14:compatExt spid="_x0000_s67681"/>
                </a:ext>
                <a:ext uri="{FF2B5EF4-FFF2-40B4-BE49-F238E27FC236}">
                  <a16:creationId xmlns:a16="http://schemas.microsoft.com/office/drawing/2014/main" id="{00000000-0008-0000-0400-000061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125186</xdr:rowOff>
        </xdr:from>
        <xdr:to>
          <xdr:col>2</xdr:col>
          <xdr:colOff>655864</xdr:colOff>
          <xdr:row>36</xdr:row>
          <xdr:rowOff>19050</xdr:rowOff>
        </xdr:to>
        <xdr:sp macro="" textlink="">
          <xdr:nvSpPr>
            <xdr:cNvPr id="67682" name="Check Box 98" hidden="1">
              <a:extLst>
                <a:ext uri="{63B3BB69-23CF-44E3-9099-C40C66FF867C}">
                  <a14:compatExt spid="_x0000_s67682"/>
                </a:ext>
                <a:ext uri="{FF2B5EF4-FFF2-40B4-BE49-F238E27FC236}">
                  <a16:creationId xmlns:a16="http://schemas.microsoft.com/office/drawing/2014/main" id="{00000000-0008-0000-0400-000062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34</xdr:row>
          <xdr:rowOff>125186</xdr:rowOff>
        </xdr:from>
        <xdr:to>
          <xdr:col>3</xdr:col>
          <xdr:colOff>655864</xdr:colOff>
          <xdr:row>36</xdr:row>
          <xdr:rowOff>19050</xdr:rowOff>
        </xdr:to>
        <xdr:sp macro="" textlink="">
          <xdr:nvSpPr>
            <xdr:cNvPr id="67683" name="Check Box 99" hidden="1">
              <a:extLst>
                <a:ext uri="{63B3BB69-23CF-44E3-9099-C40C66FF867C}">
                  <a14:compatExt spid="_x0000_s67683"/>
                </a:ext>
                <a:ext uri="{FF2B5EF4-FFF2-40B4-BE49-F238E27FC236}">
                  <a16:creationId xmlns:a16="http://schemas.microsoft.com/office/drawing/2014/main" id="{00000000-0008-0000-0400-000063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35</xdr:row>
          <xdr:rowOff>125186</xdr:rowOff>
        </xdr:from>
        <xdr:to>
          <xdr:col>1</xdr:col>
          <xdr:colOff>756557</xdr:colOff>
          <xdr:row>37</xdr:row>
          <xdr:rowOff>19050</xdr:rowOff>
        </xdr:to>
        <xdr:sp macro="" textlink="">
          <xdr:nvSpPr>
            <xdr:cNvPr id="67684" name="Check Box 100" hidden="1">
              <a:extLst>
                <a:ext uri="{63B3BB69-23CF-44E3-9099-C40C66FF867C}">
                  <a14:compatExt spid="_x0000_s67684"/>
                </a:ext>
                <a:ext uri="{FF2B5EF4-FFF2-40B4-BE49-F238E27FC236}">
                  <a16:creationId xmlns:a16="http://schemas.microsoft.com/office/drawing/2014/main" id="{00000000-0008-0000-0400-000064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35</xdr:row>
          <xdr:rowOff>125186</xdr:rowOff>
        </xdr:from>
        <xdr:to>
          <xdr:col>2</xdr:col>
          <xdr:colOff>655864</xdr:colOff>
          <xdr:row>37</xdr:row>
          <xdr:rowOff>19050</xdr:rowOff>
        </xdr:to>
        <xdr:sp macro="" textlink="">
          <xdr:nvSpPr>
            <xdr:cNvPr id="67685" name="Check Box 101" hidden="1">
              <a:extLst>
                <a:ext uri="{63B3BB69-23CF-44E3-9099-C40C66FF867C}">
                  <a14:compatExt spid="_x0000_s67685"/>
                </a:ext>
                <a:ext uri="{FF2B5EF4-FFF2-40B4-BE49-F238E27FC236}">
                  <a16:creationId xmlns:a16="http://schemas.microsoft.com/office/drawing/2014/main" id="{00000000-0008-0000-0400-000065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35</xdr:row>
          <xdr:rowOff>125186</xdr:rowOff>
        </xdr:from>
        <xdr:to>
          <xdr:col>3</xdr:col>
          <xdr:colOff>655864</xdr:colOff>
          <xdr:row>37</xdr:row>
          <xdr:rowOff>19050</xdr:rowOff>
        </xdr:to>
        <xdr:sp macro="" textlink="">
          <xdr:nvSpPr>
            <xdr:cNvPr id="67686" name="Check Box 102" hidden="1">
              <a:extLst>
                <a:ext uri="{63B3BB69-23CF-44E3-9099-C40C66FF867C}">
                  <a14:compatExt spid="_x0000_s67686"/>
                </a:ext>
                <a:ext uri="{FF2B5EF4-FFF2-40B4-BE49-F238E27FC236}">
                  <a16:creationId xmlns:a16="http://schemas.microsoft.com/office/drawing/2014/main" id="{00000000-0008-0000-0400-000066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36</xdr:row>
          <xdr:rowOff>125186</xdr:rowOff>
        </xdr:from>
        <xdr:to>
          <xdr:col>1</xdr:col>
          <xdr:colOff>756557</xdr:colOff>
          <xdr:row>38</xdr:row>
          <xdr:rowOff>19050</xdr:rowOff>
        </xdr:to>
        <xdr:sp macro="" textlink="">
          <xdr:nvSpPr>
            <xdr:cNvPr id="67687" name="Check Box 103" hidden="1">
              <a:extLst>
                <a:ext uri="{63B3BB69-23CF-44E3-9099-C40C66FF867C}">
                  <a14:compatExt spid="_x0000_s67687"/>
                </a:ext>
                <a:ext uri="{FF2B5EF4-FFF2-40B4-BE49-F238E27FC236}">
                  <a16:creationId xmlns:a16="http://schemas.microsoft.com/office/drawing/2014/main" id="{00000000-0008-0000-0400-000067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36</xdr:row>
          <xdr:rowOff>125186</xdr:rowOff>
        </xdr:from>
        <xdr:to>
          <xdr:col>2</xdr:col>
          <xdr:colOff>655864</xdr:colOff>
          <xdr:row>38</xdr:row>
          <xdr:rowOff>19050</xdr:rowOff>
        </xdr:to>
        <xdr:sp macro="" textlink="">
          <xdr:nvSpPr>
            <xdr:cNvPr id="67688" name="Check Box 104" hidden="1">
              <a:extLst>
                <a:ext uri="{63B3BB69-23CF-44E3-9099-C40C66FF867C}">
                  <a14:compatExt spid="_x0000_s67688"/>
                </a:ext>
                <a:ext uri="{FF2B5EF4-FFF2-40B4-BE49-F238E27FC236}">
                  <a16:creationId xmlns:a16="http://schemas.microsoft.com/office/drawing/2014/main" id="{00000000-0008-0000-0400-000068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36</xdr:row>
          <xdr:rowOff>125186</xdr:rowOff>
        </xdr:from>
        <xdr:to>
          <xdr:col>3</xdr:col>
          <xdr:colOff>655864</xdr:colOff>
          <xdr:row>38</xdr:row>
          <xdr:rowOff>19050</xdr:rowOff>
        </xdr:to>
        <xdr:sp macro="" textlink="">
          <xdr:nvSpPr>
            <xdr:cNvPr id="67689" name="Check Box 105" hidden="1">
              <a:extLst>
                <a:ext uri="{63B3BB69-23CF-44E3-9099-C40C66FF867C}">
                  <a14:compatExt spid="_x0000_s67689"/>
                </a:ext>
                <a:ext uri="{FF2B5EF4-FFF2-40B4-BE49-F238E27FC236}">
                  <a16:creationId xmlns:a16="http://schemas.microsoft.com/office/drawing/2014/main" id="{00000000-0008-0000-0400-000069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37</xdr:row>
          <xdr:rowOff>125186</xdr:rowOff>
        </xdr:from>
        <xdr:to>
          <xdr:col>1</xdr:col>
          <xdr:colOff>756557</xdr:colOff>
          <xdr:row>39</xdr:row>
          <xdr:rowOff>19050</xdr:rowOff>
        </xdr:to>
        <xdr:sp macro="" textlink="">
          <xdr:nvSpPr>
            <xdr:cNvPr id="67690" name="Check Box 106" hidden="1">
              <a:extLst>
                <a:ext uri="{63B3BB69-23CF-44E3-9099-C40C66FF867C}">
                  <a14:compatExt spid="_x0000_s67690"/>
                </a:ext>
                <a:ext uri="{FF2B5EF4-FFF2-40B4-BE49-F238E27FC236}">
                  <a16:creationId xmlns:a16="http://schemas.microsoft.com/office/drawing/2014/main" id="{00000000-0008-0000-0400-00006A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37</xdr:row>
          <xdr:rowOff>125186</xdr:rowOff>
        </xdr:from>
        <xdr:to>
          <xdr:col>2</xdr:col>
          <xdr:colOff>655864</xdr:colOff>
          <xdr:row>39</xdr:row>
          <xdr:rowOff>19050</xdr:rowOff>
        </xdr:to>
        <xdr:sp macro="" textlink="">
          <xdr:nvSpPr>
            <xdr:cNvPr id="67691" name="Check Box 107" hidden="1">
              <a:extLst>
                <a:ext uri="{63B3BB69-23CF-44E3-9099-C40C66FF867C}">
                  <a14:compatExt spid="_x0000_s67691"/>
                </a:ext>
                <a:ext uri="{FF2B5EF4-FFF2-40B4-BE49-F238E27FC236}">
                  <a16:creationId xmlns:a16="http://schemas.microsoft.com/office/drawing/2014/main" id="{00000000-0008-0000-0400-00006B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37</xdr:row>
          <xdr:rowOff>125186</xdr:rowOff>
        </xdr:from>
        <xdr:to>
          <xdr:col>3</xdr:col>
          <xdr:colOff>655864</xdr:colOff>
          <xdr:row>39</xdr:row>
          <xdr:rowOff>19050</xdr:rowOff>
        </xdr:to>
        <xdr:sp macro="" textlink="">
          <xdr:nvSpPr>
            <xdr:cNvPr id="67692" name="Check Box 108" hidden="1">
              <a:extLst>
                <a:ext uri="{63B3BB69-23CF-44E3-9099-C40C66FF867C}">
                  <a14:compatExt spid="_x0000_s67692"/>
                </a:ext>
                <a:ext uri="{FF2B5EF4-FFF2-40B4-BE49-F238E27FC236}">
                  <a16:creationId xmlns:a16="http://schemas.microsoft.com/office/drawing/2014/main" id="{00000000-0008-0000-0400-00006C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38</xdr:row>
          <xdr:rowOff>125186</xdr:rowOff>
        </xdr:from>
        <xdr:to>
          <xdr:col>1</xdr:col>
          <xdr:colOff>756557</xdr:colOff>
          <xdr:row>40</xdr:row>
          <xdr:rowOff>19050</xdr:rowOff>
        </xdr:to>
        <xdr:sp macro="" textlink="">
          <xdr:nvSpPr>
            <xdr:cNvPr id="67693" name="Check Box 109" hidden="1">
              <a:extLst>
                <a:ext uri="{63B3BB69-23CF-44E3-9099-C40C66FF867C}">
                  <a14:compatExt spid="_x0000_s67693"/>
                </a:ext>
                <a:ext uri="{FF2B5EF4-FFF2-40B4-BE49-F238E27FC236}">
                  <a16:creationId xmlns:a16="http://schemas.microsoft.com/office/drawing/2014/main" id="{00000000-0008-0000-0400-00006D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38</xdr:row>
          <xdr:rowOff>125186</xdr:rowOff>
        </xdr:from>
        <xdr:to>
          <xdr:col>2</xdr:col>
          <xdr:colOff>655864</xdr:colOff>
          <xdr:row>40</xdr:row>
          <xdr:rowOff>19050</xdr:rowOff>
        </xdr:to>
        <xdr:sp macro="" textlink="">
          <xdr:nvSpPr>
            <xdr:cNvPr id="67694" name="Check Box 110" hidden="1">
              <a:extLst>
                <a:ext uri="{63B3BB69-23CF-44E3-9099-C40C66FF867C}">
                  <a14:compatExt spid="_x0000_s67694"/>
                </a:ext>
                <a:ext uri="{FF2B5EF4-FFF2-40B4-BE49-F238E27FC236}">
                  <a16:creationId xmlns:a16="http://schemas.microsoft.com/office/drawing/2014/main" id="{00000000-0008-0000-0400-00006E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38</xdr:row>
          <xdr:rowOff>125186</xdr:rowOff>
        </xdr:from>
        <xdr:to>
          <xdr:col>3</xdr:col>
          <xdr:colOff>655864</xdr:colOff>
          <xdr:row>40</xdr:row>
          <xdr:rowOff>19050</xdr:rowOff>
        </xdr:to>
        <xdr:sp macro="" textlink="">
          <xdr:nvSpPr>
            <xdr:cNvPr id="67695" name="Check Box 111" hidden="1">
              <a:extLst>
                <a:ext uri="{63B3BB69-23CF-44E3-9099-C40C66FF867C}">
                  <a14:compatExt spid="_x0000_s67695"/>
                </a:ext>
                <a:ext uri="{FF2B5EF4-FFF2-40B4-BE49-F238E27FC236}">
                  <a16:creationId xmlns:a16="http://schemas.microsoft.com/office/drawing/2014/main" id="{00000000-0008-0000-0400-00006F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39</xdr:row>
          <xdr:rowOff>125186</xdr:rowOff>
        </xdr:from>
        <xdr:to>
          <xdr:col>1</xdr:col>
          <xdr:colOff>756557</xdr:colOff>
          <xdr:row>41</xdr:row>
          <xdr:rowOff>19050</xdr:rowOff>
        </xdr:to>
        <xdr:sp macro="" textlink="">
          <xdr:nvSpPr>
            <xdr:cNvPr id="67696" name="Check Box 112" hidden="1">
              <a:extLst>
                <a:ext uri="{63B3BB69-23CF-44E3-9099-C40C66FF867C}">
                  <a14:compatExt spid="_x0000_s67696"/>
                </a:ext>
                <a:ext uri="{FF2B5EF4-FFF2-40B4-BE49-F238E27FC236}">
                  <a16:creationId xmlns:a16="http://schemas.microsoft.com/office/drawing/2014/main" id="{00000000-0008-0000-0400-000070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39</xdr:row>
          <xdr:rowOff>125186</xdr:rowOff>
        </xdr:from>
        <xdr:to>
          <xdr:col>2</xdr:col>
          <xdr:colOff>655864</xdr:colOff>
          <xdr:row>41</xdr:row>
          <xdr:rowOff>19050</xdr:rowOff>
        </xdr:to>
        <xdr:sp macro="" textlink="">
          <xdr:nvSpPr>
            <xdr:cNvPr id="67697" name="Check Box 113" hidden="1">
              <a:extLst>
                <a:ext uri="{63B3BB69-23CF-44E3-9099-C40C66FF867C}">
                  <a14:compatExt spid="_x0000_s67697"/>
                </a:ext>
                <a:ext uri="{FF2B5EF4-FFF2-40B4-BE49-F238E27FC236}">
                  <a16:creationId xmlns:a16="http://schemas.microsoft.com/office/drawing/2014/main" id="{00000000-0008-0000-0400-000071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39</xdr:row>
          <xdr:rowOff>125186</xdr:rowOff>
        </xdr:from>
        <xdr:to>
          <xdr:col>3</xdr:col>
          <xdr:colOff>655864</xdr:colOff>
          <xdr:row>41</xdr:row>
          <xdr:rowOff>19050</xdr:rowOff>
        </xdr:to>
        <xdr:sp macro="" textlink="">
          <xdr:nvSpPr>
            <xdr:cNvPr id="67698" name="Check Box 114" hidden="1">
              <a:extLst>
                <a:ext uri="{63B3BB69-23CF-44E3-9099-C40C66FF867C}">
                  <a14:compatExt spid="_x0000_s67698"/>
                </a:ext>
                <a:ext uri="{FF2B5EF4-FFF2-40B4-BE49-F238E27FC236}">
                  <a16:creationId xmlns:a16="http://schemas.microsoft.com/office/drawing/2014/main" id="{00000000-0008-0000-0400-000072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40</xdr:row>
          <xdr:rowOff>125186</xdr:rowOff>
        </xdr:from>
        <xdr:to>
          <xdr:col>1</xdr:col>
          <xdr:colOff>756557</xdr:colOff>
          <xdr:row>42</xdr:row>
          <xdr:rowOff>19050</xdr:rowOff>
        </xdr:to>
        <xdr:sp macro="" textlink="">
          <xdr:nvSpPr>
            <xdr:cNvPr id="67699" name="Check Box 115" hidden="1">
              <a:extLst>
                <a:ext uri="{63B3BB69-23CF-44E3-9099-C40C66FF867C}">
                  <a14:compatExt spid="_x0000_s67699"/>
                </a:ext>
                <a:ext uri="{FF2B5EF4-FFF2-40B4-BE49-F238E27FC236}">
                  <a16:creationId xmlns:a16="http://schemas.microsoft.com/office/drawing/2014/main" id="{00000000-0008-0000-0400-000073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40</xdr:row>
          <xdr:rowOff>125186</xdr:rowOff>
        </xdr:from>
        <xdr:to>
          <xdr:col>2</xdr:col>
          <xdr:colOff>655864</xdr:colOff>
          <xdr:row>42</xdr:row>
          <xdr:rowOff>19050</xdr:rowOff>
        </xdr:to>
        <xdr:sp macro="" textlink="">
          <xdr:nvSpPr>
            <xdr:cNvPr id="67700" name="Check Box 116" hidden="1">
              <a:extLst>
                <a:ext uri="{63B3BB69-23CF-44E3-9099-C40C66FF867C}">
                  <a14:compatExt spid="_x0000_s67700"/>
                </a:ext>
                <a:ext uri="{FF2B5EF4-FFF2-40B4-BE49-F238E27FC236}">
                  <a16:creationId xmlns:a16="http://schemas.microsoft.com/office/drawing/2014/main" id="{00000000-0008-0000-0400-000074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40</xdr:row>
          <xdr:rowOff>125186</xdr:rowOff>
        </xdr:from>
        <xdr:to>
          <xdr:col>3</xdr:col>
          <xdr:colOff>655864</xdr:colOff>
          <xdr:row>42</xdr:row>
          <xdr:rowOff>19050</xdr:rowOff>
        </xdr:to>
        <xdr:sp macro="" textlink="">
          <xdr:nvSpPr>
            <xdr:cNvPr id="67701" name="Check Box 117" hidden="1">
              <a:extLst>
                <a:ext uri="{63B3BB69-23CF-44E3-9099-C40C66FF867C}">
                  <a14:compatExt spid="_x0000_s67701"/>
                </a:ext>
                <a:ext uri="{FF2B5EF4-FFF2-40B4-BE49-F238E27FC236}">
                  <a16:creationId xmlns:a16="http://schemas.microsoft.com/office/drawing/2014/main" id="{00000000-0008-0000-0400-000075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41</xdr:row>
          <xdr:rowOff>125186</xdr:rowOff>
        </xdr:from>
        <xdr:to>
          <xdr:col>1</xdr:col>
          <xdr:colOff>756557</xdr:colOff>
          <xdr:row>43</xdr:row>
          <xdr:rowOff>19050</xdr:rowOff>
        </xdr:to>
        <xdr:sp macro="" textlink="">
          <xdr:nvSpPr>
            <xdr:cNvPr id="67702" name="Check Box 118" hidden="1">
              <a:extLst>
                <a:ext uri="{63B3BB69-23CF-44E3-9099-C40C66FF867C}">
                  <a14:compatExt spid="_x0000_s67702"/>
                </a:ext>
                <a:ext uri="{FF2B5EF4-FFF2-40B4-BE49-F238E27FC236}">
                  <a16:creationId xmlns:a16="http://schemas.microsoft.com/office/drawing/2014/main" id="{00000000-0008-0000-0400-000076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41</xdr:row>
          <xdr:rowOff>125186</xdr:rowOff>
        </xdr:from>
        <xdr:to>
          <xdr:col>2</xdr:col>
          <xdr:colOff>655864</xdr:colOff>
          <xdr:row>43</xdr:row>
          <xdr:rowOff>19050</xdr:rowOff>
        </xdr:to>
        <xdr:sp macro="" textlink="">
          <xdr:nvSpPr>
            <xdr:cNvPr id="67703" name="Check Box 119" hidden="1">
              <a:extLst>
                <a:ext uri="{63B3BB69-23CF-44E3-9099-C40C66FF867C}">
                  <a14:compatExt spid="_x0000_s67703"/>
                </a:ext>
                <a:ext uri="{FF2B5EF4-FFF2-40B4-BE49-F238E27FC236}">
                  <a16:creationId xmlns:a16="http://schemas.microsoft.com/office/drawing/2014/main" id="{00000000-0008-0000-0400-000077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41</xdr:row>
          <xdr:rowOff>125186</xdr:rowOff>
        </xdr:from>
        <xdr:to>
          <xdr:col>3</xdr:col>
          <xdr:colOff>655864</xdr:colOff>
          <xdr:row>43</xdr:row>
          <xdr:rowOff>19050</xdr:rowOff>
        </xdr:to>
        <xdr:sp macro="" textlink="">
          <xdr:nvSpPr>
            <xdr:cNvPr id="67704" name="Check Box 120" hidden="1">
              <a:extLst>
                <a:ext uri="{63B3BB69-23CF-44E3-9099-C40C66FF867C}">
                  <a14:compatExt spid="_x0000_s67704"/>
                </a:ext>
                <a:ext uri="{FF2B5EF4-FFF2-40B4-BE49-F238E27FC236}">
                  <a16:creationId xmlns:a16="http://schemas.microsoft.com/office/drawing/2014/main" id="{00000000-0008-0000-0400-000078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42</xdr:row>
          <xdr:rowOff>125186</xdr:rowOff>
        </xdr:from>
        <xdr:to>
          <xdr:col>1</xdr:col>
          <xdr:colOff>756557</xdr:colOff>
          <xdr:row>44</xdr:row>
          <xdr:rowOff>19050</xdr:rowOff>
        </xdr:to>
        <xdr:sp macro="" textlink="">
          <xdr:nvSpPr>
            <xdr:cNvPr id="67705" name="Check Box 121" hidden="1">
              <a:extLst>
                <a:ext uri="{63B3BB69-23CF-44E3-9099-C40C66FF867C}">
                  <a14:compatExt spid="_x0000_s67705"/>
                </a:ext>
                <a:ext uri="{FF2B5EF4-FFF2-40B4-BE49-F238E27FC236}">
                  <a16:creationId xmlns:a16="http://schemas.microsoft.com/office/drawing/2014/main" id="{00000000-0008-0000-0400-000079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42</xdr:row>
          <xdr:rowOff>125186</xdr:rowOff>
        </xdr:from>
        <xdr:to>
          <xdr:col>2</xdr:col>
          <xdr:colOff>655864</xdr:colOff>
          <xdr:row>44</xdr:row>
          <xdr:rowOff>19050</xdr:rowOff>
        </xdr:to>
        <xdr:sp macro="" textlink="">
          <xdr:nvSpPr>
            <xdr:cNvPr id="67706" name="Check Box 122" hidden="1">
              <a:extLst>
                <a:ext uri="{63B3BB69-23CF-44E3-9099-C40C66FF867C}">
                  <a14:compatExt spid="_x0000_s67706"/>
                </a:ext>
                <a:ext uri="{FF2B5EF4-FFF2-40B4-BE49-F238E27FC236}">
                  <a16:creationId xmlns:a16="http://schemas.microsoft.com/office/drawing/2014/main" id="{00000000-0008-0000-0400-00007A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42</xdr:row>
          <xdr:rowOff>125186</xdr:rowOff>
        </xdr:from>
        <xdr:to>
          <xdr:col>3</xdr:col>
          <xdr:colOff>655864</xdr:colOff>
          <xdr:row>44</xdr:row>
          <xdr:rowOff>19050</xdr:rowOff>
        </xdr:to>
        <xdr:sp macro="" textlink="">
          <xdr:nvSpPr>
            <xdr:cNvPr id="67707" name="Check Box 123" hidden="1">
              <a:extLst>
                <a:ext uri="{63B3BB69-23CF-44E3-9099-C40C66FF867C}">
                  <a14:compatExt spid="_x0000_s67707"/>
                </a:ext>
                <a:ext uri="{FF2B5EF4-FFF2-40B4-BE49-F238E27FC236}">
                  <a16:creationId xmlns:a16="http://schemas.microsoft.com/office/drawing/2014/main" id="{00000000-0008-0000-0400-00007B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43</xdr:row>
          <xdr:rowOff>125186</xdr:rowOff>
        </xdr:from>
        <xdr:to>
          <xdr:col>1</xdr:col>
          <xdr:colOff>756557</xdr:colOff>
          <xdr:row>45</xdr:row>
          <xdr:rowOff>19050</xdr:rowOff>
        </xdr:to>
        <xdr:sp macro="" textlink="">
          <xdr:nvSpPr>
            <xdr:cNvPr id="67708" name="Check Box 124" hidden="1">
              <a:extLst>
                <a:ext uri="{63B3BB69-23CF-44E3-9099-C40C66FF867C}">
                  <a14:compatExt spid="_x0000_s67708"/>
                </a:ext>
                <a:ext uri="{FF2B5EF4-FFF2-40B4-BE49-F238E27FC236}">
                  <a16:creationId xmlns:a16="http://schemas.microsoft.com/office/drawing/2014/main" id="{00000000-0008-0000-0400-00007C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43</xdr:row>
          <xdr:rowOff>125186</xdr:rowOff>
        </xdr:from>
        <xdr:to>
          <xdr:col>2</xdr:col>
          <xdr:colOff>655864</xdr:colOff>
          <xdr:row>45</xdr:row>
          <xdr:rowOff>19050</xdr:rowOff>
        </xdr:to>
        <xdr:sp macro="" textlink="">
          <xdr:nvSpPr>
            <xdr:cNvPr id="67709" name="Check Box 125" hidden="1">
              <a:extLst>
                <a:ext uri="{63B3BB69-23CF-44E3-9099-C40C66FF867C}">
                  <a14:compatExt spid="_x0000_s67709"/>
                </a:ext>
                <a:ext uri="{FF2B5EF4-FFF2-40B4-BE49-F238E27FC236}">
                  <a16:creationId xmlns:a16="http://schemas.microsoft.com/office/drawing/2014/main" id="{00000000-0008-0000-0400-00007D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43</xdr:row>
          <xdr:rowOff>125186</xdr:rowOff>
        </xdr:from>
        <xdr:to>
          <xdr:col>3</xdr:col>
          <xdr:colOff>655864</xdr:colOff>
          <xdr:row>45</xdr:row>
          <xdr:rowOff>19050</xdr:rowOff>
        </xdr:to>
        <xdr:sp macro="" textlink="">
          <xdr:nvSpPr>
            <xdr:cNvPr id="67710" name="Check Box 126" hidden="1">
              <a:extLst>
                <a:ext uri="{63B3BB69-23CF-44E3-9099-C40C66FF867C}">
                  <a14:compatExt spid="_x0000_s67710"/>
                </a:ext>
                <a:ext uri="{FF2B5EF4-FFF2-40B4-BE49-F238E27FC236}">
                  <a16:creationId xmlns:a16="http://schemas.microsoft.com/office/drawing/2014/main" id="{00000000-0008-0000-0400-00007E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44</xdr:row>
          <xdr:rowOff>125186</xdr:rowOff>
        </xdr:from>
        <xdr:to>
          <xdr:col>1</xdr:col>
          <xdr:colOff>756557</xdr:colOff>
          <xdr:row>46</xdr:row>
          <xdr:rowOff>19050</xdr:rowOff>
        </xdr:to>
        <xdr:sp macro="" textlink="">
          <xdr:nvSpPr>
            <xdr:cNvPr id="67711" name="Check Box 127" hidden="1">
              <a:extLst>
                <a:ext uri="{63B3BB69-23CF-44E3-9099-C40C66FF867C}">
                  <a14:compatExt spid="_x0000_s67711"/>
                </a:ext>
                <a:ext uri="{FF2B5EF4-FFF2-40B4-BE49-F238E27FC236}">
                  <a16:creationId xmlns:a16="http://schemas.microsoft.com/office/drawing/2014/main" id="{00000000-0008-0000-0400-00007F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44</xdr:row>
          <xdr:rowOff>125186</xdr:rowOff>
        </xdr:from>
        <xdr:to>
          <xdr:col>2</xdr:col>
          <xdr:colOff>655864</xdr:colOff>
          <xdr:row>46</xdr:row>
          <xdr:rowOff>19050</xdr:rowOff>
        </xdr:to>
        <xdr:sp macro="" textlink="">
          <xdr:nvSpPr>
            <xdr:cNvPr id="67712" name="Check Box 128" hidden="1">
              <a:extLst>
                <a:ext uri="{63B3BB69-23CF-44E3-9099-C40C66FF867C}">
                  <a14:compatExt spid="_x0000_s67712"/>
                </a:ext>
                <a:ext uri="{FF2B5EF4-FFF2-40B4-BE49-F238E27FC236}">
                  <a16:creationId xmlns:a16="http://schemas.microsoft.com/office/drawing/2014/main" id="{00000000-0008-0000-0400-000080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44</xdr:row>
          <xdr:rowOff>125186</xdr:rowOff>
        </xdr:from>
        <xdr:to>
          <xdr:col>3</xdr:col>
          <xdr:colOff>655864</xdr:colOff>
          <xdr:row>46</xdr:row>
          <xdr:rowOff>19050</xdr:rowOff>
        </xdr:to>
        <xdr:sp macro="" textlink="">
          <xdr:nvSpPr>
            <xdr:cNvPr id="67713" name="Check Box 129" hidden="1">
              <a:extLst>
                <a:ext uri="{63B3BB69-23CF-44E3-9099-C40C66FF867C}">
                  <a14:compatExt spid="_x0000_s67713"/>
                </a:ext>
                <a:ext uri="{FF2B5EF4-FFF2-40B4-BE49-F238E27FC236}">
                  <a16:creationId xmlns:a16="http://schemas.microsoft.com/office/drawing/2014/main" id="{00000000-0008-0000-0400-000081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45</xdr:row>
          <xdr:rowOff>125186</xdr:rowOff>
        </xdr:from>
        <xdr:to>
          <xdr:col>1</xdr:col>
          <xdr:colOff>756557</xdr:colOff>
          <xdr:row>47</xdr:row>
          <xdr:rowOff>19050</xdr:rowOff>
        </xdr:to>
        <xdr:sp macro="" textlink="">
          <xdr:nvSpPr>
            <xdr:cNvPr id="67714" name="Check Box 130" hidden="1">
              <a:extLst>
                <a:ext uri="{63B3BB69-23CF-44E3-9099-C40C66FF867C}">
                  <a14:compatExt spid="_x0000_s67714"/>
                </a:ext>
                <a:ext uri="{FF2B5EF4-FFF2-40B4-BE49-F238E27FC236}">
                  <a16:creationId xmlns:a16="http://schemas.microsoft.com/office/drawing/2014/main" id="{00000000-0008-0000-0400-000082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45</xdr:row>
          <xdr:rowOff>125186</xdr:rowOff>
        </xdr:from>
        <xdr:to>
          <xdr:col>2</xdr:col>
          <xdr:colOff>655864</xdr:colOff>
          <xdr:row>47</xdr:row>
          <xdr:rowOff>19050</xdr:rowOff>
        </xdr:to>
        <xdr:sp macro="" textlink="">
          <xdr:nvSpPr>
            <xdr:cNvPr id="67715" name="Check Box 131" hidden="1">
              <a:extLst>
                <a:ext uri="{63B3BB69-23CF-44E3-9099-C40C66FF867C}">
                  <a14:compatExt spid="_x0000_s67715"/>
                </a:ext>
                <a:ext uri="{FF2B5EF4-FFF2-40B4-BE49-F238E27FC236}">
                  <a16:creationId xmlns:a16="http://schemas.microsoft.com/office/drawing/2014/main" id="{00000000-0008-0000-0400-000083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45</xdr:row>
          <xdr:rowOff>125186</xdr:rowOff>
        </xdr:from>
        <xdr:to>
          <xdr:col>3</xdr:col>
          <xdr:colOff>655864</xdr:colOff>
          <xdr:row>47</xdr:row>
          <xdr:rowOff>19050</xdr:rowOff>
        </xdr:to>
        <xdr:sp macro="" textlink="">
          <xdr:nvSpPr>
            <xdr:cNvPr id="67716" name="Check Box 132" hidden="1">
              <a:extLst>
                <a:ext uri="{63B3BB69-23CF-44E3-9099-C40C66FF867C}">
                  <a14:compatExt spid="_x0000_s67716"/>
                </a:ext>
                <a:ext uri="{FF2B5EF4-FFF2-40B4-BE49-F238E27FC236}">
                  <a16:creationId xmlns:a16="http://schemas.microsoft.com/office/drawing/2014/main" id="{00000000-0008-0000-0400-000084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443593</xdr:colOff>
          <xdr:row>46</xdr:row>
          <xdr:rowOff>125186</xdr:rowOff>
        </xdr:from>
        <xdr:to>
          <xdr:col>1</xdr:col>
          <xdr:colOff>756557</xdr:colOff>
          <xdr:row>48</xdr:row>
          <xdr:rowOff>19050</xdr:rowOff>
        </xdr:to>
        <xdr:sp macro="" textlink="">
          <xdr:nvSpPr>
            <xdr:cNvPr id="67717" name="Check Box 133" hidden="1">
              <a:extLst>
                <a:ext uri="{63B3BB69-23CF-44E3-9099-C40C66FF867C}">
                  <a14:compatExt spid="_x0000_s67717"/>
                </a:ext>
                <a:ext uri="{FF2B5EF4-FFF2-40B4-BE49-F238E27FC236}">
                  <a16:creationId xmlns:a16="http://schemas.microsoft.com/office/drawing/2014/main" id="{00000000-0008-0000-0400-000085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46</xdr:row>
          <xdr:rowOff>125186</xdr:rowOff>
        </xdr:from>
        <xdr:to>
          <xdr:col>2</xdr:col>
          <xdr:colOff>655864</xdr:colOff>
          <xdr:row>48</xdr:row>
          <xdr:rowOff>19050</xdr:rowOff>
        </xdr:to>
        <xdr:sp macro="" textlink="">
          <xdr:nvSpPr>
            <xdr:cNvPr id="67718" name="Check Box 134" hidden="1">
              <a:extLst>
                <a:ext uri="{63B3BB69-23CF-44E3-9099-C40C66FF867C}">
                  <a14:compatExt spid="_x0000_s67718"/>
                </a:ext>
                <a:ext uri="{FF2B5EF4-FFF2-40B4-BE49-F238E27FC236}">
                  <a16:creationId xmlns:a16="http://schemas.microsoft.com/office/drawing/2014/main" id="{00000000-0008-0000-0400-000086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46</xdr:row>
          <xdr:rowOff>125186</xdr:rowOff>
        </xdr:from>
        <xdr:to>
          <xdr:col>3</xdr:col>
          <xdr:colOff>655864</xdr:colOff>
          <xdr:row>48</xdr:row>
          <xdr:rowOff>19050</xdr:rowOff>
        </xdr:to>
        <xdr:sp macro="" textlink="">
          <xdr:nvSpPr>
            <xdr:cNvPr id="67719" name="Check Box 135" hidden="1">
              <a:extLst>
                <a:ext uri="{63B3BB69-23CF-44E3-9099-C40C66FF867C}">
                  <a14:compatExt spid="_x0000_s67719"/>
                </a:ext>
                <a:ext uri="{FF2B5EF4-FFF2-40B4-BE49-F238E27FC236}">
                  <a16:creationId xmlns:a16="http://schemas.microsoft.com/office/drawing/2014/main" id="{00000000-0008-0000-0400-000087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97971</xdr:colOff>
          <xdr:row>0</xdr:row>
          <xdr:rowOff>277586</xdr:rowOff>
        </xdr:from>
        <xdr:to>
          <xdr:col>5</xdr:col>
          <xdr:colOff>0</xdr:colOff>
          <xdr:row>2</xdr:row>
          <xdr:rowOff>19050</xdr:rowOff>
        </xdr:to>
        <xdr:sp macro="" textlink="">
          <xdr:nvSpPr>
            <xdr:cNvPr id="67720" name="Button 136" hidden="1">
              <a:extLst>
                <a:ext uri="{63B3BB69-23CF-44E3-9099-C40C66FF867C}">
                  <a14:compatExt spid="_x0000_s67720"/>
                </a:ext>
                <a:ext uri="{FF2B5EF4-FFF2-40B4-BE49-F238E27FC236}">
                  <a16:creationId xmlns:a16="http://schemas.microsoft.com/office/drawing/2014/main" id="{00000000-0008-0000-0400-00008808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353786</xdr:colOff>
          <xdr:row>0</xdr:row>
          <xdr:rowOff>0</xdr:rowOff>
        </xdr:from>
        <xdr:to>
          <xdr:col>10</xdr:col>
          <xdr:colOff>889907</xdr:colOff>
          <xdr:row>0</xdr:row>
          <xdr:rowOff>209550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3200-0000011C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636814</xdr:colOff>
      <xdr:row>15</xdr:row>
      <xdr:rowOff>0</xdr:rowOff>
    </xdr:from>
    <xdr:to>
      <xdr:col>2</xdr:col>
      <xdr:colOff>212271</xdr:colOff>
      <xdr:row>15</xdr:row>
      <xdr:rowOff>0</xdr:rowOff>
    </xdr:to>
    <xdr:sp macro="" textlink="">
      <xdr:nvSpPr>
        <xdr:cNvPr id="89656" name="Drawing 3">
          <a:extLst>
            <a:ext uri="{FF2B5EF4-FFF2-40B4-BE49-F238E27FC236}">
              <a16:creationId xmlns:a16="http://schemas.microsoft.com/office/drawing/2014/main" id="{50588E7D-1E12-9489-AD0C-3DBF511F29F0}"/>
            </a:ext>
          </a:extLst>
        </xdr:cNvPr>
        <xdr:cNvSpPr>
          <a:spLocks/>
        </xdr:cNvSpPr>
      </xdr:nvSpPr>
      <xdr:spPr bwMode="auto">
        <a:xfrm>
          <a:off x="1284514" y="3407229"/>
          <a:ext cx="223157" cy="0"/>
        </a:xfrm>
        <a:custGeom>
          <a:avLst/>
          <a:gdLst>
            <a:gd name="T0" fmla="*/ 0 w 16384"/>
            <a:gd name="T1" fmla="*/ 0 h 16384"/>
            <a:gd name="T2" fmla="*/ 223157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465364</xdr:colOff>
      <xdr:row>15</xdr:row>
      <xdr:rowOff>0</xdr:rowOff>
    </xdr:from>
    <xdr:to>
      <xdr:col>0</xdr:col>
      <xdr:colOff>636814</xdr:colOff>
      <xdr:row>15</xdr:row>
      <xdr:rowOff>0</xdr:rowOff>
    </xdr:to>
    <xdr:sp macro="" textlink="">
      <xdr:nvSpPr>
        <xdr:cNvPr id="89657" name="Drawing 4">
          <a:extLst>
            <a:ext uri="{FF2B5EF4-FFF2-40B4-BE49-F238E27FC236}">
              <a16:creationId xmlns:a16="http://schemas.microsoft.com/office/drawing/2014/main" id="{4CC706EE-5424-F760-7EE9-C843814D70D9}"/>
            </a:ext>
          </a:extLst>
        </xdr:cNvPr>
        <xdr:cNvSpPr>
          <a:spLocks/>
        </xdr:cNvSpPr>
      </xdr:nvSpPr>
      <xdr:spPr bwMode="auto">
        <a:xfrm>
          <a:off x="465364" y="3407229"/>
          <a:ext cx="171450" cy="0"/>
        </a:xfrm>
        <a:custGeom>
          <a:avLst/>
          <a:gdLst>
            <a:gd name="T0" fmla="*/ 171450 w 16384"/>
            <a:gd name="T1" fmla="*/ 0 h 16384"/>
            <a:gd name="T2" fmla="*/ 0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16384" y="0"/>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201386</xdr:colOff>
      <xdr:row>14</xdr:row>
      <xdr:rowOff>0</xdr:rowOff>
    </xdr:from>
    <xdr:to>
      <xdr:col>2</xdr:col>
      <xdr:colOff>201386</xdr:colOff>
      <xdr:row>15</xdr:row>
      <xdr:rowOff>0</xdr:rowOff>
    </xdr:to>
    <xdr:sp macro="" textlink="">
      <xdr:nvSpPr>
        <xdr:cNvPr id="89658" name="Drawing 5">
          <a:extLst>
            <a:ext uri="{FF2B5EF4-FFF2-40B4-BE49-F238E27FC236}">
              <a16:creationId xmlns:a16="http://schemas.microsoft.com/office/drawing/2014/main" id="{538E6C98-6040-ED3E-EAA2-CB036BA738C7}"/>
            </a:ext>
          </a:extLst>
        </xdr:cNvPr>
        <xdr:cNvSpPr>
          <a:spLocks/>
        </xdr:cNvSpPr>
      </xdr:nvSpPr>
      <xdr:spPr bwMode="auto">
        <a:xfrm>
          <a:off x="1496786" y="3178629"/>
          <a:ext cx="0" cy="228600"/>
        </a:xfrm>
        <a:custGeom>
          <a:avLst/>
          <a:gdLst>
            <a:gd name="T0" fmla="*/ 0 w 16384"/>
            <a:gd name="T1" fmla="*/ 228600 h 16384"/>
            <a:gd name="T2" fmla="*/ 0 w 16384"/>
            <a:gd name="T3" fmla="*/ 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16384"/>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476250</xdr:colOff>
      <xdr:row>14</xdr:row>
      <xdr:rowOff>0</xdr:rowOff>
    </xdr:from>
    <xdr:to>
      <xdr:col>0</xdr:col>
      <xdr:colOff>476250</xdr:colOff>
      <xdr:row>15</xdr:row>
      <xdr:rowOff>0</xdr:rowOff>
    </xdr:to>
    <xdr:sp macro="" textlink="">
      <xdr:nvSpPr>
        <xdr:cNvPr id="89659" name="Drawing 6">
          <a:extLst>
            <a:ext uri="{FF2B5EF4-FFF2-40B4-BE49-F238E27FC236}">
              <a16:creationId xmlns:a16="http://schemas.microsoft.com/office/drawing/2014/main" id="{CA26C720-4907-5CE6-C972-D126D46A7C03}"/>
            </a:ext>
          </a:extLst>
        </xdr:cNvPr>
        <xdr:cNvSpPr>
          <a:spLocks/>
        </xdr:cNvSpPr>
      </xdr:nvSpPr>
      <xdr:spPr bwMode="auto">
        <a:xfrm>
          <a:off x="476250" y="3178629"/>
          <a:ext cx="0" cy="228600"/>
        </a:xfrm>
        <a:custGeom>
          <a:avLst/>
          <a:gdLst>
            <a:gd name="T0" fmla="*/ 0 w 16384"/>
            <a:gd name="T1" fmla="*/ 228600 h 16384"/>
            <a:gd name="T2" fmla="*/ 0 w 16384"/>
            <a:gd name="T3" fmla="*/ 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16384"/>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476250</xdr:colOff>
      <xdr:row>14</xdr:row>
      <xdr:rowOff>0</xdr:rowOff>
    </xdr:from>
    <xdr:to>
      <xdr:col>2</xdr:col>
      <xdr:colOff>201386</xdr:colOff>
      <xdr:row>14</xdr:row>
      <xdr:rowOff>0</xdr:rowOff>
    </xdr:to>
    <xdr:sp macro="" textlink="">
      <xdr:nvSpPr>
        <xdr:cNvPr id="89660" name="Drawing 7">
          <a:extLst>
            <a:ext uri="{FF2B5EF4-FFF2-40B4-BE49-F238E27FC236}">
              <a16:creationId xmlns:a16="http://schemas.microsoft.com/office/drawing/2014/main" id="{C392A593-EF44-B16A-7C17-3CD6B51B83C3}"/>
            </a:ext>
          </a:extLst>
        </xdr:cNvPr>
        <xdr:cNvSpPr>
          <a:spLocks/>
        </xdr:cNvSpPr>
      </xdr:nvSpPr>
      <xdr:spPr bwMode="auto">
        <a:xfrm>
          <a:off x="476250" y="3178629"/>
          <a:ext cx="1020536" cy="0"/>
        </a:xfrm>
        <a:custGeom>
          <a:avLst/>
          <a:gdLst>
            <a:gd name="T0" fmla="*/ 0 w 16384"/>
            <a:gd name="T1" fmla="*/ 0 h 16384"/>
            <a:gd name="T2" fmla="*/ 1020536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476250</xdr:colOff>
      <xdr:row>14</xdr:row>
      <xdr:rowOff>78921</xdr:rowOff>
    </xdr:from>
    <xdr:to>
      <xdr:col>2</xdr:col>
      <xdr:colOff>201386</xdr:colOff>
      <xdr:row>14</xdr:row>
      <xdr:rowOff>78921</xdr:rowOff>
    </xdr:to>
    <xdr:sp macro="" textlink="">
      <xdr:nvSpPr>
        <xdr:cNvPr id="89661" name="Drawing 8">
          <a:extLst>
            <a:ext uri="{FF2B5EF4-FFF2-40B4-BE49-F238E27FC236}">
              <a16:creationId xmlns:a16="http://schemas.microsoft.com/office/drawing/2014/main" id="{ABE984B1-0153-FF55-98CC-03B3D476F7DB}"/>
            </a:ext>
          </a:extLst>
        </xdr:cNvPr>
        <xdr:cNvSpPr>
          <a:spLocks/>
        </xdr:cNvSpPr>
      </xdr:nvSpPr>
      <xdr:spPr bwMode="auto">
        <a:xfrm>
          <a:off x="476250" y="3257550"/>
          <a:ext cx="1020536" cy="0"/>
        </a:xfrm>
        <a:custGeom>
          <a:avLst/>
          <a:gdLst>
            <a:gd name="T0" fmla="*/ 0 w 16384"/>
            <a:gd name="T1" fmla="*/ 0 h 16384"/>
            <a:gd name="T2" fmla="*/ 1020536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15</xdr:row>
      <xdr:rowOff>141514</xdr:rowOff>
    </xdr:from>
    <xdr:to>
      <xdr:col>2</xdr:col>
      <xdr:colOff>413657</xdr:colOff>
      <xdr:row>15</xdr:row>
      <xdr:rowOff>141514</xdr:rowOff>
    </xdr:to>
    <xdr:sp macro="" textlink="">
      <xdr:nvSpPr>
        <xdr:cNvPr id="89662" name="Drawing 9">
          <a:extLst>
            <a:ext uri="{FF2B5EF4-FFF2-40B4-BE49-F238E27FC236}">
              <a16:creationId xmlns:a16="http://schemas.microsoft.com/office/drawing/2014/main" id="{8EFBCF2C-49C1-68C8-0E7C-3B62F25CECF5}"/>
            </a:ext>
          </a:extLst>
        </xdr:cNvPr>
        <xdr:cNvSpPr>
          <a:spLocks/>
        </xdr:cNvSpPr>
      </xdr:nvSpPr>
      <xdr:spPr bwMode="auto">
        <a:xfrm>
          <a:off x="1295400" y="3548743"/>
          <a:ext cx="413657" cy="0"/>
        </a:xfrm>
        <a:custGeom>
          <a:avLst/>
          <a:gdLst>
            <a:gd name="T0" fmla="*/ 0 w 16384"/>
            <a:gd name="T1" fmla="*/ 0 h 16384"/>
            <a:gd name="T2" fmla="*/ 413657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16</xdr:row>
      <xdr:rowOff>106136</xdr:rowOff>
    </xdr:from>
    <xdr:to>
      <xdr:col>2</xdr:col>
      <xdr:colOff>587829</xdr:colOff>
      <xdr:row>16</xdr:row>
      <xdr:rowOff>106136</xdr:rowOff>
    </xdr:to>
    <xdr:sp macro="" textlink="">
      <xdr:nvSpPr>
        <xdr:cNvPr id="89663" name="Drawing 10">
          <a:extLst>
            <a:ext uri="{FF2B5EF4-FFF2-40B4-BE49-F238E27FC236}">
              <a16:creationId xmlns:a16="http://schemas.microsoft.com/office/drawing/2014/main" id="{B28B7878-F7F3-2C95-0FC4-E22BCA23794D}"/>
            </a:ext>
          </a:extLst>
        </xdr:cNvPr>
        <xdr:cNvSpPr>
          <a:spLocks/>
        </xdr:cNvSpPr>
      </xdr:nvSpPr>
      <xdr:spPr bwMode="auto">
        <a:xfrm>
          <a:off x="1295400" y="3741964"/>
          <a:ext cx="587829" cy="0"/>
        </a:xfrm>
        <a:custGeom>
          <a:avLst/>
          <a:gdLst>
            <a:gd name="T0" fmla="*/ 0 w 16384"/>
            <a:gd name="T1" fmla="*/ 0 h 16384"/>
            <a:gd name="T2" fmla="*/ 587829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587829</xdr:colOff>
      <xdr:row>12</xdr:row>
      <xdr:rowOff>0</xdr:rowOff>
    </xdr:from>
    <xdr:to>
      <xdr:col>2</xdr:col>
      <xdr:colOff>587829</xdr:colOff>
      <xdr:row>16</xdr:row>
      <xdr:rowOff>106136</xdr:rowOff>
    </xdr:to>
    <xdr:sp macro="" textlink="">
      <xdr:nvSpPr>
        <xdr:cNvPr id="89664" name="Drawing 11">
          <a:extLst>
            <a:ext uri="{FF2B5EF4-FFF2-40B4-BE49-F238E27FC236}">
              <a16:creationId xmlns:a16="http://schemas.microsoft.com/office/drawing/2014/main" id="{95749147-C235-8350-3EC0-5D2BD426ECA4}"/>
            </a:ext>
          </a:extLst>
        </xdr:cNvPr>
        <xdr:cNvSpPr>
          <a:spLocks/>
        </xdr:cNvSpPr>
      </xdr:nvSpPr>
      <xdr:spPr bwMode="auto">
        <a:xfrm>
          <a:off x="1883229" y="2721429"/>
          <a:ext cx="0" cy="1020535"/>
        </a:xfrm>
        <a:custGeom>
          <a:avLst/>
          <a:gdLst>
            <a:gd name="T0" fmla="*/ 0 w 16384"/>
            <a:gd name="T1" fmla="*/ 1020535 h 16384"/>
            <a:gd name="T2" fmla="*/ 0 w 16384"/>
            <a:gd name="T3" fmla="*/ 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16384"/>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394607</xdr:colOff>
      <xdr:row>11</xdr:row>
      <xdr:rowOff>8164</xdr:rowOff>
    </xdr:from>
    <xdr:to>
      <xdr:col>2</xdr:col>
      <xdr:colOff>394607</xdr:colOff>
      <xdr:row>15</xdr:row>
      <xdr:rowOff>141514</xdr:rowOff>
    </xdr:to>
    <xdr:sp macro="" textlink="">
      <xdr:nvSpPr>
        <xdr:cNvPr id="89665" name="Drawing 12">
          <a:extLst>
            <a:ext uri="{FF2B5EF4-FFF2-40B4-BE49-F238E27FC236}">
              <a16:creationId xmlns:a16="http://schemas.microsoft.com/office/drawing/2014/main" id="{6BE1DFA2-6AC2-CA7A-971E-B8DBFEE40A34}"/>
            </a:ext>
          </a:extLst>
        </xdr:cNvPr>
        <xdr:cNvSpPr>
          <a:spLocks/>
        </xdr:cNvSpPr>
      </xdr:nvSpPr>
      <xdr:spPr bwMode="auto">
        <a:xfrm>
          <a:off x="1690007" y="2500993"/>
          <a:ext cx="0" cy="1047750"/>
        </a:xfrm>
        <a:custGeom>
          <a:avLst/>
          <a:gdLst>
            <a:gd name="T0" fmla="*/ 0 w 16384"/>
            <a:gd name="T1" fmla="*/ 1047750 h 16384"/>
            <a:gd name="T2" fmla="*/ 0 w 16384"/>
            <a:gd name="T3" fmla="*/ 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16384"/>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394607</xdr:colOff>
      <xdr:row>11</xdr:row>
      <xdr:rowOff>8164</xdr:rowOff>
    </xdr:from>
    <xdr:to>
      <xdr:col>3</xdr:col>
      <xdr:colOff>253093</xdr:colOff>
      <xdr:row>11</xdr:row>
      <xdr:rowOff>8164</xdr:rowOff>
    </xdr:to>
    <xdr:sp macro="" textlink="">
      <xdr:nvSpPr>
        <xdr:cNvPr id="89666" name="Drawing 13">
          <a:extLst>
            <a:ext uri="{FF2B5EF4-FFF2-40B4-BE49-F238E27FC236}">
              <a16:creationId xmlns:a16="http://schemas.microsoft.com/office/drawing/2014/main" id="{15976F47-9A82-0344-B4B6-0F193A662596}"/>
            </a:ext>
          </a:extLst>
        </xdr:cNvPr>
        <xdr:cNvSpPr>
          <a:spLocks/>
        </xdr:cNvSpPr>
      </xdr:nvSpPr>
      <xdr:spPr bwMode="auto">
        <a:xfrm>
          <a:off x="1690007" y="2500993"/>
          <a:ext cx="506186" cy="0"/>
        </a:xfrm>
        <a:custGeom>
          <a:avLst/>
          <a:gdLst>
            <a:gd name="T0" fmla="*/ 0 w 16384"/>
            <a:gd name="T1" fmla="*/ 0 h 16384"/>
            <a:gd name="T2" fmla="*/ 506186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587829</xdr:colOff>
      <xdr:row>12</xdr:row>
      <xdr:rowOff>8164</xdr:rowOff>
    </xdr:from>
    <xdr:to>
      <xdr:col>3</xdr:col>
      <xdr:colOff>130629</xdr:colOff>
      <xdr:row>12</xdr:row>
      <xdr:rowOff>8164</xdr:rowOff>
    </xdr:to>
    <xdr:sp macro="" textlink="">
      <xdr:nvSpPr>
        <xdr:cNvPr id="89667" name="Drawing 14">
          <a:extLst>
            <a:ext uri="{FF2B5EF4-FFF2-40B4-BE49-F238E27FC236}">
              <a16:creationId xmlns:a16="http://schemas.microsoft.com/office/drawing/2014/main" id="{180A5775-EAFE-F8B0-9FD5-37D4BDAFA8C9}"/>
            </a:ext>
          </a:extLst>
        </xdr:cNvPr>
        <xdr:cNvSpPr>
          <a:spLocks/>
        </xdr:cNvSpPr>
      </xdr:nvSpPr>
      <xdr:spPr bwMode="auto">
        <a:xfrm>
          <a:off x="1883229" y="2729593"/>
          <a:ext cx="190500" cy="0"/>
        </a:xfrm>
        <a:custGeom>
          <a:avLst/>
          <a:gdLst>
            <a:gd name="T0" fmla="*/ 0 w 16384"/>
            <a:gd name="T1" fmla="*/ 0 h 16384"/>
            <a:gd name="T2" fmla="*/ 190500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253093</xdr:colOff>
      <xdr:row>11</xdr:row>
      <xdr:rowOff>19050</xdr:rowOff>
    </xdr:from>
    <xdr:to>
      <xdr:col>3</xdr:col>
      <xdr:colOff>253093</xdr:colOff>
      <xdr:row>13</xdr:row>
      <xdr:rowOff>27214</xdr:rowOff>
    </xdr:to>
    <xdr:sp macro="" textlink="">
      <xdr:nvSpPr>
        <xdr:cNvPr id="89668" name="Drawing 15">
          <a:extLst>
            <a:ext uri="{FF2B5EF4-FFF2-40B4-BE49-F238E27FC236}">
              <a16:creationId xmlns:a16="http://schemas.microsoft.com/office/drawing/2014/main" id="{5F141683-26E1-FD5D-B4AE-E0A6D14368E7}"/>
            </a:ext>
          </a:extLst>
        </xdr:cNvPr>
        <xdr:cNvSpPr>
          <a:spLocks/>
        </xdr:cNvSpPr>
      </xdr:nvSpPr>
      <xdr:spPr bwMode="auto">
        <a:xfrm>
          <a:off x="2196193" y="2511879"/>
          <a:ext cx="0" cy="465364"/>
        </a:xfrm>
        <a:custGeom>
          <a:avLst/>
          <a:gdLst>
            <a:gd name="T0" fmla="*/ 0 w 16384"/>
            <a:gd name="T1" fmla="*/ 0 h 16384"/>
            <a:gd name="T2" fmla="*/ 0 w 16384"/>
            <a:gd name="T3" fmla="*/ 465364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0"/>
              </a:moveTo>
              <a:lnTo>
                <a:pt x="0"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122464</xdr:colOff>
      <xdr:row>12</xdr:row>
      <xdr:rowOff>8164</xdr:rowOff>
    </xdr:from>
    <xdr:to>
      <xdr:col>3</xdr:col>
      <xdr:colOff>122464</xdr:colOff>
      <xdr:row>13</xdr:row>
      <xdr:rowOff>8164</xdr:rowOff>
    </xdr:to>
    <xdr:sp macro="" textlink="">
      <xdr:nvSpPr>
        <xdr:cNvPr id="89669" name="Drawing 16">
          <a:extLst>
            <a:ext uri="{FF2B5EF4-FFF2-40B4-BE49-F238E27FC236}">
              <a16:creationId xmlns:a16="http://schemas.microsoft.com/office/drawing/2014/main" id="{99F83D60-DC69-E729-1102-4A2840147B7F}"/>
            </a:ext>
          </a:extLst>
        </xdr:cNvPr>
        <xdr:cNvSpPr>
          <a:spLocks/>
        </xdr:cNvSpPr>
      </xdr:nvSpPr>
      <xdr:spPr bwMode="auto">
        <a:xfrm>
          <a:off x="2065564" y="2729593"/>
          <a:ext cx="0" cy="228600"/>
        </a:xfrm>
        <a:custGeom>
          <a:avLst/>
          <a:gdLst>
            <a:gd name="T0" fmla="*/ 0 w 16384"/>
            <a:gd name="T1" fmla="*/ 0 h 16384"/>
            <a:gd name="T2" fmla="*/ 0 w 16384"/>
            <a:gd name="T3" fmla="*/ 22860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0"/>
              </a:moveTo>
              <a:lnTo>
                <a:pt x="0"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122464</xdr:colOff>
      <xdr:row>12</xdr:row>
      <xdr:rowOff>0</xdr:rowOff>
    </xdr:from>
    <xdr:to>
      <xdr:col>1</xdr:col>
      <xdr:colOff>122464</xdr:colOff>
      <xdr:row>14</xdr:row>
      <xdr:rowOff>0</xdr:rowOff>
    </xdr:to>
    <xdr:sp macro="" textlink="">
      <xdr:nvSpPr>
        <xdr:cNvPr id="89670" name="Drawing 17">
          <a:extLst>
            <a:ext uri="{FF2B5EF4-FFF2-40B4-BE49-F238E27FC236}">
              <a16:creationId xmlns:a16="http://schemas.microsoft.com/office/drawing/2014/main" id="{E6AB0DE3-46FD-8057-07F0-CC047A5B1140}"/>
            </a:ext>
          </a:extLst>
        </xdr:cNvPr>
        <xdr:cNvSpPr>
          <a:spLocks/>
        </xdr:cNvSpPr>
      </xdr:nvSpPr>
      <xdr:spPr bwMode="auto">
        <a:xfrm>
          <a:off x="770164" y="2721429"/>
          <a:ext cx="0" cy="457200"/>
        </a:xfrm>
        <a:custGeom>
          <a:avLst/>
          <a:gdLst>
            <a:gd name="T0" fmla="*/ 0 w 16384"/>
            <a:gd name="T1" fmla="*/ 457200 h 16384"/>
            <a:gd name="T2" fmla="*/ 0 w 16384"/>
            <a:gd name="T3" fmla="*/ 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16384"/>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506186</xdr:colOff>
      <xdr:row>12</xdr:row>
      <xdr:rowOff>8164</xdr:rowOff>
    </xdr:from>
    <xdr:to>
      <xdr:col>1</xdr:col>
      <xdr:colOff>506186</xdr:colOff>
      <xdr:row>14</xdr:row>
      <xdr:rowOff>0</xdr:rowOff>
    </xdr:to>
    <xdr:sp macro="" textlink="">
      <xdr:nvSpPr>
        <xdr:cNvPr id="89671" name="Drawing 18">
          <a:extLst>
            <a:ext uri="{FF2B5EF4-FFF2-40B4-BE49-F238E27FC236}">
              <a16:creationId xmlns:a16="http://schemas.microsoft.com/office/drawing/2014/main" id="{7382F89A-6F9A-CBEB-3157-95D3DF69D2C4}"/>
            </a:ext>
          </a:extLst>
        </xdr:cNvPr>
        <xdr:cNvSpPr>
          <a:spLocks/>
        </xdr:cNvSpPr>
      </xdr:nvSpPr>
      <xdr:spPr bwMode="auto">
        <a:xfrm>
          <a:off x="1153886" y="2729593"/>
          <a:ext cx="0" cy="449036"/>
        </a:xfrm>
        <a:custGeom>
          <a:avLst/>
          <a:gdLst>
            <a:gd name="T0" fmla="*/ 0 w 16384"/>
            <a:gd name="T1" fmla="*/ 449036 h 16384"/>
            <a:gd name="T2" fmla="*/ 0 w 16384"/>
            <a:gd name="T3" fmla="*/ 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16384"/>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506186</xdr:colOff>
      <xdr:row>12</xdr:row>
      <xdr:rowOff>106136</xdr:rowOff>
    </xdr:from>
    <xdr:to>
      <xdr:col>2</xdr:col>
      <xdr:colOff>29936</xdr:colOff>
      <xdr:row>12</xdr:row>
      <xdr:rowOff>106136</xdr:rowOff>
    </xdr:to>
    <xdr:sp macro="" textlink="">
      <xdr:nvSpPr>
        <xdr:cNvPr id="89672" name="Drawing 19">
          <a:extLst>
            <a:ext uri="{FF2B5EF4-FFF2-40B4-BE49-F238E27FC236}">
              <a16:creationId xmlns:a16="http://schemas.microsoft.com/office/drawing/2014/main" id="{97586A5F-FE0D-C55C-E8BE-92BDA740A2CA}"/>
            </a:ext>
          </a:extLst>
        </xdr:cNvPr>
        <xdr:cNvSpPr>
          <a:spLocks/>
        </xdr:cNvSpPr>
      </xdr:nvSpPr>
      <xdr:spPr bwMode="auto">
        <a:xfrm>
          <a:off x="1153886" y="2827564"/>
          <a:ext cx="171450" cy="0"/>
        </a:xfrm>
        <a:custGeom>
          <a:avLst/>
          <a:gdLst>
            <a:gd name="T0" fmla="*/ 0 w 16384"/>
            <a:gd name="T1" fmla="*/ 0 h 16384"/>
            <a:gd name="T2" fmla="*/ 171450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506186</xdr:colOff>
      <xdr:row>13</xdr:row>
      <xdr:rowOff>43543</xdr:rowOff>
    </xdr:from>
    <xdr:to>
      <xdr:col>2</xdr:col>
      <xdr:colOff>10886</xdr:colOff>
      <xdr:row>13</xdr:row>
      <xdr:rowOff>43543</xdr:rowOff>
    </xdr:to>
    <xdr:sp macro="" textlink="">
      <xdr:nvSpPr>
        <xdr:cNvPr id="89673" name="Drawing 20">
          <a:extLst>
            <a:ext uri="{FF2B5EF4-FFF2-40B4-BE49-F238E27FC236}">
              <a16:creationId xmlns:a16="http://schemas.microsoft.com/office/drawing/2014/main" id="{C8220B61-044E-19CF-5051-84F91ED67B72}"/>
            </a:ext>
          </a:extLst>
        </xdr:cNvPr>
        <xdr:cNvSpPr>
          <a:spLocks/>
        </xdr:cNvSpPr>
      </xdr:nvSpPr>
      <xdr:spPr bwMode="auto">
        <a:xfrm>
          <a:off x="1153886" y="2993571"/>
          <a:ext cx="152400" cy="0"/>
        </a:xfrm>
        <a:custGeom>
          <a:avLst/>
          <a:gdLst>
            <a:gd name="T0" fmla="*/ 0 w 16384"/>
            <a:gd name="T1" fmla="*/ 0 h 16384"/>
            <a:gd name="T2" fmla="*/ 152400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12</xdr:row>
      <xdr:rowOff>106136</xdr:rowOff>
    </xdr:from>
    <xdr:to>
      <xdr:col>1</xdr:col>
      <xdr:colOff>122464</xdr:colOff>
      <xdr:row>12</xdr:row>
      <xdr:rowOff>106136</xdr:rowOff>
    </xdr:to>
    <xdr:sp macro="" textlink="">
      <xdr:nvSpPr>
        <xdr:cNvPr id="89674" name="Drawing 21">
          <a:extLst>
            <a:ext uri="{FF2B5EF4-FFF2-40B4-BE49-F238E27FC236}">
              <a16:creationId xmlns:a16="http://schemas.microsoft.com/office/drawing/2014/main" id="{ED15B5A9-6B14-47AC-DB4F-1EB07D469A99}"/>
            </a:ext>
          </a:extLst>
        </xdr:cNvPr>
        <xdr:cNvSpPr>
          <a:spLocks/>
        </xdr:cNvSpPr>
      </xdr:nvSpPr>
      <xdr:spPr bwMode="auto">
        <a:xfrm>
          <a:off x="647700" y="2827564"/>
          <a:ext cx="122464" cy="0"/>
        </a:xfrm>
        <a:custGeom>
          <a:avLst/>
          <a:gdLst>
            <a:gd name="T0" fmla="*/ 122464 w 16384"/>
            <a:gd name="T1" fmla="*/ 0 h 16384"/>
            <a:gd name="T2" fmla="*/ 0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16384" y="0"/>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13</xdr:row>
      <xdr:rowOff>43543</xdr:rowOff>
    </xdr:from>
    <xdr:to>
      <xdr:col>1</xdr:col>
      <xdr:colOff>122464</xdr:colOff>
      <xdr:row>13</xdr:row>
      <xdr:rowOff>43543</xdr:rowOff>
    </xdr:to>
    <xdr:sp macro="" textlink="">
      <xdr:nvSpPr>
        <xdr:cNvPr id="89675" name="Drawing 22">
          <a:extLst>
            <a:ext uri="{FF2B5EF4-FFF2-40B4-BE49-F238E27FC236}">
              <a16:creationId xmlns:a16="http://schemas.microsoft.com/office/drawing/2014/main" id="{4794C006-DE52-3DB7-2D10-71F1CDF8532C}"/>
            </a:ext>
          </a:extLst>
        </xdr:cNvPr>
        <xdr:cNvSpPr>
          <a:spLocks/>
        </xdr:cNvSpPr>
      </xdr:nvSpPr>
      <xdr:spPr bwMode="auto">
        <a:xfrm>
          <a:off x="647700" y="2993571"/>
          <a:ext cx="122464" cy="0"/>
        </a:xfrm>
        <a:custGeom>
          <a:avLst/>
          <a:gdLst>
            <a:gd name="T0" fmla="*/ 122464 w 16384"/>
            <a:gd name="T1" fmla="*/ 0 h 16384"/>
            <a:gd name="T2" fmla="*/ 0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16384" y="0"/>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636814</xdr:colOff>
      <xdr:row>12</xdr:row>
      <xdr:rowOff>51707</xdr:rowOff>
    </xdr:from>
    <xdr:to>
      <xdr:col>2</xdr:col>
      <xdr:colOff>141514</xdr:colOff>
      <xdr:row>13</xdr:row>
      <xdr:rowOff>87086</xdr:rowOff>
    </xdr:to>
    <xdr:sp macro="" textlink="">
      <xdr:nvSpPr>
        <xdr:cNvPr id="89676" name="Drawing 23">
          <a:extLst>
            <a:ext uri="{FF2B5EF4-FFF2-40B4-BE49-F238E27FC236}">
              <a16:creationId xmlns:a16="http://schemas.microsoft.com/office/drawing/2014/main" id="{E8E6BDD1-55FB-27AC-9655-227FDC14D471}"/>
            </a:ext>
          </a:extLst>
        </xdr:cNvPr>
        <xdr:cNvSpPr>
          <a:spLocks/>
        </xdr:cNvSpPr>
      </xdr:nvSpPr>
      <xdr:spPr bwMode="auto">
        <a:xfrm>
          <a:off x="1284514" y="2773136"/>
          <a:ext cx="152400" cy="263978"/>
        </a:xfrm>
        <a:custGeom>
          <a:avLst/>
          <a:gdLst>
            <a:gd name="T0" fmla="*/ 0 w 16384"/>
            <a:gd name="T1" fmla="*/ 0 h 16384"/>
            <a:gd name="T2" fmla="*/ 152400 w 16384"/>
            <a:gd name="T3" fmla="*/ 263978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0" y="0"/>
              </a:moveTo>
              <a:lnTo>
                <a:pt x="16384"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636814</xdr:colOff>
      <xdr:row>12</xdr:row>
      <xdr:rowOff>70757</xdr:rowOff>
    </xdr:from>
    <xdr:to>
      <xdr:col>2</xdr:col>
      <xdr:colOff>163286</xdr:colOff>
      <xdr:row>13</xdr:row>
      <xdr:rowOff>87086</xdr:rowOff>
    </xdr:to>
    <xdr:sp macro="" textlink="">
      <xdr:nvSpPr>
        <xdr:cNvPr id="89677" name="Drawing 24">
          <a:extLst>
            <a:ext uri="{FF2B5EF4-FFF2-40B4-BE49-F238E27FC236}">
              <a16:creationId xmlns:a16="http://schemas.microsoft.com/office/drawing/2014/main" id="{102E20BE-3F08-8302-09DE-3B9C37C47B7F}"/>
            </a:ext>
          </a:extLst>
        </xdr:cNvPr>
        <xdr:cNvSpPr>
          <a:spLocks/>
        </xdr:cNvSpPr>
      </xdr:nvSpPr>
      <xdr:spPr bwMode="auto">
        <a:xfrm>
          <a:off x="1284514" y="2792186"/>
          <a:ext cx="174172" cy="244928"/>
        </a:xfrm>
        <a:custGeom>
          <a:avLst/>
          <a:gdLst>
            <a:gd name="T0" fmla="*/ 0 w 16384"/>
            <a:gd name="T1" fmla="*/ 244928 h 16384"/>
            <a:gd name="T2" fmla="*/ 174172 w 16384"/>
            <a:gd name="T3" fmla="*/ 0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0" y="16384"/>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536121</xdr:colOff>
      <xdr:row>12</xdr:row>
      <xdr:rowOff>78921</xdr:rowOff>
    </xdr:from>
    <xdr:to>
      <xdr:col>1</xdr:col>
      <xdr:colOff>29936</xdr:colOff>
      <xdr:row>13</xdr:row>
      <xdr:rowOff>78921</xdr:rowOff>
    </xdr:to>
    <xdr:sp macro="" textlink="">
      <xdr:nvSpPr>
        <xdr:cNvPr id="89678" name="Drawing 25">
          <a:extLst>
            <a:ext uri="{FF2B5EF4-FFF2-40B4-BE49-F238E27FC236}">
              <a16:creationId xmlns:a16="http://schemas.microsoft.com/office/drawing/2014/main" id="{0BE14D7E-F080-18DA-9DFF-AF40234C6F40}"/>
            </a:ext>
          </a:extLst>
        </xdr:cNvPr>
        <xdr:cNvSpPr>
          <a:spLocks/>
        </xdr:cNvSpPr>
      </xdr:nvSpPr>
      <xdr:spPr bwMode="auto">
        <a:xfrm>
          <a:off x="536121" y="2800350"/>
          <a:ext cx="141515" cy="228600"/>
        </a:xfrm>
        <a:custGeom>
          <a:avLst/>
          <a:gdLst>
            <a:gd name="T0" fmla="*/ 141515 w 16384"/>
            <a:gd name="T1" fmla="*/ 0 h 16384"/>
            <a:gd name="T2" fmla="*/ 80863 w 16384"/>
            <a:gd name="T3" fmla="*/ 80688 h 16384"/>
            <a:gd name="T4" fmla="*/ 111189 w 16384"/>
            <a:gd name="T5" fmla="*/ 67238 h 16384"/>
            <a:gd name="T6" fmla="*/ 141515 w 16384"/>
            <a:gd name="T7" fmla="*/ 0 h 16384"/>
            <a:gd name="T8" fmla="*/ 0 w 16384"/>
            <a:gd name="T9" fmla="*/ 228600 h 16384"/>
            <a:gd name="T10" fmla="*/ 0 60000 65536"/>
            <a:gd name="T11" fmla="*/ 0 60000 65536"/>
            <a:gd name="T12" fmla="*/ 0 60000 65536"/>
            <a:gd name="T13" fmla="*/ 0 60000 65536"/>
            <a:gd name="T14" fmla="*/ 0 60000 65536"/>
            <a:gd name="T15" fmla="*/ 0 w 16384"/>
            <a:gd name="T16" fmla="*/ 0 h 16384"/>
            <a:gd name="T17" fmla="*/ 16384 w 16384"/>
            <a:gd name="T18" fmla="*/ 16384 h 16384"/>
          </a:gdLst>
          <a:ahLst/>
          <a:cxnLst>
            <a:cxn ang="T10">
              <a:pos x="T0" y="T1"/>
            </a:cxn>
            <a:cxn ang="T11">
              <a:pos x="T2" y="T3"/>
            </a:cxn>
            <a:cxn ang="T12">
              <a:pos x="T4" y="T5"/>
            </a:cxn>
            <a:cxn ang="T13">
              <a:pos x="T6" y="T7"/>
            </a:cxn>
            <a:cxn ang="T14">
              <a:pos x="T8" y="T9"/>
            </a:cxn>
          </a:cxnLst>
          <a:rect l="T15" t="T16" r="T17" b="T18"/>
          <a:pathLst>
            <a:path w="16384" h="16384">
              <a:moveTo>
                <a:pt x="16384" y="0"/>
              </a:moveTo>
              <a:lnTo>
                <a:pt x="9362" y="5783"/>
              </a:lnTo>
              <a:lnTo>
                <a:pt x="12873" y="4819"/>
              </a:lnTo>
              <a:lnTo>
                <a:pt x="16384" y="0"/>
              </a:lnTo>
              <a:lnTo>
                <a:pt x="0"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547007</xdr:colOff>
      <xdr:row>12</xdr:row>
      <xdr:rowOff>78921</xdr:rowOff>
    </xdr:from>
    <xdr:to>
      <xdr:col>1</xdr:col>
      <xdr:colOff>19050</xdr:colOff>
      <xdr:row>13</xdr:row>
      <xdr:rowOff>78921</xdr:rowOff>
    </xdr:to>
    <xdr:sp macro="" textlink="">
      <xdr:nvSpPr>
        <xdr:cNvPr id="89679" name="Drawing 26">
          <a:extLst>
            <a:ext uri="{FF2B5EF4-FFF2-40B4-BE49-F238E27FC236}">
              <a16:creationId xmlns:a16="http://schemas.microsoft.com/office/drawing/2014/main" id="{795B94FF-D942-2F91-1541-4C6B6A5C8318}"/>
            </a:ext>
          </a:extLst>
        </xdr:cNvPr>
        <xdr:cNvSpPr>
          <a:spLocks/>
        </xdr:cNvSpPr>
      </xdr:nvSpPr>
      <xdr:spPr bwMode="auto">
        <a:xfrm>
          <a:off x="547007" y="2800350"/>
          <a:ext cx="119743" cy="228600"/>
        </a:xfrm>
        <a:custGeom>
          <a:avLst/>
          <a:gdLst>
            <a:gd name="T0" fmla="*/ 119743 w 16384"/>
            <a:gd name="T1" fmla="*/ 228600 h 16384"/>
            <a:gd name="T2" fmla="*/ 0 w 16384"/>
            <a:gd name="T3" fmla="*/ 0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16384" y="16384"/>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12</xdr:row>
      <xdr:rowOff>0</xdr:rowOff>
    </xdr:from>
    <xdr:to>
      <xdr:col>2</xdr:col>
      <xdr:colOff>0</xdr:colOff>
      <xdr:row>12</xdr:row>
      <xdr:rowOff>0</xdr:rowOff>
    </xdr:to>
    <xdr:sp macro="" textlink="">
      <xdr:nvSpPr>
        <xdr:cNvPr id="89680" name="Drawing 27">
          <a:extLst>
            <a:ext uri="{FF2B5EF4-FFF2-40B4-BE49-F238E27FC236}">
              <a16:creationId xmlns:a16="http://schemas.microsoft.com/office/drawing/2014/main" id="{DC096F08-F504-2CE8-E1A7-9E814D3AD649}"/>
            </a:ext>
          </a:extLst>
        </xdr:cNvPr>
        <xdr:cNvSpPr>
          <a:spLocks/>
        </xdr:cNvSpPr>
      </xdr:nvSpPr>
      <xdr:spPr bwMode="auto">
        <a:xfrm>
          <a:off x="647700" y="2721429"/>
          <a:ext cx="647700" cy="0"/>
        </a:xfrm>
        <a:custGeom>
          <a:avLst/>
          <a:gdLst>
            <a:gd name="T0" fmla="*/ 0 w 16384"/>
            <a:gd name="T1" fmla="*/ 0 h 16384"/>
            <a:gd name="T2" fmla="*/ 647700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11</xdr:row>
      <xdr:rowOff>8164</xdr:rowOff>
    </xdr:from>
    <xdr:to>
      <xdr:col>2</xdr:col>
      <xdr:colOff>0</xdr:colOff>
      <xdr:row>11</xdr:row>
      <xdr:rowOff>8164</xdr:rowOff>
    </xdr:to>
    <xdr:sp macro="" textlink="">
      <xdr:nvSpPr>
        <xdr:cNvPr id="89681" name="Drawing 28">
          <a:extLst>
            <a:ext uri="{FF2B5EF4-FFF2-40B4-BE49-F238E27FC236}">
              <a16:creationId xmlns:a16="http://schemas.microsoft.com/office/drawing/2014/main" id="{6F72B2A5-E923-971B-D51C-6E7B50872342}"/>
            </a:ext>
          </a:extLst>
        </xdr:cNvPr>
        <xdr:cNvSpPr>
          <a:spLocks/>
        </xdr:cNvSpPr>
      </xdr:nvSpPr>
      <xdr:spPr bwMode="auto">
        <a:xfrm>
          <a:off x="647700" y="2500993"/>
          <a:ext cx="647700" cy="0"/>
        </a:xfrm>
        <a:custGeom>
          <a:avLst/>
          <a:gdLst>
            <a:gd name="T0" fmla="*/ 0 w 16384"/>
            <a:gd name="T1" fmla="*/ 0 h 16384"/>
            <a:gd name="T2" fmla="*/ 647700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11</xdr:row>
      <xdr:rowOff>8164</xdr:rowOff>
    </xdr:from>
    <xdr:to>
      <xdr:col>2</xdr:col>
      <xdr:colOff>0</xdr:colOff>
      <xdr:row>12</xdr:row>
      <xdr:rowOff>0</xdr:rowOff>
    </xdr:to>
    <xdr:sp macro="" textlink="">
      <xdr:nvSpPr>
        <xdr:cNvPr id="89682" name="Drawing 29">
          <a:extLst>
            <a:ext uri="{FF2B5EF4-FFF2-40B4-BE49-F238E27FC236}">
              <a16:creationId xmlns:a16="http://schemas.microsoft.com/office/drawing/2014/main" id="{F34EBE62-5B12-6964-1692-CB4F923795B4}"/>
            </a:ext>
          </a:extLst>
        </xdr:cNvPr>
        <xdr:cNvSpPr>
          <a:spLocks/>
        </xdr:cNvSpPr>
      </xdr:nvSpPr>
      <xdr:spPr bwMode="auto">
        <a:xfrm>
          <a:off x="1295400" y="2500993"/>
          <a:ext cx="0" cy="220436"/>
        </a:xfrm>
        <a:custGeom>
          <a:avLst/>
          <a:gdLst>
            <a:gd name="T0" fmla="*/ 0 w 16384"/>
            <a:gd name="T1" fmla="*/ 0 h 16384"/>
            <a:gd name="T2" fmla="*/ 0 w 16384"/>
            <a:gd name="T3" fmla="*/ 220436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0"/>
              </a:moveTo>
              <a:lnTo>
                <a:pt x="0"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11</xdr:row>
      <xdr:rowOff>8164</xdr:rowOff>
    </xdr:from>
    <xdr:to>
      <xdr:col>1</xdr:col>
      <xdr:colOff>0</xdr:colOff>
      <xdr:row>12</xdr:row>
      <xdr:rowOff>0</xdr:rowOff>
    </xdr:to>
    <xdr:sp macro="" textlink="">
      <xdr:nvSpPr>
        <xdr:cNvPr id="89683" name="Drawing 30">
          <a:extLst>
            <a:ext uri="{FF2B5EF4-FFF2-40B4-BE49-F238E27FC236}">
              <a16:creationId xmlns:a16="http://schemas.microsoft.com/office/drawing/2014/main" id="{CD2E5A7B-3D56-E676-059A-865A2276F09F}"/>
            </a:ext>
          </a:extLst>
        </xdr:cNvPr>
        <xdr:cNvSpPr>
          <a:spLocks/>
        </xdr:cNvSpPr>
      </xdr:nvSpPr>
      <xdr:spPr bwMode="auto">
        <a:xfrm>
          <a:off x="647700" y="2500993"/>
          <a:ext cx="0" cy="220436"/>
        </a:xfrm>
        <a:custGeom>
          <a:avLst/>
          <a:gdLst>
            <a:gd name="T0" fmla="*/ 0 w 16384"/>
            <a:gd name="T1" fmla="*/ 0 h 16384"/>
            <a:gd name="T2" fmla="*/ 0 w 16384"/>
            <a:gd name="T3" fmla="*/ 220436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0"/>
              </a:moveTo>
              <a:lnTo>
                <a:pt x="0"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11</xdr:row>
      <xdr:rowOff>78921</xdr:rowOff>
    </xdr:from>
    <xdr:to>
      <xdr:col>2</xdr:col>
      <xdr:colOff>10886</xdr:colOff>
      <xdr:row>11</xdr:row>
      <xdr:rowOff>78921</xdr:rowOff>
    </xdr:to>
    <xdr:sp macro="" textlink="">
      <xdr:nvSpPr>
        <xdr:cNvPr id="89684" name="Drawing 31">
          <a:extLst>
            <a:ext uri="{FF2B5EF4-FFF2-40B4-BE49-F238E27FC236}">
              <a16:creationId xmlns:a16="http://schemas.microsoft.com/office/drawing/2014/main" id="{E7D5B1EB-5A1B-49C0-C85C-0B708857342B}"/>
            </a:ext>
          </a:extLst>
        </xdr:cNvPr>
        <xdr:cNvSpPr>
          <a:spLocks/>
        </xdr:cNvSpPr>
      </xdr:nvSpPr>
      <xdr:spPr bwMode="auto">
        <a:xfrm>
          <a:off x="647700" y="2571750"/>
          <a:ext cx="658586" cy="0"/>
        </a:xfrm>
        <a:custGeom>
          <a:avLst/>
          <a:gdLst>
            <a:gd name="T0" fmla="*/ 0 w 16384"/>
            <a:gd name="T1" fmla="*/ 0 h 16384"/>
            <a:gd name="T2" fmla="*/ 658586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10886</xdr:colOff>
      <xdr:row>11</xdr:row>
      <xdr:rowOff>78921</xdr:rowOff>
    </xdr:from>
    <xdr:to>
      <xdr:col>2</xdr:col>
      <xdr:colOff>81643</xdr:colOff>
      <xdr:row>11</xdr:row>
      <xdr:rowOff>78921</xdr:rowOff>
    </xdr:to>
    <xdr:sp macro="" textlink="">
      <xdr:nvSpPr>
        <xdr:cNvPr id="89685" name="Drawing 32">
          <a:extLst>
            <a:ext uri="{FF2B5EF4-FFF2-40B4-BE49-F238E27FC236}">
              <a16:creationId xmlns:a16="http://schemas.microsoft.com/office/drawing/2014/main" id="{C1453A48-77A2-8853-D64D-57A3F1D9179E}"/>
            </a:ext>
          </a:extLst>
        </xdr:cNvPr>
        <xdr:cNvSpPr>
          <a:spLocks/>
        </xdr:cNvSpPr>
      </xdr:nvSpPr>
      <xdr:spPr bwMode="auto">
        <a:xfrm>
          <a:off x="1306286" y="2571750"/>
          <a:ext cx="70757" cy="0"/>
        </a:xfrm>
        <a:custGeom>
          <a:avLst/>
          <a:gdLst>
            <a:gd name="T0" fmla="*/ 0 w 16384"/>
            <a:gd name="T1" fmla="*/ 0 h 16384"/>
            <a:gd name="T2" fmla="*/ 70757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576943</xdr:colOff>
      <xdr:row>11</xdr:row>
      <xdr:rowOff>78921</xdr:rowOff>
    </xdr:from>
    <xdr:to>
      <xdr:col>1</xdr:col>
      <xdr:colOff>0</xdr:colOff>
      <xdr:row>11</xdr:row>
      <xdr:rowOff>78921</xdr:rowOff>
    </xdr:to>
    <xdr:sp macro="" textlink="">
      <xdr:nvSpPr>
        <xdr:cNvPr id="89686" name="Drawing 33">
          <a:extLst>
            <a:ext uri="{FF2B5EF4-FFF2-40B4-BE49-F238E27FC236}">
              <a16:creationId xmlns:a16="http://schemas.microsoft.com/office/drawing/2014/main" id="{8CFECE06-6196-0E8C-808F-795C8CB60004}"/>
            </a:ext>
          </a:extLst>
        </xdr:cNvPr>
        <xdr:cNvSpPr>
          <a:spLocks/>
        </xdr:cNvSpPr>
      </xdr:nvSpPr>
      <xdr:spPr bwMode="auto">
        <a:xfrm>
          <a:off x="576943" y="2571750"/>
          <a:ext cx="70757" cy="0"/>
        </a:xfrm>
        <a:custGeom>
          <a:avLst/>
          <a:gdLst>
            <a:gd name="T0" fmla="*/ 70757 w 16384"/>
            <a:gd name="T1" fmla="*/ 0 h 16384"/>
            <a:gd name="T2" fmla="*/ 0 w 16384"/>
            <a:gd name="T3" fmla="*/ 0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16384" y="0"/>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242207</xdr:colOff>
      <xdr:row>10</xdr:row>
      <xdr:rowOff>43543</xdr:rowOff>
    </xdr:from>
    <xdr:to>
      <xdr:col>1</xdr:col>
      <xdr:colOff>242207</xdr:colOff>
      <xdr:row>11</xdr:row>
      <xdr:rowOff>8164</xdr:rowOff>
    </xdr:to>
    <xdr:sp macro="" textlink="">
      <xdr:nvSpPr>
        <xdr:cNvPr id="89687" name="Drawing 34">
          <a:extLst>
            <a:ext uri="{FF2B5EF4-FFF2-40B4-BE49-F238E27FC236}">
              <a16:creationId xmlns:a16="http://schemas.microsoft.com/office/drawing/2014/main" id="{66569D92-145C-2C1A-A70E-D5E69BE8B48A}"/>
            </a:ext>
          </a:extLst>
        </xdr:cNvPr>
        <xdr:cNvSpPr>
          <a:spLocks/>
        </xdr:cNvSpPr>
      </xdr:nvSpPr>
      <xdr:spPr bwMode="auto">
        <a:xfrm>
          <a:off x="889907" y="2307771"/>
          <a:ext cx="0" cy="193222"/>
        </a:xfrm>
        <a:custGeom>
          <a:avLst/>
          <a:gdLst>
            <a:gd name="T0" fmla="*/ 0 w 16384"/>
            <a:gd name="T1" fmla="*/ 193222 h 16384"/>
            <a:gd name="T2" fmla="*/ 0 w 16384"/>
            <a:gd name="T3" fmla="*/ 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16384"/>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375557</xdr:colOff>
      <xdr:row>10</xdr:row>
      <xdr:rowOff>51707</xdr:rowOff>
    </xdr:from>
    <xdr:to>
      <xdr:col>1</xdr:col>
      <xdr:colOff>375557</xdr:colOff>
      <xdr:row>11</xdr:row>
      <xdr:rowOff>8164</xdr:rowOff>
    </xdr:to>
    <xdr:sp macro="" textlink="">
      <xdr:nvSpPr>
        <xdr:cNvPr id="89688" name="Drawing 35">
          <a:extLst>
            <a:ext uri="{FF2B5EF4-FFF2-40B4-BE49-F238E27FC236}">
              <a16:creationId xmlns:a16="http://schemas.microsoft.com/office/drawing/2014/main" id="{E6E16240-540E-F7C8-86F0-0529F8F673B9}"/>
            </a:ext>
          </a:extLst>
        </xdr:cNvPr>
        <xdr:cNvSpPr>
          <a:spLocks/>
        </xdr:cNvSpPr>
      </xdr:nvSpPr>
      <xdr:spPr bwMode="auto">
        <a:xfrm>
          <a:off x="1023257" y="2315936"/>
          <a:ext cx="0" cy="185057"/>
        </a:xfrm>
        <a:custGeom>
          <a:avLst/>
          <a:gdLst>
            <a:gd name="T0" fmla="*/ 0 w 16384"/>
            <a:gd name="T1" fmla="*/ 185057 h 16384"/>
            <a:gd name="T2" fmla="*/ 0 w 16384"/>
            <a:gd name="T3" fmla="*/ 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16384"/>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375557</xdr:colOff>
      <xdr:row>10</xdr:row>
      <xdr:rowOff>51707</xdr:rowOff>
    </xdr:from>
    <xdr:to>
      <xdr:col>1</xdr:col>
      <xdr:colOff>375557</xdr:colOff>
      <xdr:row>11</xdr:row>
      <xdr:rowOff>8164</xdr:rowOff>
    </xdr:to>
    <xdr:sp macro="" textlink="">
      <xdr:nvSpPr>
        <xdr:cNvPr id="89689" name="Drawing 36">
          <a:extLst>
            <a:ext uri="{FF2B5EF4-FFF2-40B4-BE49-F238E27FC236}">
              <a16:creationId xmlns:a16="http://schemas.microsoft.com/office/drawing/2014/main" id="{649B04DF-C79E-27E8-BBE5-0EF43C37CCA7}"/>
            </a:ext>
          </a:extLst>
        </xdr:cNvPr>
        <xdr:cNvSpPr>
          <a:spLocks/>
        </xdr:cNvSpPr>
      </xdr:nvSpPr>
      <xdr:spPr bwMode="auto">
        <a:xfrm>
          <a:off x="1023257" y="2315936"/>
          <a:ext cx="0" cy="185057"/>
        </a:xfrm>
        <a:custGeom>
          <a:avLst/>
          <a:gdLst>
            <a:gd name="T0" fmla="*/ 0 w 16384"/>
            <a:gd name="T1" fmla="*/ 185057 h 16384"/>
            <a:gd name="T2" fmla="*/ 0 w 16384"/>
            <a:gd name="T3" fmla="*/ 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16384"/>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242207</xdr:colOff>
      <xdr:row>10</xdr:row>
      <xdr:rowOff>62593</xdr:rowOff>
    </xdr:from>
    <xdr:to>
      <xdr:col>1</xdr:col>
      <xdr:colOff>242207</xdr:colOff>
      <xdr:row>11</xdr:row>
      <xdr:rowOff>8164</xdr:rowOff>
    </xdr:to>
    <xdr:sp macro="" textlink="">
      <xdr:nvSpPr>
        <xdr:cNvPr id="89690" name="Drawing 37">
          <a:extLst>
            <a:ext uri="{FF2B5EF4-FFF2-40B4-BE49-F238E27FC236}">
              <a16:creationId xmlns:a16="http://schemas.microsoft.com/office/drawing/2014/main" id="{851DC8B8-0173-1A58-22E1-60292495FFA0}"/>
            </a:ext>
          </a:extLst>
        </xdr:cNvPr>
        <xdr:cNvSpPr>
          <a:spLocks/>
        </xdr:cNvSpPr>
      </xdr:nvSpPr>
      <xdr:spPr bwMode="auto">
        <a:xfrm>
          <a:off x="889907" y="2326821"/>
          <a:ext cx="0" cy="174172"/>
        </a:xfrm>
        <a:custGeom>
          <a:avLst/>
          <a:gdLst>
            <a:gd name="T0" fmla="*/ 0 w 16384"/>
            <a:gd name="T1" fmla="*/ 174172 h 16384"/>
            <a:gd name="T2" fmla="*/ 0 w 16384"/>
            <a:gd name="T3" fmla="*/ 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16384"/>
              </a:move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375557</xdr:colOff>
      <xdr:row>10</xdr:row>
      <xdr:rowOff>51707</xdr:rowOff>
    </xdr:from>
    <xdr:to>
      <xdr:col>1</xdr:col>
      <xdr:colOff>383721</xdr:colOff>
      <xdr:row>11</xdr:row>
      <xdr:rowOff>8164</xdr:rowOff>
    </xdr:to>
    <xdr:sp macro="" textlink="">
      <xdr:nvSpPr>
        <xdr:cNvPr id="89691" name="Drawing 38">
          <a:extLst>
            <a:ext uri="{FF2B5EF4-FFF2-40B4-BE49-F238E27FC236}">
              <a16:creationId xmlns:a16="http://schemas.microsoft.com/office/drawing/2014/main" id="{D87C5062-6EEA-A4C3-5899-C78F55077687}"/>
            </a:ext>
          </a:extLst>
        </xdr:cNvPr>
        <xdr:cNvSpPr>
          <a:spLocks/>
        </xdr:cNvSpPr>
      </xdr:nvSpPr>
      <xdr:spPr bwMode="auto">
        <a:xfrm>
          <a:off x="1023257" y="2315936"/>
          <a:ext cx="8164" cy="185057"/>
        </a:xfrm>
        <a:custGeom>
          <a:avLst/>
          <a:gdLst>
            <a:gd name="T0" fmla="*/ 0 w 16384"/>
            <a:gd name="T1" fmla="*/ 185057 h 16384"/>
            <a:gd name="T2" fmla="*/ 8164 w 16384"/>
            <a:gd name="T3" fmla="*/ 0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0" y="16384"/>
              </a:moveTo>
              <a:lnTo>
                <a:pt x="16384"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130629</xdr:colOff>
      <xdr:row>12</xdr:row>
      <xdr:rowOff>8164</xdr:rowOff>
    </xdr:from>
    <xdr:to>
      <xdr:col>1</xdr:col>
      <xdr:colOff>242207</xdr:colOff>
      <xdr:row>12</xdr:row>
      <xdr:rowOff>95250</xdr:rowOff>
    </xdr:to>
    <xdr:sp macro="" textlink="">
      <xdr:nvSpPr>
        <xdr:cNvPr id="89692" name="Drawing 51">
          <a:extLst>
            <a:ext uri="{FF2B5EF4-FFF2-40B4-BE49-F238E27FC236}">
              <a16:creationId xmlns:a16="http://schemas.microsoft.com/office/drawing/2014/main" id="{1677D4DD-E456-2DF1-5154-05834B90AA28}"/>
            </a:ext>
          </a:extLst>
        </xdr:cNvPr>
        <xdr:cNvSpPr>
          <a:spLocks/>
        </xdr:cNvSpPr>
      </xdr:nvSpPr>
      <xdr:spPr bwMode="auto">
        <a:xfrm>
          <a:off x="778329" y="2729593"/>
          <a:ext cx="111578" cy="87086"/>
        </a:xfrm>
        <a:custGeom>
          <a:avLst/>
          <a:gdLst>
            <a:gd name="T0" fmla="*/ 0 w 16384"/>
            <a:gd name="T1" fmla="*/ 0 h 16384"/>
            <a:gd name="T2" fmla="*/ 111578 w 16384"/>
            <a:gd name="T3" fmla="*/ 87086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0" y="0"/>
              </a:moveTo>
              <a:lnTo>
                <a:pt x="16384"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394607</xdr:colOff>
      <xdr:row>12</xdr:row>
      <xdr:rowOff>8164</xdr:rowOff>
    </xdr:from>
    <xdr:to>
      <xdr:col>1</xdr:col>
      <xdr:colOff>495300</xdr:colOff>
      <xdr:row>12</xdr:row>
      <xdr:rowOff>95250</xdr:rowOff>
    </xdr:to>
    <xdr:sp macro="" textlink="">
      <xdr:nvSpPr>
        <xdr:cNvPr id="89693" name="Drawing 52">
          <a:extLst>
            <a:ext uri="{FF2B5EF4-FFF2-40B4-BE49-F238E27FC236}">
              <a16:creationId xmlns:a16="http://schemas.microsoft.com/office/drawing/2014/main" id="{0BE6DA8B-9D61-E5FE-7695-12DE05609B83}"/>
            </a:ext>
          </a:extLst>
        </xdr:cNvPr>
        <xdr:cNvSpPr>
          <a:spLocks/>
        </xdr:cNvSpPr>
      </xdr:nvSpPr>
      <xdr:spPr bwMode="auto">
        <a:xfrm>
          <a:off x="1042307" y="2729593"/>
          <a:ext cx="100693" cy="87086"/>
        </a:xfrm>
        <a:custGeom>
          <a:avLst/>
          <a:gdLst>
            <a:gd name="T0" fmla="*/ 100693 w 16384"/>
            <a:gd name="T1" fmla="*/ 0 h 16384"/>
            <a:gd name="T2" fmla="*/ 0 w 16384"/>
            <a:gd name="T3" fmla="*/ 87086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16384" y="0"/>
              </a:moveTo>
              <a:lnTo>
                <a:pt x="0"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394607</xdr:colOff>
      <xdr:row>12</xdr:row>
      <xdr:rowOff>106136</xdr:rowOff>
    </xdr:from>
    <xdr:to>
      <xdr:col>1</xdr:col>
      <xdr:colOff>394607</xdr:colOff>
      <xdr:row>14</xdr:row>
      <xdr:rowOff>0</xdr:rowOff>
    </xdr:to>
    <xdr:sp macro="" textlink="">
      <xdr:nvSpPr>
        <xdr:cNvPr id="89694" name="Drawing 53">
          <a:extLst>
            <a:ext uri="{FF2B5EF4-FFF2-40B4-BE49-F238E27FC236}">
              <a16:creationId xmlns:a16="http://schemas.microsoft.com/office/drawing/2014/main" id="{24B937AC-3A49-60B8-04E4-6DEC43EFBFA3}"/>
            </a:ext>
          </a:extLst>
        </xdr:cNvPr>
        <xdr:cNvSpPr>
          <a:spLocks/>
        </xdr:cNvSpPr>
      </xdr:nvSpPr>
      <xdr:spPr bwMode="auto">
        <a:xfrm>
          <a:off x="1042307" y="2827564"/>
          <a:ext cx="0" cy="351065"/>
        </a:xfrm>
        <a:custGeom>
          <a:avLst/>
          <a:gdLst>
            <a:gd name="T0" fmla="*/ 0 w 16384"/>
            <a:gd name="T1" fmla="*/ 0 h 16384"/>
            <a:gd name="T2" fmla="*/ 0 w 16384"/>
            <a:gd name="T3" fmla="*/ 351065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0"/>
              </a:moveTo>
              <a:lnTo>
                <a:pt x="0"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242207</xdr:colOff>
      <xdr:row>12</xdr:row>
      <xdr:rowOff>87086</xdr:rowOff>
    </xdr:from>
    <xdr:to>
      <xdr:col>1</xdr:col>
      <xdr:colOff>242207</xdr:colOff>
      <xdr:row>14</xdr:row>
      <xdr:rowOff>0</xdr:rowOff>
    </xdr:to>
    <xdr:sp macro="" textlink="">
      <xdr:nvSpPr>
        <xdr:cNvPr id="89695" name="Drawing 54">
          <a:extLst>
            <a:ext uri="{FF2B5EF4-FFF2-40B4-BE49-F238E27FC236}">
              <a16:creationId xmlns:a16="http://schemas.microsoft.com/office/drawing/2014/main" id="{3D3C0FA3-B0BB-A59D-ED14-57DB6E4356F1}"/>
            </a:ext>
          </a:extLst>
        </xdr:cNvPr>
        <xdr:cNvSpPr>
          <a:spLocks/>
        </xdr:cNvSpPr>
      </xdr:nvSpPr>
      <xdr:spPr bwMode="auto">
        <a:xfrm>
          <a:off x="889907" y="2808514"/>
          <a:ext cx="0" cy="370115"/>
        </a:xfrm>
        <a:custGeom>
          <a:avLst/>
          <a:gdLst>
            <a:gd name="T0" fmla="*/ 0 w 16384"/>
            <a:gd name="T1" fmla="*/ 0 h 16384"/>
            <a:gd name="T2" fmla="*/ 0 w 16384"/>
            <a:gd name="T3" fmla="*/ 370115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0"/>
              </a:moveTo>
              <a:lnTo>
                <a:pt x="0"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394607</xdr:colOff>
      <xdr:row>15</xdr:row>
      <xdr:rowOff>0</xdr:rowOff>
    </xdr:from>
    <xdr:to>
      <xdr:col>1</xdr:col>
      <xdr:colOff>405493</xdr:colOff>
      <xdr:row>46</xdr:row>
      <xdr:rowOff>0</xdr:rowOff>
    </xdr:to>
    <xdr:sp macro="" textlink="">
      <xdr:nvSpPr>
        <xdr:cNvPr id="89696" name="Drawing 55">
          <a:extLst>
            <a:ext uri="{FF2B5EF4-FFF2-40B4-BE49-F238E27FC236}">
              <a16:creationId xmlns:a16="http://schemas.microsoft.com/office/drawing/2014/main" id="{1236A888-D1F9-5197-B0E5-4D9E4C92F49D}"/>
            </a:ext>
          </a:extLst>
        </xdr:cNvPr>
        <xdr:cNvSpPr>
          <a:spLocks/>
        </xdr:cNvSpPr>
      </xdr:nvSpPr>
      <xdr:spPr bwMode="auto">
        <a:xfrm>
          <a:off x="1042307" y="3407229"/>
          <a:ext cx="10886" cy="6229350"/>
        </a:xfrm>
        <a:custGeom>
          <a:avLst/>
          <a:gdLst>
            <a:gd name="T0" fmla="*/ 10886 w 16384"/>
            <a:gd name="T1" fmla="*/ 0 h 16384"/>
            <a:gd name="T2" fmla="*/ 0 w 16384"/>
            <a:gd name="T3" fmla="*/ 6229350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16384" y="0"/>
              </a:moveTo>
              <a:lnTo>
                <a:pt x="0"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253093</xdr:colOff>
      <xdr:row>15</xdr:row>
      <xdr:rowOff>0</xdr:rowOff>
    </xdr:from>
    <xdr:to>
      <xdr:col>1</xdr:col>
      <xdr:colOff>253093</xdr:colOff>
      <xdr:row>45</xdr:row>
      <xdr:rowOff>8164</xdr:rowOff>
    </xdr:to>
    <xdr:sp macro="" textlink="">
      <xdr:nvSpPr>
        <xdr:cNvPr id="89697" name="Drawing 56">
          <a:extLst>
            <a:ext uri="{FF2B5EF4-FFF2-40B4-BE49-F238E27FC236}">
              <a16:creationId xmlns:a16="http://schemas.microsoft.com/office/drawing/2014/main" id="{DECBA464-351C-6108-EAAB-D3F74AB3199E}"/>
            </a:ext>
          </a:extLst>
        </xdr:cNvPr>
        <xdr:cNvSpPr>
          <a:spLocks/>
        </xdr:cNvSpPr>
      </xdr:nvSpPr>
      <xdr:spPr bwMode="auto">
        <a:xfrm>
          <a:off x="900793" y="3407229"/>
          <a:ext cx="0" cy="6057900"/>
        </a:xfrm>
        <a:custGeom>
          <a:avLst/>
          <a:gdLst>
            <a:gd name="T0" fmla="*/ 0 w 16384"/>
            <a:gd name="T1" fmla="*/ 0 h 16384"/>
            <a:gd name="T2" fmla="*/ 0 w 16384"/>
            <a:gd name="T3" fmla="*/ 6057900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0"/>
              </a:moveTo>
              <a:lnTo>
                <a:pt x="0"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253093</xdr:colOff>
      <xdr:row>45</xdr:row>
      <xdr:rowOff>8164</xdr:rowOff>
    </xdr:from>
    <xdr:to>
      <xdr:col>1</xdr:col>
      <xdr:colOff>383721</xdr:colOff>
      <xdr:row>45</xdr:row>
      <xdr:rowOff>125186</xdr:rowOff>
    </xdr:to>
    <xdr:sp macro="" textlink="">
      <xdr:nvSpPr>
        <xdr:cNvPr id="89698" name="Drawing 57">
          <a:extLst>
            <a:ext uri="{FF2B5EF4-FFF2-40B4-BE49-F238E27FC236}">
              <a16:creationId xmlns:a16="http://schemas.microsoft.com/office/drawing/2014/main" id="{B375CAF8-C709-0B27-1783-1D4E47855C58}"/>
            </a:ext>
          </a:extLst>
        </xdr:cNvPr>
        <xdr:cNvSpPr>
          <a:spLocks/>
        </xdr:cNvSpPr>
      </xdr:nvSpPr>
      <xdr:spPr bwMode="auto">
        <a:xfrm>
          <a:off x="900793" y="9465129"/>
          <a:ext cx="130628" cy="117021"/>
        </a:xfrm>
        <a:custGeom>
          <a:avLst/>
          <a:gdLst>
            <a:gd name="T0" fmla="*/ 0 w 16384"/>
            <a:gd name="T1" fmla="*/ 0 h 16384"/>
            <a:gd name="T2" fmla="*/ 130628 w 16384"/>
            <a:gd name="T3" fmla="*/ 117021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0" y="0"/>
              </a:moveTo>
              <a:lnTo>
                <a:pt x="16384"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465364</xdr:colOff>
      <xdr:row>44</xdr:row>
      <xdr:rowOff>0</xdr:rowOff>
    </xdr:from>
    <xdr:to>
      <xdr:col>1</xdr:col>
      <xdr:colOff>566057</xdr:colOff>
      <xdr:row>44</xdr:row>
      <xdr:rowOff>144236</xdr:rowOff>
    </xdr:to>
    <xdr:sp macro="" textlink="">
      <xdr:nvSpPr>
        <xdr:cNvPr id="89699" name="Rectangle 44">
          <a:extLst>
            <a:ext uri="{FF2B5EF4-FFF2-40B4-BE49-F238E27FC236}">
              <a16:creationId xmlns:a16="http://schemas.microsoft.com/office/drawing/2014/main" id="{9394531E-ED4E-3E57-899E-D41B2EEFC6B9}"/>
            </a:ext>
          </a:extLst>
        </xdr:cNvPr>
        <xdr:cNvSpPr>
          <a:spLocks noChangeArrowheads="1"/>
        </xdr:cNvSpPr>
      </xdr:nvSpPr>
      <xdr:spPr bwMode="auto">
        <a:xfrm>
          <a:off x="1113064" y="9277350"/>
          <a:ext cx="100693" cy="144236"/>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xdr:col>
      <xdr:colOff>122464</xdr:colOff>
      <xdr:row>15</xdr:row>
      <xdr:rowOff>0</xdr:rowOff>
    </xdr:from>
    <xdr:to>
      <xdr:col>1</xdr:col>
      <xdr:colOff>130629</xdr:colOff>
      <xdr:row>52</xdr:row>
      <xdr:rowOff>0</xdr:rowOff>
    </xdr:to>
    <xdr:sp macro="" textlink="">
      <xdr:nvSpPr>
        <xdr:cNvPr id="89700" name="Drawing 62">
          <a:extLst>
            <a:ext uri="{FF2B5EF4-FFF2-40B4-BE49-F238E27FC236}">
              <a16:creationId xmlns:a16="http://schemas.microsoft.com/office/drawing/2014/main" id="{5F7A2B0A-E94D-70FF-8FCD-0C47D728FE4E}"/>
            </a:ext>
          </a:extLst>
        </xdr:cNvPr>
        <xdr:cNvSpPr>
          <a:spLocks/>
        </xdr:cNvSpPr>
      </xdr:nvSpPr>
      <xdr:spPr bwMode="auto">
        <a:xfrm>
          <a:off x="770164" y="3407229"/>
          <a:ext cx="8165" cy="7307035"/>
        </a:xfrm>
        <a:custGeom>
          <a:avLst/>
          <a:gdLst>
            <a:gd name="T0" fmla="*/ 0 w 16384"/>
            <a:gd name="T1" fmla="*/ 0 h 16384"/>
            <a:gd name="T2" fmla="*/ 8165 w 16384"/>
            <a:gd name="T3" fmla="*/ 7307035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0" y="0"/>
              </a:moveTo>
              <a:lnTo>
                <a:pt x="16384"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506186</xdr:colOff>
      <xdr:row>15</xdr:row>
      <xdr:rowOff>0</xdr:rowOff>
    </xdr:from>
    <xdr:to>
      <xdr:col>1</xdr:col>
      <xdr:colOff>517071</xdr:colOff>
      <xdr:row>52</xdr:row>
      <xdr:rowOff>0</xdr:rowOff>
    </xdr:to>
    <xdr:sp macro="" textlink="">
      <xdr:nvSpPr>
        <xdr:cNvPr id="89701" name="Drawing 63">
          <a:extLst>
            <a:ext uri="{FF2B5EF4-FFF2-40B4-BE49-F238E27FC236}">
              <a16:creationId xmlns:a16="http://schemas.microsoft.com/office/drawing/2014/main" id="{453B2A81-0C37-46AB-C840-A74F1D728BE0}"/>
            </a:ext>
          </a:extLst>
        </xdr:cNvPr>
        <xdr:cNvSpPr>
          <a:spLocks/>
        </xdr:cNvSpPr>
      </xdr:nvSpPr>
      <xdr:spPr bwMode="auto">
        <a:xfrm>
          <a:off x="1153886" y="3407229"/>
          <a:ext cx="10885" cy="7307035"/>
        </a:xfrm>
        <a:custGeom>
          <a:avLst/>
          <a:gdLst>
            <a:gd name="T0" fmla="*/ 0 w 16384"/>
            <a:gd name="T1" fmla="*/ 0 h 16384"/>
            <a:gd name="T2" fmla="*/ 10885 w 16384"/>
            <a:gd name="T3" fmla="*/ 7307035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0" y="0"/>
              </a:moveTo>
              <a:lnTo>
                <a:pt x="16384" y="16384"/>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383721</xdr:colOff>
      <xdr:row>43</xdr:row>
      <xdr:rowOff>46264</xdr:rowOff>
    </xdr:from>
    <xdr:to>
      <xdr:col>1</xdr:col>
      <xdr:colOff>383721</xdr:colOff>
      <xdr:row>43</xdr:row>
      <xdr:rowOff>65314</xdr:rowOff>
    </xdr:to>
    <xdr:sp macro="" textlink="">
      <xdr:nvSpPr>
        <xdr:cNvPr id="89702" name="Arc 47">
          <a:extLst>
            <a:ext uri="{FF2B5EF4-FFF2-40B4-BE49-F238E27FC236}">
              <a16:creationId xmlns:a16="http://schemas.microsoft.com/office/drawing/2014/main" id="{93E32C09-B0DC-F804-66B8-5CB6AD7E8ABB}"/>
            </a:ext>
          </a:extLst>
        </xdr:cNvPr>
        <xdr:cNvSpPr>
          <a:spLocks/>
        </xdr:cNvSpPr>
      </xdr:nvSpPr>
      <xdr:spPr bwMode="auto">
        <a:xfrm flipH="1">
          <a:off x="1031421" y="9144000"/>
          <a:ext cx="0" cy="19050"/>
        </a:xfrm>
        <a:custGeom>
          <a:avLst/>
          <a:gdLst>
            <a:gd name="T0" fmla="*/ 0 w 21600"/>
            <a:gd name="T1" fmla="*/ 0 h 21600"/>
            <a:gd name="T2" fmla="*/ 0 w 21600"/>
            <a:gd name="T3" fmla="*/ 16801 h 21600"/>
            <a:gd name="T4" fmla="*/ 0 w 21600"/>
            <a:gd name="T5" fmla="*/ 16801 h 21600"/>
            <a:gd name="T6" fmla="*/ 0 60000 65536"/>
            <a:gd name="T7" fmla="*/ 0 60000 65536"/>
            <a:gd name="T8" fmla="*/ 0 60000 65536"/>
            <a:gd name="T9" fmla="*/ 0 w 21600"/>
            <a:gd name="T10" fmla="*/ 0 h 21600"/>
            <a:gd name="T11" fmla="*/ 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342900</xdr:colOff>
      <xdr:row>42</xdr:row>
      <xdr:rowOff>144236</xdr:rowOff>
    </xdr:from>
    <xdr:to>
      <xdr:col>1</xdr:col>
      <xdr:colOff>383721</xdr:colOff>
      <xdr:row>43</xdr:row>
      <xdr:rowOff>108857</xdr:rowOff>
    </xdr:to>
    <xdr:sp macro="" textlink="">
      <xdr:nvSpPr>
        <xdr:cNvPr id="89703" name="Arc 48">
          <a:extLst>
            <a:ext uri="{FF2B5EF4-FFF2-40B4-BE49-F238E27FC236}">
              <a16:creationId xmlns:a16="http://schemas.microsoft.com/office/drawing/2014/main" id="{B99E6EC7-1475-9D31-4FE9-5072621CFBED}"/>
            </a:ext>
          </a:extLst>
        </xdr:cNvPr>
        <xdr:cNvSpPr>
          <a:spLocks/>
        </xdr:cNvSpPr>
      </xdr:nvSpPr>
      <xdr:spPr bwMode="auto">
        <a:xfrm flipH="1">
          <a:off x="990600" y="9062357"/>
          <a:ext cx="40821" cy="144236"/>
        </a:xfrm>
        <a:custGeom>
          <a:avLst/>
          <a:gdLst>
            <a:gd name="T0" fmla="*/ 0 w 21600"/>
            <a:gd name="T1" fmla="*/ 0 h 21600"/>
            <a:gd name="T2" fmla="*/ 72004 w 21600"/>
            <a:gd name="T3" fmla="*/ 1017665 h 21600"/>
            <a:gd name="T4" fmla="*/ 0 w 21600"/>
            <a:gd name="T5" fmla="*/ 1017665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383721</xdr:colOff>
      <xdr:row>44</xdr:row>
      <xdr:rowOff>54429</xdr:rowOff>
    </xdr:from>
    <xdr:to>
      <xdr:col>1</xdr:col>
      <xdr:colOff>383721</xdr:colOff>
      <xdr:row>44</xdr:row>
      <xdr:rowOff>62593</xdr:rowOff>
    </xdr:to>
    <xdr:sp macro="" textlink="">
      <xdr:nvSpPr>
        <xdr:cNvPr id="89704" name="Arc 49">
          <a:extLst>
            <a:ext uri="{FF2B5EF4-FFF2-40B4-BE49-F238E27FC236}">
              <a16:creationId xmlns:a16="http://schemas.microsoft.com/office/drawing/2014/main" id="{31440441-AA1A-FC48-C835-212ED03B70A4}"/>
            </a:ext>
          </a:extLst>
        </xdr:cNvPr>
        <xdr:cNvSpPr>
          <a:spLocks/>
        </xdr:cNvSpPr>
      </xdr:nvSpPr>
      <xdr:spPr bwMode="auto">
        <a:xfrm flipH="1" flipV="1">
          <a:off x="1031421" y="9331779"/>
          <a:ext cx="0" cy="8164"/>
        </a:xfrm>
        <a:custGeom>
          <a:avLst/>
          <a:gdLst>
            <a:gd name="T0" fmla="*/ 0 w 21600"/>
            <a:gd name="T1" fmla="*/ 0 h 21600"/>
            <a:gd name="T2" fmla="*/ 0 w 21600"/>
            <a:gd name="T3" fmla="*/ 3600 h 21600"/>
            <a:gd name="T4" fmla="*/ 0 w 21600"/>
            <a:gd name="T5" fmla="*/ 3600 h 21600"/>
            <a:gd name="T6" fmla="*/ 0 60000 65536"/>
            <a:gd name="T7" fmla="*/ 0 60000 65536"/>
            <a:gd name="T8" fmla="*/ 0 60000 65536"/>
            <a:gd name="T9" fmla="*/ 0 w 21600"/>
            <a:gd name="T10" fmla="*/ 0 h 21600"/>
            <a:gd name="T11" fmla="*/ 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353786</xdr:colOff>
      <xdr:row>43</xdr:row>
      <xdr:rowOff>89807</xdr:rowOff>
    </xdr:from>
    <xdr:to>
      <xdr:col>1</xdr:col>
      <xdr:colOff>383721</xdr:colOff>
      <xdr:row>44</xdr:row>
      <xdr:rowOff>27214</xdr:rowOff>
    </xdr:to>
    <xdr:sp macro="" textlink="">
      <xdr:nvSpPr>
        <xdr:cNvPr id="89705" name="Arc 50">
          <a:extLst>
            <a:ext uri="{FF2B5EF4-FFF2-40B4-BE49-F238E27FC236}">
              <a16:creationId xmlns:a16="http://schemas.microsoft.com/office/drawing/2014/main" id="{526B61C3-F0ED-5959-F2CF-66773BA7C89A}"/>
            </a:ext>
          </a:extLst>
        </xdr:cNvPr>
        <xdr:cNvSpPr>
          <a:spLocks/>
        </xdr:cNvSpPr>
      </xdr:nvSpPr>
      <xdr:spPr bwMode="auto">
        <a:xfrm flipH="1" flipV="1">
          <a:off x="1001486" y="9187543"/>
          <a:ext cx="29935" cy="117021"/>
        </a:xfrm>
        <a:custGeom>
          <a:avLst/>
          <a:gdLst>
            <a:gd name="T0" fmla="*/ 0 w 21600"/>
            <a:gd name="T1" fmla="*/ 0 h 21600"/>
            <a:gd name="T2" fmla="*/ 39602 w 21600"/>
            <a:gd name="T3" fmla="*/ 670839 h 21600"/>
            <a:gd name="T4" fmla="*/ 0 w 21600"/>
            <a:gd name="T5" fmla="*/ 670839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253093</xdr:colOff>
      <xdr:row>43</xdr:row>
      <xdr:rowOff>0</xdr:rowOff>
    </xdr:from>
    <xdr:to>
      <xdr:col>1</xdr:col>
      <xdr:colOff>293914</xdr:colOff>
      <xdr:row>43</xdr:row>
      <xdr:rowOff>108857</xdr:rowOff>
    </xdr:to>
    <xdr:sp macro="" textlink="">
      <xdr:nvSpPr>
        <xdr:cNvPr id="89706" name="Arc 51">
          <a:extLst>
            <a:ext uri="{FF2B5EF4-FFF2-40B4-BE49-F238E27FC236}">
              <a16:creationId xmlns:a16="http://schemas.microsoft.com/office/drawing/2014/main" id="{44DC2E12-E61E-4EAF-2EAD-B01C4C9BD1C1}"/>
            </a:ext>
          </a:extLst>
        </xdr:cNvPr>
        <xdr:cNvSpPr>
          <a:spLocks/>
        </xdr:cNvSpPr>
      </xdr:nvSpPr>
      <xdr:spPr bwMode="auto">
        <a:xfrm>
          <a:off x="900793" y="9097736"/>
          <a:ext cx="40821" cy="108857"/>
        </a:xfrm>
        <a:custGeom>
          <a:avLst/>
          <a:gdLst>
            <a:gd name="T0" fmla="*/ 0 w 21600"/>
            <a:gd name="T1" fmla="*/ 0 h 21600"/>
            <a:gd name="T2" fmla="*/ 72004 w 21600"/>
            <a:gd name="T3" fmla="*/ 576035 h 21600"/>
            <a:gd name="T4" fmla="*/ 0 w 21600"/>
            <a:gd name="T5" fmla="*/ 576035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253093</xdr:colOff>
      <xdr:row>43</xdr:row>
      <xdr:rowOff>125186</xdr:rowOff>
    </xdr:from>
    <xdr:to>
      <xdr:col>1</xdr:col>
      <xdr:colOff>304800</xdr:colOff>
      <xdr:row>44</xdr:row>
      <xdr:rowOff>19050</xdr:rowOff>
    </xdr:to>
    <xdr:sp macro="" textlink="">
      <xdr:nvSpPr>
        <xdr:cNvPr id="89707" name="Arc 52">
          <a:extLst>
            <a:ext uri="{FF2B5EF4-FFF2-40B4-BE49-F238E27FC236}">
              <a16:creationId xmlns:a16="http://schemas.microsoft.com/office/drawing/2014/main" id="{DD53D471-C11D-554E-7478-15B9C9FFA122}"/>
            </a:ext>
          </a:extLst>
        </xdr:cNvPr>
        <xdr:cNvSpPr>
          <a:spLocks/>
        </xdr:cNvSpPr>
      </xdr:nvSpPr>
      <xdr:spPr bwMode="auto">
        <a:xfrm flipV="1">
          <a:off x="900793" y="9222921"/>
          <a:ext cx="51707" cy="73479"/>
        </a:xfrm>
        <a:custGeom>
          <a:avLst/>
          <a:gdLst>
            <a:gd name="T0" fmla="*/ 0 w 21600"/>
            <a:gd name="T1" fmla="*/ 0 h 21600"/>
            <a:gd name="T2" fmla="*/ 114007 w 21600"/>
            <a:gd name="T3" fmla="*/ 259218 h 21600"/>
            <a:gd name="T4" fmla="*/ 0 w 21600"/>
            <a:gd name="T5" fmla="*/ 259218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323850</xdr:colOff>
      <xdr:row>15</xdr:row>
      <xdr:rowOff>0</xdr:rowOff>
    </xdr:from>
    <xdr:to>
      <xdr:col>1</xdr:col>
      <xdr:colOff>323850</xdr:colOff>
      <xdr:row>42</xdr:row>
      <xdr:rowOff>117021</xdr:rowOff>
    </xdr:to>
    <xdr:sp macro="" textlink="">
      <xdr:nvSpPr>
        <xdr:cNvPr id="89708" name="Line 53">
          <a:extLst>
            <a:ext uri="{FF2B5EF4-FFF2-40B4-BE49-F238E27FC236}">
              <a16:creationId xmlns:a16="http://schemas.microsoft.com/office/drawing/2014/main" id="{9F00E8F3-0FF1-37A3-CFC1-56FD67F681F8}"/>
            </a:ext>
          </a:extLst>
        </xdr:cNvPr>
        <xdr:cNvSpPr>
          <a:spLocks noChangeShapeType="1"/>
        </xdr:cNvSpPr>
      </xdr:nvSpPr>
      <xdr:spPr bwMode="auto">
        <a:xfrm>
          <a:off x="971550" y="3407229"/>
          <a:ext cx="0" cy="56279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304800</xdr:colOff>
      <xdr:row>42</xdr:row>
      <xdr:rowOff>97971</xdr:rowOff>
    </xdr:from>
    <xdr:to>
      <xdr:col>1</xdr:col>
      <xdr:colOff>342900</xdr:colOff>
      <xdr:row>45</xdr:row>
      <xdr:rowOff>19050</xdr:rowOff>
    </xdr:to>
    <xdr:sp macro="" textlink="">
      <xdr:nvSpPr>
        <xdr:cNvPr id="89709" name="Rectangle 54">
          <a:extLst>
            <a:ext uri="{FF2B5EF4-FFF2-40B4-BE49-F238E27FC236}">
              <a16:creationId xmlns:a16="http://schemas.microsoft.com/office/drawing/2014/main" id="{A13FDA7F-54B3-35F0-BEBC-97B98CCE04AA}"/>
            </a:ext>
          </a:extLst>
        </xdr:cNvPr>
        <xdr:cNvSpPr>
          <a:spLocks noChangeArrowheads="1"/>
        </xdr:cNvSpPr>
      </xdr:nvSpPr>
      <xdr:spPr bwMode="auto">
        <a:xfrm>
          <a:off x="952500" y="9016093"/>
          <a:ext cx="38100" cy="45992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293914</xdr:colOff>
      <xdr:row>7</xdr:row>
      <xdr:rowOff>133350</xdr:rowOff>
    </xdr:from>
    <xdr:to>
      <xdr:col>1</xdr:col>
      <xdr:colOff>323850</xdr:colOff>
      <xdr:row>11</xdr:row>
      <xdr:rowOff>0</xdr:rowOff>
    </xdr:to>
    <xdr:sp macro="" textlink="">
      <xdr:nvSpPr>
        <xdr:cNvPr id="89710" name="Rectangle 55">
          <a:extLst>
            <a:ext uri="{FF2B5EF4-FFF2-40B4-BE49-F238E27FC236}">
              <a16:creationId xmlns:a16="http://schemas.microsoft.com/office/drawing/2014/main" id="{2EA46DCD-AD05-7AEF-E960-60CED8FC9083}"/>
            </a:ext>
          </a:extLst>
        </xdr:cNvPr>
        <xdr:cNvSpPr>
          <a:spLocks noChangeArrowheads="1"/>
        </xdr:cNvSpPr>
      </xdr:nvSpPr>
      <xdr:spPr bwMode="auto">
        <a:xfrm>
          <a:off x="941614" y="1684564"/>
          <a:ext cx="29936" cy="808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304800</xdr:colOff>
      <xdr:row>12</xdr:row>
      <xdr:rowOff>27214</xdr:rowOff>
    </xdr:from>
    <xdr:to>
      <xdr:col>1</xdr:col>
      <xdr:colOff>334736</xdr:colOff>
      <xdr:row>13</xdr:row>
      <xdr:rowOff>141514</xdr:rowOff>
    </xdr:to>
    <xdr:sp macro="" textlink="">
      <xdr:nvSpPr>
        <xdr:cNvPr id="89711" name="Rectangle 56">
          <a:extLst>
            <a:ext uri="{FF2B5EF4-FFF2-40B4-BE49-F238E27FC236}">
              <a16:creationId xmlns:a16="http://schemas.microsoft.com/office/drawing/2014/main" id="{09B33DCC-263F-AE1A-7946-75054C49CB41}"/>
            </a:ext>
          </a:extLst>
        </xdr:cNvPr>
        <xdr:cNvSpPr>
          <a:spLocks noChangeArrowheads="1"/>
        </xdr:cNvSpPr>
      </xdr:nvSpPr>
      <xdr:spPr bwMode="auto">
        <a:xfrm>
          <a:off x="952500" y="2748643"/>
          <a:ext cx="29936" cy="342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242207</xdr:colOff>
      <xdr:row>10</xdr:row>
      <xdr:rowOff>62593</xdr:rowOff>
    </xdr:from>
    <xdr:to>
      <xdr:col>1</xdr:col>
      <xdr:colOff>242207</xdr:colOff>
      <xdr:row>10</xdr:row>
      <xdr:rowOff>70757</xdr:rowOff>
    </xdr:to>
    <xdr:sp macro="" textlink="">
      <xdr:nvSpPr>
        <xdr:cNvPr id="89712" name="Line 57">
          <a:extLst>
            <a:ext uri="{FF2B5EF4-FFF2-40B4-BE49-F238E27FC236}">
              <a16:creationId xmlns:a16="http://schemas.microsoft.com/office/drawing/2014/main" id="{E27E967C-FC18-C9CC-474A-06E57C118315}"/>
            </a:ext>
          </a:extLst>
        </xdr:cNvPr>
        <xdr:cNvSpPr>
          <a:spLocks noChangeShapeType="1"/>
        </xdr:cNvSpPr>
      </xdr:nvSpPr>
      <xdr:spPr bwMode="auto">
        <a:xfrm>
          <a:off x="889907" y="2326821"/>
          <a:ext cx="0" cy="816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182336</xdr:colOff>
      <xdr:row>8</xdr:row>
      <xdr:rowOff>54429</xdr:rowOff>
    </xdr:from>
    <xdr:to>
      <xdr:col>1</xdr:col>
      <xdr:colOff>242207</xdr:colOff>
      <xdr:row>10</xdr:row>
      <xdr:rowOff>62593</xdr:rowOff>
    </xdr:to>
    <xdr:sp macro="" textlink="">
      <xdr:nvSpPr>
        <xdr:cNvPr id="89713" name="Rectangle 58">
          <a:extLst>
            <a:ext uri="{FF2B5EF4-FFF2-40B4-BE49-F238E27FC236}">
              <a16:creationId xmlns:a16="http://schemas.microsoft.com/office/drawing/2014/main" id="{472567F2-0B0E-C5A3-27D8-BD28AE2408E9}"/>
            </a:ext>
          </a:extLst>
        </xdr:cNvPr>
        <xdr:cNvSpPr>
          <a:spLocks noChangeArrowheads="1"/>
        </xdr:cNvSpPr>
      </xdr:nvSpPr>
      <xdr:spPr bwMode="auto">
        <a:xfrm>
          <a:off x="830036" y="1834243"/>
          <a:ext cx="59871" cy="49257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375557</xdr:colOff>
      <xdr:row>8</xdr:row>
      <xdr:rowOff>54429</xdr:rowOff>
    </xdr:from>
    <xdr:to>
      <xdr:col>1</xdr:col>
      <xdr:colOff>413657</xdr:colOff>
      <xdr:row>10</xdr:row>
      <xdr:rowOff>78921</xdr:rowOff>
    </xdr:to>
    <xdr:sp macro="" textlink="">
      <xdr:nvSpPr>
        <xdr:cNvPr id="89714" name="Rectangle 59">
          <a:extLst>
            <a:ext uri="{FF2B5EF4-FFF2-40B4-BE49-F238E27FC236}">
              <a16:creationId xmlns:a16="http://schemas.microsoft.com/office/drawing/2014/main" id="{7A97E774-FCCE-79DB-173D-3D52B5852E3C}"/>
            </a:ext>
          </a:extLst>
        </xdr:cNvPr>
        <xdr:cNvSpPr>
          <a:spLocks noChangeArrowheads="1"/>
        </xdr:cNvSpPr>
      </xdr:nvSpPr>
      <xdr:spPr bwMode="auto">
        <a:xfrm>
          <a:off x="1023257" y="1834243"/>
          <a:ext cx="38100" cy="50890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234043</xdr:colOff>
      <xdr:row>8</xdr:row>
      <xdr:rowOff>62593</xdr:rowOff>
    </xdr:from>
    <xdr:to>
      <xdr:col>1</xdr:col>
      <xdr:colOff>405493</xdr:colOff>
      <xdr:row>8</xdr:row>
      <xdr:rowOff>62593</xdr:rowOff>
    </xdr:to>
    <xdr:sp macro="" textlink="">
      <xdr:nvSpPr>
        <xdr:cNvPr id="89715" name="Line 60">
          <a:extLst>
            <a:ext uri="{FF2B5EF4-FFF2-40B4-BE49-F238E27FC236}">
              <a16:creationId xmlns:a16="http://schemas.microsoft.com/office/drawing/2014/main" id="{49AFD701-7CD1-235A-1CCF-F91CDD853DA1}"/>
            </a:ext>
          </a:extLst>
        </xdr:cNvPr>
        <xdr:cNvSpPr>
          <a:spLocks noChangeShapeType="1"/>
        </xdr:cNvSpPr>
      </xdr:nvSpPr>
      <xdr:spPr bwMode="auto">
        <a:xfrm>
          <a:off x="881743" y="1842407"/>
          <a:ext cx="171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424543</xdr:colOff>
      <xdr:row>8</xdr:row>
      <xdr:rowOff>144236</xdr:rowOff>
    </xdr:from>
    <xdr:to>
      <xdr:col>2</xdr:col>
      <xdr:colOff>0</xdr:colOff>
      <xdr:row>9</xdr:row>
      <xdr:rowOff>97971</xdr:rowOff>
    </xdr:to>
    <xdr:sp macro="" textlink="">
      <xdr:nvSpPr>
        <xdr:cNvPr id="89716" name="Rectangle 61">
          <a:extLst>
            <a:ext uri="{FF2B5EF4-FFF2-40B4-BE49-F238E27FC236}">
              <a16:creationId xmlns:a16="http://schemas.microsoft.com/office/drawing/2014/main" id="{A59FCC52-90D4-DB20-92B3-5671D6852D03}"/>
            </a:ext>
          </a:extLst>
        </xdr:cNvPr>
        <xdr:cNvSpPr>
          <a:spLocks noChangeArrowheads="1"/>
        </xdr:cNvSpPr>
      </xdr:nvSpPr>
      <xdr:spPr bwMode="auto">
        <a:xfrm>
          <a:off x="1072243" y="1924050"/>
          <a:ext cx="223157" cy="19594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130629</xdr:colOff>
      <xdr:row>51</xdr:row>
      <xdr:rowOff>8164</xdr:rowOff>
    </xdr:from>
    <xdr:to>
      <xdr:col>1</xdr:col>
      <xdr:colOff>517071</xdr:colOff>
      <xdr:row>52</xdr:row>
      <xdr:rowOff>0</xdr:rowOff>
    </xdr:to>
    <xdr:sp macro="" textlink="">
      <xdr:nvSpPr>
        <xdr:cNvPr id="89717" name="Rectangle 62">
          <a:extLst>
            <a:ext uri="{FF2B5EF4-FFF2-40B4-BE49-F238E27FC236}">
              <a16:creationId xmlns:a16="http://schemas.microsoft.com/office/drawing/2014/main" id="{8CA36826-4317-9016-31F9-D5A5E9A06E76}"/>
            </a:ext>
          </a:extLst>
        </xdr:cNvPr>
        <xdr:cNvSpPr>
          <a:spLocks noChangeArrowheads="1"/>
        </xdr:cNvSpPr>
      </xdr:nvSpPr>
      <xdr:spPr bwMode="auto">
        <a:xfrm>
          <a:off x="778329" y="10542814"/>
          <a:ext cx="386442" cy="17145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xdr:col>
      <xdr:colOff>223157</xdr:colOff>
      <xdr:row>38</xdr:row>
      <xdr:rowOff>125186</xdr:rowOff>
    </xdr:from>
    <xdr:to>
      <xdr:col>1</xdr:col>
      <xdr:colOff>424543</xdr:colOff>
      <xdr:row>39</xdr:row>
      <xdr:rowOff>46264</xdr:rowOff>
    </xdr:to>
    <xdr:sp macro="" textlink="">
      <xdr:nvSpPr>
        <xdr:cNvPr id="89718" name="Rectangle 63">
          <a:extLst>
            <a:ext uri="{FF2B5EF4-FFF2-40B4-BE49-F238E27FC236}">
              <a16:creationId xmlns:a16="http://schemas.microsoft.com/office/drawing/2014/main" id="{A396136F-B4C5-21B2-9C04-5AF2D8CB33CE}"/>
            </a:ext>
          </a:extLst>
        </xdr:cNvPr>
        <xdr:cNvSpPr>
          <a:spLocks noChangeArrowheads="1"/>
        </xdr:cNvSpPr>
      </xdr:nvSpPr>
      <xdr:spPr bwMode="auto">
        <a:xfrm>
          <a:off x="870857" y="8324850"/>
          <a:ext cx="201386" cy="100693"/>
        </a:xfrm>
        <a:prstGeom prst="rect">
          <a:avLst/>
        </a:prstGeom>
        <a:solidFill>
          <a:srgbClr val="FFFFFF"/>
        </a:solidFill>
        <a:ln w="9525">
          <a:solidFill>
            <a:srgbClr val="000000"/>
          </a:solidFill>
          <a:miter lim="800000"/>
          <a:headEnd/>
          <a:tailEnd/>
        </a:ln>
      </xdr:spPr>
    </xdr:sp>
    <xdr:clientData/>
  </xdr:twoCellAnchor>
  <xdr:twoCellAnchor>
    <xdr:from>
      <xdr:col>1</xdr:col>
      <xdr:colOff>223157</xdr:colOff>
      <xdr:row>39</xdr:row>
      <xdr:rowOff>81643</xdr:rowOff>
    </xdr:from>
    <xdr:to>
      <xdr:col>1</xdr:col>
      <xdr:colOff>424543</xdr:colOff>
      <xdr:row>40</xdr:row>
      <xdr:rowOff>0</xdr:rowOff>
    </xdr:to>
    <xdr:sp macro="" textlink="">
      <xdr:nvSpPr>
        <xdr:cNvPr id="89719" name="Rectangle 64">
          <a:extLst>
            <a:ext uri="{FF2B5EF4-FFF2-40B4-BE49-F238E27FC236}">
              <a16:creationId xmlns:a16="http://schemas.microsoft.com/office/drawing/2014/main" id="{19612D7F-8AEF-D98E-6F7C-DF307278E920}"/>
            </a:ext>
          </a:extLst>
        </xdr:cNvPr>
        <xdr:cNvSpPr>
          <a:spLocks noChangeArrowheads="1"/>
        </xdr:cNvSpPr>
      </xdr:nvSpPr>
      <xdr:spPr bwMode="auto">
        <a:xfrm>
          <a:off x="870857" y="8460921"/>
          <a:ext cx="201386" cy="97972"/>
        </a:xfrm>
        <a:prstGeom prst="rect">
          <a:avLst/>
        </a:prstGeom>
        <a:solidFill>
          <a:srgbClr val="FFFFFF"/>
        </a:solidFill>
        <a:ln w="9525">
          <a:solidFill>
            <a:srgbClr val="000000"/>
          </a:solidFill>
          <a:miter lim="800000"/>
          <a:headEnd/>
          <a:tailEnd/>
        </a:ln>
      </xdr:spPr>
    </xdr:sp>
    <xdr:clientData/>
  </xdr:twoCellAnchor>
  <xdr:twoCellAnchor>
    <xdr:from>
      <xdr:col>5</xdr:col>
      <xdr:colOff>152400</xdr:colOff>
      <xdr:row>46</xdr:row>
      <xdr:rowOff>19050</xdr:rowOff>
    </xdr:from>
    <xdr:to>
      <xdr:col>5</xdr:col>
      <xdr:colOff>495300</xdr:colOff>
      <xdr:row>46</xdr:row>
      <xdr:rowOff>100693</xdr:rowOff>
    </xdr:to>
    <xdr:sp macro="" textlink="">
      <xdr:nvSpPr>
        <xdr:cNvPr id="89720" name="Rectangle 70" descr="Purple mesh">
          <a:extLst>
            <a:ext uri="{FF2B5EF4-FFF2-40B4-BE49-F238E27FC236}">
              <a16:creationId xmlns:a16="http://schemas.microsoft.com/office/drawing/2014/main" id="{BCE3A267-B3E2-0CA0-AB95-2FAB91225079}"/>
            </a:ext>
          </a:extLst>
        </xdr:cNvPr>
        <xdr:cNvSpPr>
          <a:spLocks noChangeArrowheads="1"/>
        </xdr:cNvSpPr>
      </xdr:nvSpPr>
      <xdr:spPr bwMode="auto">
        <a:xfrm>
          <a:off x="3390900" y="9655629"/>
          <a:ext cx="342900" cy="81642"/>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5</xdr:col>
      <xdr:colOff>152400</xdr:colOff>
      <xdr:row>46</xdr:row>
      <xdr:rowOff>108857</xdr:rowOff>
    </xdr:from>
    <xdr:to>
      <xdr:col>5</xdr:col>
      <xdr:colOff>495300</xdr:colOff>
      <xdr:row>47</xdr:row>
      <xdr:rowOff>27214</xdr:rowOff>
    </xdr:to>
    <xdr:sp macro="" textlink="">
      <xdr:nvSpPr>
        <xdr:cNvPr id="89721" name="Rectangle 71" descr="Purple mesh">
          <a:extLst>
            <a:ext uri="{FF2B5EF4-FFF2-40B4-BE49-F238E27FC236}">
              <a16:creationId xmlns:a16="http://schemas.microsoft.com/office/drawing/2014/main" id="{D3AFCE0F-106F-738E-861B-FBBA4D5BE12C}"/>
            </a:ext>
          </a:extLst>
        </xdr:cNvPr>
        <xdr:cNvSpPr>
          <a:spLocks noChangeArrowheads="1"/>
        </xdr:cNvSpPr>
      </xdr:nvSpPr>
      <xdr:spPr bwMode="auto">
        <a:xfrm>
          <a:off x="3390900" y="9745436"/>
          <a:ext cx="342900" cy="97971"/>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5</xdr:col>
      <xdr:colOff>152400</xdr:colOff>
      <xdr:row>45</xdr:row>
      <xdr:rowOff>81643</xdr:rowOff>
    </xdr:from>
    <xdr:to>
      <xdr:col>5</xdr:col>
      <xdr:colOff>495300</xdr:colOff>
      <xdr:row>46</xdr:row>
      <xdr:rowOff>0</xdr:rowOff>
    </xdr:to>
    <xdr:sp macro="" textlink="">
      <xdr:nvSpPr>
        <xdr:cNvPr id="89722" name="Rectangle 72" descr="Purple mesh">
          <a:extLst>
            <a:ext uri="{FF2B5EF4-FFF2-40B4-BE49-F238E27FC236}">
              <a16:creationId xmlns:a16="http://schemas.microsoft.com/office/drawing/2014/main" id="{DD1E2CE9-653D-5362-58A6-5070C85DD529}"/>
            </a:ext>
          </a:extLst>
        </xdr:cNvPr>
        <xdr:cNvSpPr>
          <a:spLocks noChangeArrowheads="1"/>
        </xdr:cNvSpPr>
      </xdr:nvSpPr>
      <xdr:spPr bwMode="auto">
        <a:xfrm>
          <a:off x="3390900" y="9538607"/>
          <a:ext cx="342900" cy="97972"/>
        </a:xfrm>
        <a:prstGeom prst="rect">
          <a:avLst/>
        </a:prstGeom>
        <a:blipFill dpi="0" rotWithShape="0">
          <a:blip xmlns:r="http://schemas.openxmlformats.org/officeDocument/2006/relationships" r:embed="rId2"/>
          <a:srcRect/>
          <a:tile tx="0" ty="0" sx="100000" sy="100000" flip="none" algn="tl"/>
        </a:blipFill>
        <a:ln w="9525">
          <a:solidFill>
            <a:srgbClr val="000000"/>
          </a:solidFill>
          <a:miter lim="800000"/>
          <a:headEnd/>
          <a:tailEnd/>
        </a:ln>
      </xdr:spPr>
    </xdr:sp>
    <xdr:clientData/>
  </xdr:twoCellAnchor>
  <xdr:twoCellAnchor>
    <xdr:from>
      <xdr:col>5</xdr:col>
      <xdr:colOff>253093</xdr:colOff>
      <xdr:row>44</xdr:row>
      <xdr:rowOff>136071</xdr:rowOff>
    </xdr:from>
    <xdr:to>
      <xdr:col>5</xdr:col>
      <xdr:colOff>383721</xdr:colOff>
      <xdr:row>45</xdr:row>
      <xdr:rowOff>62593</xdr:rowOff>
    </xdr:to>
    <xdr:sp macro="" textlink="">
      <xdr:nvSpPr>
        <xdr:cNvPr id="89723" name="Rectangle 73">
          <a:extLst>
            <a:ext uri="{FF2B5EF4-FFF2-40B4-BE49-F238E27FC236}">
              <a16:creationId xmlns:a16="http://schemas.microsoft.com/office/drawing/2014/main" id="{0401A3C4-366E-EDE9-AFBD-2F90B90EA0A3}"/>
            </a:ext>
          </a:extLst>
        </xdr:cNvPr>
        <xdr:cNvSpPr>
          <a:spLocks noChangeArrowheads="1"/>
        </xdr:cNvSpPr>
      </xdr:nvSpPr>
      <xdr:spPr bwMode="auto">
        <a:xfrm>
          <a:off x="3491593" y="9413421"/>
          <a:ext cx="130628" cy="106136"/>
        </a:xfrm>
        <a:prstGeom prst="rect">
          <a:avLst/>
        </a:prstGeom>
        <a:solidFill>
          <a:srgbClr val="FFFFFF"/>
        </a:solidFill>
        <a:ln w="9525">
          <a:solidFill>
            <a:srgbClr val="000000"/>
          </a:solidFill>
          <a:miter lim="800000"/>
          <a:headEnd/>
          <a:tailEnd/>
        </a:ln>
      </xdr:spPr>
    </xdr:sp>
    <xdr:clientData/>
  </xdr:twoCellAnchor>
  <xdr:twoCellAnchor>
    <xdr:from>
      <xdr:col>5</xdr:col>
      <xdr:colOff>253093</xdr:colOff>
      <xdr:row>47</xdr:row>
      <xdr:rowOff>35379</xdr:rowOff>
    </xdr:from>
    <xdr:to>
      <xdr:col>5</xdr:col>
      <xdr:colOff>394607</xdr:colOff>
      <xdr:row>47</xdr:row>
      <xdr:rowOff>117021</xdr:rowOff>
    </xdr:to>
    <xdr:sp macro="" textlink="">
      <xdr:nvSpPr>
        <xdr:cNvPr id="89724" name="Rectangle 74">
          <a:extLst>
            <a:ext uri="{FF2B5EF4-FFF2-40B4-BE49-F238E27FC236}">
              <a16:creationId xmlns:a16="http://schemas.microsoft.com/office/drawing/2014/main" id="{F3C1419D-3B30-6EE5-4093-3892B12AC2B6}"/>
            </a:ext>
          </a:extLst>
        </xdr:cNvPr>
        <xdr:cNvSpPr>
          <a:spLocks noChangeArrowheads="1"/>
        </xdr:cNvSpPr>
      </xdr:nvSpPr>
      <xdr:spPr bwMode="auto">
        <a:xfrm>
          <a:off x="3491593" y="9851571"/>
          <a:ext cx="141514" cy="81643"/>
        </a:xfrm>
        <a:prstGeom prst="rect">
          <a:avLst/>
        </a:prstGeom>
        <a:solidFill>
          <a:srgbClr val="FFFFFF"/>
        </a:solidFill>
        <a:ln w="9525">
          <a:solidFill>
            <a:srgbClr val="000000"/>
          </a:solidFill>
          <a:miter lim="800000"/>
          <a:headEnd/>
          <a:tailEnd/>
        </a:ln>
      </xdr:spPr>
    </xdr:sp>
    <xdr:clientData/>
  </xdr:twoCellAnchor>
  <xdr:twoCellAnchor>
    <xdr:from>
      <xdr:col>5</xdr:col>
      <xdr:colOff>253093</xdr:colOff>
      <xdr:row>40</xdr:row>
      <xdr:rowOff>46264</xdr:rowOff>
    </xdr:from>
    <xdr:to>
      <xdr:col>5</xdr:col>
      <xdr:colOff>394607</xdr:colOff>
      <xdr:row>44</xdr:row>
      <xdr:rowOff>125186</xdr:rowOff>
    </xdr:to>
    <xdr:sp macro="" textlink="">
      <xdr:nvSpPr>
        <xdr:cNvPr id="89725" name="Rectangle 75" descr="Sphere">
          <a:extLst>
            <a:ext uri="{FF2B5EF4-FFF2-40B4-BE49-F238E27FC236}">
              <a16:creationId xmlns:a16="http://schemas.microsoft.com/office/drawing/2014/main" id="{542E52FD-14BE-A498-6D79-A78CECBCAF6B}"/>
            </a:ext>
          </a:extLst>
        </xdr:cNvPr>
        <xdr:cNvSpPr>
          <a:spLocks noChangeArrowheads="1"/>
        </xdr:cNvSpPr>
      </xdr:nvSpPr>
      <xdr:spPr bwMode="auto">
        <a:xfrm>
          <a:off x="3491593" y="8605157"/>
          <a:ext cx="141514" cy="797379"/>
        </a:xfrm>
        <a:prstGeom prst="rect">
          <a:avLst/>
        </a:prstGeom>
        <a:blipFill dpi="0" rotWithShape="0">
          <a:blip xmlns:r="http://schemas.openxmlformats.org/officeDocument/2006/relationships" r:embed="rId3"/>
          <a:srcRect/>
          <a:tile tx="0" ty="0" sx="100000" sy="100000" flip="none" algn="tl"/>
        </a:blipFill>
        <a:ln w="9525">
          <a:solidFill>
            <a:srgbClr val="000000"/>
          </a:solidFill>
          <a:miter lim="800000"/>
          <a:headEnd/>
          <a:tailEnd/>
        </a:ln>
      </xdr:spPr>
    </xdr:sp>
    <xdr:clientData/>
  </xdr:twoCellAnchor>
  <xdr:twoCellAnchor>
    <xdr:from>
      <xdr:col>7</xdr:col>
      <xdr:colOff>10886</xdr:colOff>
      <xdr:row>9</xdr:row>
      <xdr:rowOff>133350</xdr:rowOff>
    </xdr:from>
    <xdr:to>
      <xdr:col>8</xdr:col>
      <xdr:colOff>283029</xdr:colOff>
      <xdr:row>10</xdr:row>
      <xdr:rowOff>62593</xdr:rowOff>
    </xdr:to>
    <xdr:sp macro="" textlink="">
      <xdr:nvSpPr>
        <xdr:cNvPr id="89726" name="Line 76">
          <a:extLst>
            <a:ext uri="{FF2B5EF4-FFF2-40B4-BE49-F238E27FC236}">
              <a16:creationId xmlns:a16="http://schemas.microsoft.com/office/drawing/2014/main" id="{83269B05-D229-E4C3-BD64-DD7F4B2BC6A3}"/>
            </a:ext>
          </a:extLst>
        </xdr:cNvPr>
        <xdr:cNvSpPr>
          <a:spLocks noChangeShapeType="1"/>
        </xdr:cNvSpPr>
      </xdr:nvSpPr>
      <xdr:spPr bwMode="auto">
        <a:xfrm flipH="1">
          <a:off x="4544786" y="2155371"/>
          <a:ext cx="919843"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476250</xdr:colOff>
      <xdr:row>23</xdr:row>
      <xdr:rowOff>122464</xdr:rowOff>
    </xdr:from>
    <xdr:to>
      <xdr:col>7</xdr:col>
      <xdr:colOff>152400</xdr:colOff>
      <xdr:row>29</xdr:row>
      <xdr:rowOff>81643</xdr:rowOff>
    </xdr:to>
    <xdr:sp macro="" textlink="">
      <xdr:nvSpPr>
        <xdr:cNvPr id="89727" name="Line 78">
          <a:extLst>
            <a:ext uri="{FF2B5EF4-FFF2-40B4-BE49-F238E27FC236}">
              <a16:creationId xmlns:a16="http://schemas.microsoft.com/office/drawing/2014/main" id="{7E9083A3-F0F6-9168-D99E-E5F4E0279190}"/>
            </a:ext>
          </a:extLst>
        </xdr:cNvPr>
        <xdr:cNvSpPr>
          <a:spLocks noChangeShapeType="1"/>
        </xdr:cNvSpPr>
      </xdr:nvSpPr>
      <xdr:spPr bwMode="auto">
        <a:xfrm flipH="1" flipV="1">
          <a:off x="4362450" y="5358493"/>
          <a:ext cx="323850" cy="128179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383721</xdr:colOff>
      <xdr:row>29</xdr:row>
      <xdr:rowOff>108857</xdr:rowOff>
    </xdr:from>
    <xdr:to>
      <xdr:col>6</xdr:col>
      <xdr:colOff>10886</xdr:colOff>
      <xdr:row>30</xdr:row>
      <xdr:rowOff>54429</xdr:rowOff>
    </xdr:to>
    <xdr:sp macro="" textlink="">
      <xdr:nvSpPr>
        <xdr:cNvPr id="89728" name="Line 79">
          <a:extLst>
            <a:ext uri="{FF2B5EF4-FFF2-40B4-BE49-F238E27FC236}">
              <a16:creationId xmlns:a16="http://schemas.microsoft.com/office/drawing/2014/main" id="{5B9592AF-C602-E58B-4141-32349328D493}"/>
            </a:ext>
          </a:extLst>
        </xdr:cNvPr>
        <xdr:cNvSpPr>
          <a:spLocks noChangeShapeType="1"/>
        </xdr:cNvSpPr>
      </xdr:nvSpPr>
      <xdr:spPr bwMode="auto">
        <a:xfrm flipV="1">
          <a:off x="3622221" y="6667500"/>
          <a:ext cx="274865" cy="12518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547007</xdr:colOff>
      <xdr:row>24</xdr:row>
      <xdr:rowOff>0</xdr:rowOff>
    </xdr:from>
    <xdr:to>
      <xdr:col>12</xdr:col>
      <xdr:colOff>334736</xdr:colOff>
      <xdr:row>30</xdr:row>
      <xdr:rowOff>54429</xdr:rowOff>
    </xdr:to>
    <xdr:sp macro="" textlink="">
      <xdr:nvSpPr>
        <xdr:cNvPr id="89729" name="Line 80">
          <a:extLst>
            <a:ext uri="{FF2B5EF4-FFF2-40B4-BE49-F238E27FC236}">
              <a16:creationId xmlns:a16="http://schemas.microsoft.com/office/drawing/2014/main" id="{E149083C-3F13-D015-DB65-3838B901C1BE}"/>
            </a:ext>
          </a:extLst>
        </xdr:cNvPr>
        <xdr:cNvSpPr>
          <a:spLocks noChangeShapeType="1"/>
        </xdr:cNvSpPr>
      </xdr:nvSpPr>
      <xdr:spPr bwMode="auto">
        <a:xfrm flipH="1" flipV="1">
          <a:off x="4433207" y="5464629"/>
          <a:ext cx="3673929" cy="132805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4</xdr:col>
      <xdr:colOff>0</xdr:colOff>
      <xdr:row>34</xdr:row>
      <xdr:rowOff>0</xdr:rowOff>
    </xdr:from>
    <xdr:to>
      <xdr:col>5</xdr:col>
      <xdr:colOff>10886</xdr:colOff>
      <xdr:row>38</xdr:row>
      <xdr:rowOff>144236</xdr:rowOff>
    </xdr:to>
    <xdr:pic>
      <xdr:nvPicPr>
        <xdr:cNvPr id="89730" name="Picture 81" descr="BPLUG">
          <a:extLst>
            <a:ext uri="{FF2B5EF4-FFF2-40B4-BE49-F238E27FC236}">
              <a16:creationId xmlns:a16="http://schemas.microsoft.com/office/drawing/2014/main" id="{178EAA68-BCBF-80B6-0FC0-A934240B29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0800" y="7481207"/>
          <a:ext cx="658586" cy="862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424543</xdr:colOff>
      <xdr:row>56</xdr:row>
      <xdr:rowOff>119743</xdr:rowOff>
    </xdr:from>
    <xdr:to>
      <xdr:col>11</xdr:col>
      <xdr:colOff>394607</xdr:colOff>
      <xdr:row>66</xdr:row>
      <xdr:rowOff>46264</xdr:rowOff>
    </xdr:to>
    <xdr:pic>
      <xdr:nvPicPr>
        <xdr:cNvPr id="89731" name="Picture 82" descr="PACKER2">
          <a:extLst>
            <a:ext uri="{FF2B5EF4-FFF2-40B4-BE49-F238E27FC236}">
              <a16:creationId xmlns:a16="http://schemas.microsoft.com/office/drawing/2014/main" id="{8C2B4C19-8538-4385-BF12-18A54E10FF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01543" y="11547021"/>
          <a:ext cx="617764"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36</xdr:row>
      <xdr:rowOff>62593</xdr:rowOff>
    </xdr:from>
    <xdr:to>
      <xdr:col>10</xdr:col>
      <xdr:colOff>636814</xdr:colOff>
      <xdr:row>49</xdr:row>
      <xdr:rowOff>117021</xdr:rowOff>
    </xdr:to>
    <xdr:pic>
      <xdr:nvPicPr>
        <xdr:cNvPr id="89732" name="Picture 84" descr="PACKER3">
          <a:extLst>
            <a:ext uri="{FF2B5EF4-FFF2-40B4-BE49-F238E27FC236}">
              <a16:creationId xmlns:a16="http://schemas.microsoft.com/office/drawing/2014/main" id="{37D08B22-EFF8-5428-AA41-109CBB2E75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77000" y="7903029"/>
          <a:ext cx="636814" cy="2389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334736</xdr:colOff>
      <xdr:row>70</xdr:row>
      <xdr:rowOff>38100</xdr:rowOff>
    </xdr:from>
    <xdr:to>
      <xdr:col>11</xdr:col>
      <xdr:colOff>506186</xdr:colOff>
      <xdr:row>94</xdr:row>
      <xdr:rowOff>8164</xdr:rowOff>
    </xdr:to>
    <xdr:pic>
      <xdr:nvPicPr>
        <xdr:cNvPr id="89733" name="Picture 96" descr="PACKER4">
          <a:extLst>
            <a:ext uri="{FF2B5EF4-FFF2-40B4-BE49-F238E27FC236}">
              <a16:creationId xmlns:a16="http://schemas.microsoft.com/office/drawing/2014/main" id="{10D2AB0F-7E94-3DCC-3402-2267A25E396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11736" y="13941879"/>
          <a:ext cx="819150" cy="4215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424543</xdr:colOff>
      <xdr:row>56</xdr:row>
      <xdr:rowOff>19050</xdr:rowOff>
    </xdr:from>
    <xdr:to>
      <xdr:col>1</xdr:col>
      <xdr:colOff>100693</xdr:colOff>
      <xdr:row>63</xdr:row>
      <xdr:rowOff>57150</xdr:rowOff>
    </xdr:to>
    <xdr:pic>
      <xdr:nvPicPr>
        <xdr:cNvPr id="89734" name="502">
          <a:extLst>
            <a:ext uri="{FF2B5EF4-FFF2-40B4-BE49-F238E27FC236}">
              <a16:creationId xmlns:a16="http://schemas.microsoft.com/office/drawing/2014/main" id="{922F6F30-1FB1-C7A8-7E15-DCEC9D22467F}"/>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4543" y="11446329"/>
          <a:ext cx="323850" cy="12763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364671</xdr:colOff>
      <xdr:row>80</xdr:row>
      <xdr:rowOff>46264</xdr:rowOff>
    </xdr:from>
    <xdr:to>
      <xdr:col>5</xdr:col>
      <xdr:colOff>272143</xdr:colOff>
      <xdr:row>87</xdr:row>
      <xdr:rowOff>92529</xdr:rowOff>
    </xdr:to>
    <xdr:pic>
      <xdr:nvPicPr>
        <xdr:cNvPr id="89735" name="521">
          <a:extLst>
            <a:ext uri="{FF2B5EF4-FFF2-40B4-BE49-F238E27FC236}">
              <a16:creationId xmlns:a16="http://schemas.microsoft.com/office/drawing/2014/main" id="{BEDB0DC0-CC9D-0765-D376-ACCFAC545BF8}"/>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55471" y="15718971"/>
          <a:ext cx="555172" cy="1284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6</xdr:col>
      <xdr:colOff>525236</xdr:colOff>
      <xdr:row>76</xdr:row>
      <xdr:rowOff>38100</xdr:rowOff>
    </xdr:from>
    <xdr:to>
      <xdr:col>7</xdr:col>
      <xdr:colOff>171450</xdr:colOff>
      <xdr:row>84</xdr:row>
      <xdr:rowOff>149679</xdr:rowOff>
    </xdr:to>
    <xdr:pic>
      <xdr:nvPicPr>
        <xdr:cNvPr id="89736" name="522">
          <a:extLst>
            <a:ext uri="{FF2B5EF4-FFF2-40B4-BE49-F238E27FC236}">
              <a16:creationId xmlns:a16="http://schemas.microsoft.com/office/drawing/2014/main" id="{C7D7F27A-800A-EE86-6511-CAF291A2D781}"/>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11436" y="15003236"/>
          <a:ext cx="293914" cy="152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fLocksWithSheet="0"/>
  </xdr:twoCellAnchor>
  <xdr:twoCellAnchor editAs="oneCell">
    <xdr:from>
      <xdr:col>2</xdr:col>
      <xdr:colOff>446314</xdr:colOff>
      <xdr:row>66</xdr:row>
      <xdr:rowOff>38100</xdr:rowOff>
    </xdr:from>
    <xdr:to>
      <xdr:col>3</xdr:col>
      <xdr:colOff>242207</xdr:colOff>
      <xdr:row>72</xdr:row>
      <xdr:rowOff>8164</xdr:rowOff>
    </xdr:to>
    <xdr:pic>
      <xdr:nvPicPr>
        <xdr:cNvPr id="89737" name="517">
          <a:extLst>
            <a:ext uri="{FF2B5EF4-FFF2-40B4-BE49-F238E27FC236}">
              <a16:creationId xmlns:a16="http://schemas.microsoft.com/office/drawing/2014/main" id="{93E65D1B-8413-2A1D-14C2-A05B5B658C69}"/>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41714" y="13234307"/>
          <a:ext cx="443593" cy="103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547007</xdr:colOff>
      <xdr:row>76</xdr:row>
      <xdr:rowOff>0</xdr:rowOff>
    </xdr:from>
    <xdr:to>
      <xdr:col>3</xdr:col>
      <xdr:colOff>182336</xdr:colOff>
      <xdr:row>90</xdr:row>
      <xdr:rowOff>0</xdr:rowOff>
    </xdr:to>
    <xdr:pic>
      <xdr:nvPicPr>
        <xdr:cNvPr id="89738" name="601">
          <a:extLst>
            <a:ext uri="{FF2B5EF4-FFF2-40B4-BE49-F238E27FC236}">
              <a16:creationId xmlns:a16="http://schemas.microsoft.com/office/drawing/2014/main" id="{E641D73A-FB0F-434C-DA3A-5E111BA1CB12}"/>
            </a:ext>
          </a:extLst>
        </xdr:cNvPr>
        <xdr:cNvPicPr preferRelativeResize="0">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42407" y="14965136"/>
          <a:ext cx="283029"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3</xdr:col>
      <xdr:colOff>312964</xdr:colOff>
      <xdr:row>56</xdr:row>
      <xdr:rowOff>0</xdr:rowOff>
    </xdr:from>
    <xdr:to>
      <xdr:col>3</xdr:col>
      <xdr:colOff>606879</xdr:colOff>
      <xdr:row>65</xdr:row>
      <xdr:rowOff>138793</xdr:rowOff>
    </xdr:to>
    <xdr:pic>
      <xdr:nvPicPr>
        <xdr:cNvPr id="89739" name="602">
          <a:extLst>
            <a:ext uri="{FF2B5EF4-FFF2-40B4-BE49-F238E27FC236}">
              <a16:creationId xmlns:a16="http://schemas.microsoft.com/office/drawing/2014/main" id="{BD2D8535-CBBE-0B4C-5A7C-E08571930242}"/>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56064" y="11427279"/>
          <a:ext cx="293915" cy="173082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595993</xdr:colOff>
      <xdr:row>56</xdr:row>
      <xdr:rowOff>92529</xdr:rowOff>
    </xdr:from>
    <xdr:to>
      <xdr:col>7</xdr:col>
      <xdr:colOff>212271</xdr:colOff>
      <xdr:row>73</xdr:row>
      <xdr:rowOff>46264</xdr:rowOff>
    </xdr:to>
    <xdr:pic>
      <xdr:nvPicPr>
        <xdr:cNvPr id="89740" name="603">
          <a:extLst>
            <a:ext uri="{FF2B5EF4-FFF2-40B4-BE49-F238E27FC236}">
              <a16:creationId xmlns:a16="http://schemas.microsoft.com/office/drawing/2014/main" id="{937AF4C5-57DF-9DF2-69AF-D062EAC435C9}"/>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482193" y="11519807"/>
          <a:ext cx="263978" cy="2960914"/>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8</xdr:col>
      <xdr:colOff>517071</xdr:colOff>
      <xdr:row>56</xdr:row>
      <xdr:rowOff>65314</xdr:rowOff>
    </xdr:from>
    <xdr:to>
      <xdr:col>9</xdr:col>
      <xdr:colOff>152400</xdr:colOff>
      <xdr:row>78</xdr:row>
      <xdr:rowOff>38100</xdr:rowOff>
    </xdr:to>
    <xdr:pic>
      <xdr:nvPicPr>
        <xdr:cNvPr id="89741" name="604">
          <a:extLst>
            <a:ext uri="{FF2B5EF4-FFF2-40B4-BE49-F238E27FC236}">
              <a16:creationId xmlns:a16="http://schemas.microsoft.com/office/drawing/2014/main" id="{3E5BDA98-678C-9EC0-317A-8DFE42B6C2F9}"/>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698671" y="11492593"/>
          <a:ext cx="283029" cy="386442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487136</xdr:colOff>
      <xdr:row>66</xdr:row>
      <xdr:rowOff>38100</xdr:rowOff>
    </xdr:from>
    <xdr:to>
      <xdr:col>5</xdr:col>
      <xdr:colOff>182336</xdr:colOff>
      <xdr:row>77</xdr:row>
      <xdr:rowOff>84364</xdr:rowOff>
    </xdr:to>
    <xdr:pic>
      <xdr:nvPicPr>
        <xdr:cNvPr id="89742" name="605">
          <a:extLst>
            <a:ext uri="{FF2B5EF4-FFF2-40B4-BE49-F238E27FC236}">
              <a16:creationId xmlns:a16="http://schemas.microsoft.com/office/drawing/2014/main" id="{7EF29B8A-AB23-F5FC-76B1-F3357CFDBC93}"/>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77936" y="13234307"/>
          <a:ext cx="342900" cy="1992086"/>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342900</xdr:colOff>
      <xdr:row>66</xdr:row>
      <xdr:rowOff>38100</xdr:rowOff>
    </xdr:from>
    <xdr:to>
      <xdr:col>1</xdr:col>
      <xdr:colOff>253093</xdr:colOff>
      <xdr:row>72</xdr:row>
      <xdr:rowOff>0</xdr:rowOff>
    </xdr:to>
    <xdr:pic>
      <xdr:nvPicPr>
        <xdr:cNvPr id="89743" name="506">
          <a:extLst>
            <a:ext uri="{FF2B5EF4-FFF2-40B4-BE49-F238E27FC236}">
              <a16:creationId xmlns:a16="http://schemas.microsoft.com/office/drawing/2014/main" id="{8FC445D6-EB1E-179B-4D32-FA2B55875DDC}"/>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42900" y="13234307"/>
          <a:ext cx="557893" cy="102325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413657</xdr:colOff>
      <xdr:row>56</xdr:row>
      <xdr:rowOff>73479</xdr:rowOff>
    </xdr:from>
    <xdr:to>
      <xdr:col>5</xdr:col>
      <xdr:colOff>272143</xdr:colOff>
      <xdr:row>62</xdr:row>
      <xdr:rowOff>130629</xdr:rowOff>
    </xdr:to>
    <xdr:pic>
      <xdr:nvPicPr>
        <xdr:cNvPr id="89744" name="520">
          <a:extLst>
            <a:ext uri="{FF2B5EF4-FFF2-40B4-BE49-F238E27FC236}">
              <a16:creationId xmlns:a16="http://schemas.microsoft.com/office/drawing/2014/main" id="{CC9BF2DE-8930-B389-679A-06E0AC9F77C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004457" y="11500757"/>
          <a:ext cx="506186" cy="111850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476250</xdr:colOff>
      <xdr:row>76</xdr:row>
      <xdr:rowOff>57150</xdr:rowOff>
    </xdr:from>
    <xdr:to>
      <xdr:col>1</xdr:col>
      <xdr:colOff>141514</xdr:colOff>
      <xdr:row>84</xdr:row>
      <xdr:rowOff>65314</xdr:rowOff>
    </xdr:to>
    <xdr:pic>
      <xdr:nvPicPr>
        <xdr:cNvPr id="89745" name="516">
          <a:extLst>
            <a:ext uri="{FF2B5EF4-FFF2-40B4-BE49-F238E27FC236}">
              <a16:creationId xmlns:a16="http://schemas.microsoft.com/office/drawing/2014/main" id="{F2B674EF-7BC6-3D96-631A-B65990188431}"/>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76250" y="15022286"/>
          <a:ext cx="312964" cy="142330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130629</xdr:colOff>
      <xdr:row>104</xdr:row>
      <xdr:rowOff>130629</xdr:rowOff>
    </xdr:from>
    <xdr:to>
      <xdr:col>2</xdr:col>
      <xdr:colOff>405493</xdr:colOff>
      <xdr:row>127</xdr:row>
      <xdr:rowOff>149679</xdr:rowOff>
    </xdr:to>
    <xdr:pic>
      <xdr:nvPicPr>
        <xdr:cNvPr id="89746" name="20000">
          <a:extLst>
            <a:ext uri="{FF2B5EF4-FFF2-40B4-BE49-F238E27FC236}">
              <a16:creationId xmlns:a16="http://schemas.microsoft.com/office/drawing/2014/main" id="{57502499-7819-0493-3C7E-8EC4710CE432}"/>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0629" y="20048764"/>
          <a:ext cx="1570264" cy="4087586"/>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394607</xdr:colOff>
      <xdr:row>104</xdr:row>
      <xdr:rowOff>46264</xdr:rowOff>
    </xdr:from>
    <xdr:to>
      <xdr:col>14</xdr:col>
      <xdr:colOff>566057</xdr:colOff>
      <xdr:row>109</xdr:row>
      <xdr:rowOff>46264</xdr:rowOff>
    </xdr:to>
    <xdr:pic>
      <xdr:nvPicPr>
        <xdr:cNvPr id="89747" name="21000">
          <a:extLst>
            <a:ext uri="{FF2B5EF4-FFF2-40B4-BE49-F238E27FC236}">
              <a16:creationId xmlns:a16="http://schemas.microsoft.com/office/drawing/2014/main" id="{C1592EED-74F8-8BF0-4CB2-092E614F45CF}"/>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337707" y="19964400"/>
          <a:ext cx="7296150" cy="884464"/>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xdr:from>
      <xdr:col>2</xdr:col>
      <xdr:colOff>70757</xdr:colOff>
      <xdr:row>134</xdr:row>
      <xdr:rowOff>138793</xdr:rowOff>
    </xdr:from>
    <xdr:to>
      <xdr:col>3</xdr:col>
      <xdr:colOff>51707</xdr:colOff>
      <xdr:row>136</xdr:row>
      <xdr:rowOff>103414</xdr:rowOff>
    </xdr:to>
    <xdr:sp macro="" textlink="">
      <xdr:nvSpPr>
        <xdr:cNvPr id="89748" name="13000">
          <a:extLst>
            <a:ext uri="{FF2B5EF4-FFF2-40B4-BE49-F238E27FC236}">
              <a16:creationId xmlns:a16="http://schemas.microsoft.com/office/drawing/2014/main" id="{D4CCD6DB-9512-1939-0085-31B017A90FFD}"/>
            </a:ext>
          </a:extLst>
        </xdr:cNvPr>
        <xdr:cNvSpPr>
          <a:spLocks/>
        </xdr:cNvSpPr>
      </xdr:nvSpPr>
      <xdr:spPr bwMode="auto">
        <a:xfrm flipH="1" flipV="1">
          <a:off x="1366157" y="25363714"/>
          <a:ext cx="628650" cy="318407"/>
        </a:xfrm>
        <a:custGeom>
          <a:avLst/>
          <a:gdLst>
            <a:gd name="T0" fmla="*/ 0 w 21600"/>
            <a:gd name="T1" fmla="*/ 0 h 21600"/>
            <a:gd name="T2" fmla="*/ 17187466 w 21600"/>
            <a:gd name="T3" fmla="*/ 4773894 h 21600"/>
            <a:gd name="T4" fmla="*/ 0 w 21600"/>
            <a:gd name="T5" fmla="*/ 4773894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xdr:from>
      <xdr:col>0</xdr:col>
      <xdr:colOff>566057</xdr:colOff>
      <xdr:row>134</xdr:row>
      <xdr:rowOff>149679</xdr:rowOff>
    </xdr:from>
    <xdr:to>
      <xdr:col>1</xdr:col>
      <xdr:colOff>517071</xdr:colOff>
      <xdr:row>136</xdr:row>
      <xdr:rowOff>149679</xdr:rowOff>
    </xdr:to>
    <xdr:sp macro="" textlink="">
      <xdr:nvSpPr>
        <xdr:cNvPr id="89749" name="12000">
          <a:extLst>
            <a:ext uri="{FF2B5EF4-FFF2-40B4-BE49-F238E27FC236}">
              <a16:creationId xmlns:a16="http://schemas.microsoft.com/office/drawing/2014/main" id="{A25E765E-BAC7-575E-6479-0355E961E0A9}"/>
            </a:ext>
          </a:extLst>
        </xdr:cNvPr>
        <xdr:cNvSpPr>
          <a:spLocks/>
        </xdr:cNvSpPr>
      </xdr:nvSpPr>
      <xdr:spPr bwMode="auto">
        <a:xfrm flipH="1" flipV="1">
          <a:off x="566057" y="25374600"/>
          <a:ext cx="598714" cy="353786"/>
        </a:xfrm>
        <a:custGeom>
          <a:avLst/>
          <a:gdLst>
            <a:gd name="T0" fmla="*/ 0 w 21600"/>
            <a:gd name="T1" fmla="*/ 0 h 21600"/>
            <a:gd name="T2" fmla="*/ 15576958 w 21600"/>
            <a:gd name="T3" fmla="*/ 5928372 h 21600"/>
            <a:gd name="T4" fmla="*/ 0 w 21600"/>
            <a:gd name="T5" fmla="*/ 5928372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51707</xdr:colOff>
      <xdr:row>128</xdr:row>
      <xdr:rowOff>119743</xdr:rowOff>
    </xdr:from>
    <xdr:to>
      <xdr:col>11</xdr:col>
      <xdr:colOff>617764</xdr:colOff>
      <xdr:row>130</xdr:row>
      <xdr:rowOff>0</xdr:rowOff>
    </xdr:to>
    <xdr:pic>
      <xdr:nvPicPr>
        <xdr:cNvPr id="89750" name="14000">
          <a:extLst>
            <a:ext uri="{FF2B5EF4-FFF2-40B4-BE49-F238E27FC236}">
              <a16:creationId xmlns:a16="http://schemas.microsoft.com/office/drawing/2014/main" id="{AA7D26DA-3341-26CC-4E1A-B47B319BC25F}"/>
            </a:ext>
          </a:extLst>
        </xdr:cNvPr>
        <xdr:cNvPicPr preferRelativeResize="0">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176407" y="24283307"/>
          <a:ext cx="566057" cy="2340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xdr:col>
      <xdr:colOff>89807</xdr:colOff>
      <xdr:row>139</xdr:row>
      <xdr:rowOff>103414</xdr:rowOff>
    </xdr:from>
    <xdr:to>
      <xdr:col>2</xdr:col>
      <xdr:colOff>405493</xdr:colOff>
      <xdr:row>141</xdr:row>
      <xdr:rowOff>149679</xdr:rowOff>
    </xdr:to>
    <xdr:pic>
      <xdr:nvPicPr>
        <xdr:cNvPr id="89751" name="15000">
          <a:extLst>
            <a:ext uri="{FF2B5EF4-FFF2-40B4-BE49-F238E27FC236}">
              <a16:creationId xmlns:a16="http://schemas.microsoft.com/office/drawing/2014/main" id="{1495105A-64E1-77E2-397F-DDDA676C1D4A}"/>
            </a:ext>
          </a:extLst>
        </xdr:cNvPr>
        <xdr:cNvPicPr preferRelativeResize="0">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37507" y="26212800"/>
          <a:ext cx="963386" cy="4000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10</xdr:col>
      <xdr:colOff>525236</xdr:colOff>
      <xdr:row>123</xdr:row>
      <xdr:rowOff>130629</xdr:rowOff>
    </xdr:from>
    <xdr:to>
      <xdr:col>12</xdr:col>
      <xdr:colOff>141514</xdr:colOff>
      <xdr:row>125</xdr:row>
      <xdr:rowOff>57150</xdr:rowOff>
    </xdr:to>
    <xdr:pic>
      <xdr:nvPicPr>
        <xdr:cNvPr id="89752" name="16000">
          <a:extLst>
            <a:ext uri="{FF2B5EF4-FFF2-40B4-BE49-F238E27FC236}">
              <a16:creationId xmlns:a16="http://schemas.microsoft.com/office/drawing/2014/main" id="{D9515249-9787-62D9-0A63-2E1A06E94425}"/>
            </a:ext>
          </a:extLst>
        </xdr:cNvPr>
        <xdr:cNvPicPr preferRelativeResize="0">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002236" y="23409729"/>
          <a:ext cx="911678" cy="28030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424543</xdr:colOff>
      <xdr:row>141</xdr:row>
      <xdr:rowOff>46264</xdr:rowOff>
    </xdr:from>
    <xdr:to>
      <xdr:col>7</xdr:col>
      <xdr:colOff>536121</xdr:colOff>
      <xdr:row>142</xdr:row>
      <xdr:rowOff>157843</xdr:rowOff>
    </xdr:to>
    <xdr:pic>
      <xdr:nvPicPr>
        <xdr:cNvPr id="89753" name="17000">
          <a:extLst>
            <a:ext uri="{FF2B5EF4-FFF2-40B4-BE49-F238E27FC236}">
              <a16:creationId xmlns:a16="http://schemas.microsoft.com/office/drawing/2014/main" id="{3114617E-7B53-55F4-C619-65E46A35335E}"/>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310743" y="26509436"/>
          <a:ext cx="759278" cy="288471"/>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10</xdr:col>
      <xdr:colOff>517071</xdr:colOff>
      <xdr:row>143</xdr:row>
      <xdr:rowOff>149679</xdr:rowOff>
    </xdr:from>
    <xdr:to>
      <xdr:col>12</xdr:col>
      <xdr:colOff>242207</xdr:colOff>
      <xdr:row>147</xdr:row>
      <xdr:rowOff>73479</xdr:rowOff>
    </xdr:to>
    <xdr:pic>
      <xdr:nvPicPr>
        <xdr:cNvPr id="89754" name="18000">
          <a:extLst>
            <a:ext uri="{FF2B5EF4-FFF2-40B4-BE49-F238E27FC236}">
              <a16:creationId xmlns:a16="http://schemas.microsoft.com/office/drawing/2014/main" id="{4D54A3B7-95EC-4A29-5258-ADB5EBE75045}"/>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994071" y="26966636"/>
          <a:ext cx="1020536" cy="631371"/>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10</xdr:col>
      <xdr:colOff>547007</xdr:colOff>
      <xdr:row>133</xdr:row>
      <xdr:rowOff>57150</xdr:rowOff>
    </xdr:from>
    <xdr:to>
      <xdr:col>12</xdr:col>
      <xdr:colOff>182336</xdr:colOff>
      <xdr:row>134</xdr:row>
      <xdr:rowOff>111579</xdr:rowOff>
    </xdr:to>
    <xdr:pic>
      <xdr:nvPicPr>
        <xdr:cNvPr id="89755" name="19000">
          <a:extLst>
            <a:ext uri="{FF2B5EF4-FFF2-40B4-BE49-F238E27FC236}">
              <a16:creationId xmlns:a16="http://schemas.microsoft.com/office/drawing/2014/main" id="{E987A11D-0931-F0AC-0A79-D05CCD7BFD3A}"/>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024007" y="25105179"/>
          <a:ext cx="930729" cy="231321"/>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536121</xdr:colOff>
      <xdr:row>145</xdr:row>
      <xdr:rowOff>46264</xdr:rowOff>
    </xdr:from>
    <xdr:to>
      <xdr:col>8</xdr:col>
      <xdr:colOff>525236</xdr:colOff>
      <xdr:row>149</xdr:row>
      <xdr:rowOff>0</xdr:rowOff>
    </xdr:to>
    <xdr:pic>
      <xdr:nvPicPr>
        <xdr:cNvPr id="89756" name="22000">
          <a:extLst>
            <a:ext uri="{FF2B5EF4-FFF2-40B4-BE49-F238E27FC236}">
              <a16:creationId xmlns:a16="http://schemas.microsoft.com/office/drawing/2014/main" id="{0983C029-607D-58A5-EDF6-6A65A3C127B1}"/>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422321" y="27217007"/>
          <a:ext cx="1284515" cy="66130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2</xdr:col>
      <xdr:colOff>424543</xdr:colOff>
      <xdr:row>152</xdr:row>
      <xdr:rowOff>38100</xdr:rowOff>
    </xdr:from>
    <xdr:to>
      <xdr:col>3</xdr:col>
      <xdr:colOff>272143</xdr:colOff>
      <xdr:row>153</xdr:row>
      <xdr:rowOff>103414</xdr:rowOff>
    </xdr:to>
    <xdr:pic>
      <xdr:nvPicPr>
        <xdr:cNvPr id="89757" name="23000">
          <a:extLst>
            <a:ext uri="{FF2B5EF4-FFF2-40B4-BE49-F238E27FC236}">
              <a16:creationId xmlns:a16="http://schemas.microsoft.com/office/drawing/2014/main" id="{6D593F36-FB0F-A5B7-F0C6-B53FCEEA6A11}"/>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19943" y="28447093"/>
          <a:ext cx="495300" cy="24220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446314</xdr:colOff>
      <xdr:row>152</xdr:row>
      <xdr:rowOff>46264</xdr:rowOff>
    </xdr:from>
    <xdr:to>
      <xdr:col>5</xdr:col>
      <xdr:colOff>223157</xdr:colOff>
      <xdr:row>153</xdr:row>
      <xdr:rowOff>149679</xdr:rowOff>
    </xdr:to>
    <xdr:pic>
      <xdr:nvPicPr>
        <xdr:cNvPr id="89758" name="24000">
          <a:extLst>
            <a:ext uri="{FF2B5EF4-FFF2-40B4-BE49-F238E27FC236}">
              <a16:creationId xmlns:a16="http://schemas.microsoft.com/office/drawing/2014/main" id="{04A5080E-D275-DE32-B3A9-D6B489E826F1}"/>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037114" y="28455257"/>
          <a:ext cx="424543" cy="28030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312964</xdr:colOff>
      <xdr:row>152</xdr:row>
      <xdr:rowOff>38100</xdr:rowOff>
    </xdr:from>
    <xdr:to>
      <xdr:col>7</xdr:col>
      <xdr:colOff>495300</xdr:colOff>
      <xdr:row>153</xdr:row>
      <xdr:rowOff>8164</xdr:rowOff>
    </xdr:to>
    <xdr:pic>
      <xdr:nvPicPr>
        <xdr:cNvPr id="89759" name="26000">
          <a:extLst>
            <a:ext uri="{FF2B5EF4-FFF2-40B4-BE49-F238E27FC236}">
              <a16:creationId xmlns:a16="http://schemas.microsoft.com/office/drawing/2014/main" id="{F036227F-D75D-EBAD-E63D-11BF4FB279C4}"/>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199164" y="28447093"/>
          <a:ext cx="830036" cy="14695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141514</xdr:colOff>
      <xdr:row>145</xdr:row>
      <xdr:rowOff>103414</xdr:rowOff>
    </xdr:from>
    <xdr:to>
      <xdr:col>4</xdr:col>
      <xdr:colOff>312964</xdr:colOff>
      <xdr:row>147</xdr:row>
      <xdr:rowOff>157843</xdr:rowOff>
    </xdr:to>
    <xdr:pic>
      <xdr:nvPicPr>
        <xdr:cNvPr id="89760" name="27000">
          <a:extLst>
            <a:ext uri="{FF2B5EF4-FFF2-40B4-BE49-F238E27FC236}">
              <a16:creationId xmlns:a16="http://schemas.microsoft.com/office/drawing/2014/main" id="{B3493F8F-C446-262A-4092-01CB536F0753}"/>
            </a:ext>
          </a:extLst>
        </xdr:cNvPr>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084614" y="27274157"/>
          <a:ext cx="819150" cy="408214"/>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201386</xdr:colOff>
      <xdr:row>145</xdr:row>
      <xdr:rowOff>103414</xdr:rowOff>
    </xdr:from>
    <xdr:to>
      <xdr:col>1</xdr:col>
      <xdr:colOff>383721</xdr:colOff>
      <xdr:row>148</xdr:row>
      <xdr:rowOff>111579</xdr:rowOff>
    </xdr:to>
    <xdr:pic>
      <xdr:nvPicPr>
        <xdr:cNvPr id="89761" name="32000">
          <a:extLst>
            <a:ext uri="{FF2B5EF4-FFF2-40B4-BE49-F238E27FC236}">
              <a16:creationId xmlns:a16="http://schemas.microsoft.com/office/drawing/2014/main" id="{D51F8EE5-F107-1E1C-096E-F8B8C040CEDC}"/>
            </a:ext>
          </a:extLst>
        </xdr:cNvPr>
        <xdr:cNvPicPr>
          <a:picLocks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01386" y="27274157"/>
          <a:ext cx="830035" cy="5388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446314</xdr:colOff>
      <xdr:row>156</xdr:row>
      <xdr:rowOff>130629</xdr:rowOff>
    </xdr:from>
    <xdr:to>
      <xdr:col>5</xdr:col>
      <xdr:colOff>342900</xdr:colOff>
      <xdr:row>158</xdr:row>
      <xdr:rowOff>38100</xdr:rowOff>
    </xdr:to>
    <xdr:pic>
      <xdr:nvPicPr>
        <xdr:cNvPr id="89762" name="34000">
          <a:extLst>
            <a:ext uri="{FF2B5EF4-FFF2-40B4-BE49-F238E27FC236}">
              <a16:creationId xmlns:a16="http://schemas.microsoft.com/office/drawing/2014/main" id="{9E2D1E7E-AA07-D4FA-3549-1211600DBC27}"/>
            </a:ext>
          </a:extLst>
        </xdr:cNvPr>
        <xdr:cNvPicPr>
          <a:picLocks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037114" y="29247193"/>
          <a:ext cx="544286" cy="26125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334736</xdr:colOff>
      <xdr:row>156</xdr:row>
      <xdr:rowOff>73479</xdr:rowOff>
    </xdr:from>
    <xdr:to>
      <xdr:col>7</xdr:col>
      <xdr:colOff>495300</xdr:colOff>
      <xdr:row>158</xdr:row>
      <xdr:rowOff>19050</xdr:rowOff>
    </xdr:to>
    <xdr:pic>
      <xdr:nvPicPr>
        <xdr:cNvPr id="89763" name="35000">
          <a:extLst>
            <a:ext uri="{FF2B5EF4-FFF2-40B4-BE49-F238E27FC236}">
              <a16:creationId xmlns:a16="http://schemas.microsoft.com/office/drawing/2014/main" id="{19A09171-1845-9BDB-C000-4CC7B1E6DC32}"/>
            </a:ext>
          </a:extLst>
        </xdr:cNvPr>
        <xdr:cNvPicPr>
          <a:picLocks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220936" y="29190043"/>
          <a:ext cx="808264" cy="29935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8</xdr:col>
      <xdr:colOff>364671</xdr:colOff>
      <xdr:row>156</xdr:row>
      <xdr:rowOff>84364</xdr:rowOff>
    </xdr:from>
    <xdr:to>
      <xdr:col>9</xdr:col>
      <xdr:colOff>413657</xdr:colOff>
      <xdr:row>157</xdr:row>
      <xdr:rowOff>57150</xdr:rowOff>
    </xdr:to>
    <xdr:pic>
      <xdr:nvPicPr>
        <xdr:cNvPr id="89764" name="37000">
          <a:extLst>
            <a:ext uri="{FF2B5EF4-FFF2-40B4-BE49-F238E27FC236}">
              <a16:creationId xmlns:a16="http://schemas.microsoft.com/office/drawing/2014/main" id="{CE791F96-D4BF-EF3B-4D16-EE0EC5C2D042}"/>
            </a:ext>
          </a:extLst>
        </xdr:cNvPr>
        <xdr:cNvPicPr>
          <a:picLocks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546271" y="29200929"/>
          <a:ext cx="696686" cy="14967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10</xdr:col>
      <xdr:colOff>517071</xdr:colOff>
      <xdr:row>156</xdr:row>
      <xdr:rowOff>84364</xdr:rowOff>
    </xdr:from>
    <xdr:to>
      <xdr:col>11</xdr:col>
      <xdr:colOff>152400</xdr:colOff>
      <xdr:row>157</xdr:row>
      <xdr:rowOff>46264</xdr:rowOff>
    </xdr:to>
    <xdr:pic>
      <xdr:nvPicPr>
        <xdr:cNvPr id="89765" name="39000">
          <a:extLst>
            <a:ext uri="{FF2B5EF4-FFF2-40B4-BE49-F238E27FC236}">
              <a16:creationId xmlns:a16="http://schemas.microsoft.com/office/drawing/2014/main" id="{738C0123-B0E8-EBE4-607A-2D0CD1359737}"/>
            </a:ext>
          </a:extLst>
        </xdr:cNvPr>
        <xdr:cNvPicPr>
          <a:picLocks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994071" y="29200929"/>
          <a:ext cx="283029" cy="138792"/>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2</xdr:col>
      <xdr:colOff>465364</xdr:colOff>
      <xdr:row>160</xdr:row>
      <xdr:rowOff>119743</xdr:rowOff>
    </xdr:from>
    <xdr:to>
      <xdr:col>3</xdr:col>
      <xdr:colOff>253093</xdr:colOff>
      <xdr:row>161</xdr:row>
      <xdr:rowOff>130629</xdr:rowOff>
    </xdr:to>
    <xdr:pic>
      <xdr:nvPicPr>
        <xdr:cNvPr id="89766" name="41000">
          <a:extLst>
            <a:ext uri="{FF2B5EF4-FFF2-40B4-BE49-F238E27FC236}">
              <a16:creationId xmlns:a16="http://schemas.microsoft.com/office/drawing/2014/main" id="{556A737D-BAE4-D5E1-9AA5-272C15CDDA5F}"/>
            </a:ext>
          </a:extLst>
        </xdr:cNvPr>
        <xdr:cNvPicPr>
          <a:picLocks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760764" y="29943879"/>
          <a:ext cx="435429" cy="18777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465364</xdr:colOff>
      <xdr:row>160</xdr:row>
      <xdr:rowOff>65314</xdr:rowOff>
    </xdr:from>
    <xdr:to>
      <xdr:col>5</xdr:col>
      <xdr:colOff>253093</xdr:colOff>
      <xdr:row>163</xdr:row>
      <xdr:rowOff>57150</xdr:rowOff>
    </xdr:to>
    <xdr:pic>
      <xdr:nvPicPr>
        <xdr:cNvPr id="89767" name="42000">
          <a:extLst>
            <a:ext uri="{FF2B5EF4-FFF2-40B4-BE49-F238E27FC236}">
              <a16:creationId xmlns:a16="http://schemas.microsoft.com/office/drawing/2014/main" id="{441A6011-E09A-6B17-FCFD-7D8C12776401}"/>
            </a:ext>
          </a:extLst>
        </xdr:cNvPr>
        <xdr:cNvPicPr>
          <a:picLocks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056164" y="29889450"/>
          <a:ext cx="435429" cy="522514"/>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10</xdr:col>
      <xdr:colOff>293914</xdr:colOff>
      <xdr:row>152</xdr:row>
      <xdr:rowOff>65314</xdr:rowOff>
    </xdr:from>
    <xdr:to>
      <xdr:col>11</xdr:col>
      <xdr:colOff>234043</xdr:colOff>
      <xdr:row>153</xdr:row>
      <xdr:rowOff>130629</xdr:rowOff>
    </xdr:to>
    <xdr:pic>
      <xdr:nvPicPr>
        <xdr:cNvPr id="89768" name="29000">
          <a:extLst>
            <a:ext uri="{FF2B5EF4-FFF2-40B4-BE49-F238E27FC236}">
              <a16:creationId xmlns:a16="http://schemas.microsoft.com/office/drawing/2014/main" id="{27513979-1587-38D2-147F-911995A04AD9}"/>
            </a:ext>
          </a:extLst>
        </xdr:cNvPr>
        <xdr:cNvPicPr>
          <a:picLocks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770914" y="28474307"/>
          <a:ext cx="587829" cy="24220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364671</xdr:colOff>
      <xdr:row>156</xdr:row>
      <xdr:rowOff>73479</xdr:rowOff>
    </xdr:from>
    <xdr:to>
      <xdr:col>1</xdr:col>
      <xdr:colOff>283029</xdr:colOff>
      <xdr:row>157</xdr:row>
      <xdr:rowOff>111579</xdr:rowOff>
    </xdr:to>
    <xdr:pic>
      <xdr:nvPicPr>
        <xdr:cNvPr id="89769" name="30000">
          <a:extLst>
            <a:ext uri="{FF2B5EF4-FFF2-40B4-BE49-F238E27FC236}">
              <a16:creationId xmlns:a16="http://schemas.microsoft.com/office/drawing/2014/main" id="{65F55C8B-9814-46D5-C044-05272D7DB6B8}"/>
            </a:ext>
          </a:extLst>
        </xdr:cNvPr>
        <xdr:cNvPicPr>
          <a:picLocks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364671" y="29190043"/>
          <a:ext cx="566058" cy="21499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8</xdr:col>
      <xdr:colOff>383721</xdr:colOff>
      <xdr:row>152</xdr:row>
      <xdr:rowOff>84364</xdr:rowOff>
    </xdr:from>
    <xdr:to>
      <xdr:col>9</xdr:col>
      <xdr:colOff>342900</xdr:colOff>
      <xdr:row>153</xdr:row>
      <xdr:rowOff>103414</xdr:rowOff>
    </xdr:to>
    <xdr:pic>
      <xdr:nvPicPr>
        <xdr:cNvPr id="89770" name="28000">
          <a:extLst>
            <a:ext uri="{FF2B5EF4-FFF2-40B4-BE49-F238E27FC236}">
              <a16:creationId xmlns:a16="http://schemas.microsoft.com/office/drawing/2014/main" id="{8D0792A8-1F8C-17B4-852C-C1426D95AAE8}"/>
            </a:ext>
          </a:extLst>
        </xdr:cNvPr>
        <xdr:cNvPicPr>
          <a:picLocks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565321" y="28493357"/>
          <a:ext cx="606879" cy="1959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2</xdr:col>
      <xdr:colOff>446314</xdr:colOff>
      <xdr:row>156</xdr:row>
      <xdr:rowOff>84364</xdr:rowOff>
    </xdr:from>
    <xdr:to>
      <xdr:col>3</xdr:col>
      <xdr:colOff>293914</xdr:colOff>
      <xdr:row>157</xdr:row>
      <xdr:rowOff>111579</xdr:rowOff>
    </xdr:to>
    <xdr:pic>
      <xdr:nvPicPr>
        <xdr:cNvPr id="89771" name="33000">
          <a:extLst>
            <a:ext uri="{FF2B5EF4-FFF2-40B4-BE49-F238E27FC236}">
              <a16:creationId xmlns:a16="http://schemas.microsoft.com/office/drawing/2014/main" id="{68D48AE3-83D2-AD17-5698-71CB3D582A50}"/>
            </a:ext>
          </a:extLst>
        </xdr:cNvPr>
        <xdr:cNvPicPr>
          <a:picLocks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741714" y="29200929"/>
          <a:ext cx="495300" cy="20410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10</xdr:col>
      <xdr:colOff>595993</xdr:colOff>
      <xdr:row>137</xdr:row>
      <xdr:rowOff>19050</xdr:rowOff>
    </xdr:from>
    <xdr:to>
      <xdr:col>12</xdr:col>
      <xdr:colOff>89807</xdr:colOff>
      <xdr:row>139</xdr:row>
      <xdr:rowOff>157843</xdr:rowOff>
    </xdr:to>
    <xdr:pic>
      <xdr:nvPicPr>
        <xdr:cNvPr id="89772" name="36000">
          <a:extLst>
            <a:ext uri="{FF2B5EF4-FFF2-40B4-BE49-F238E27FC236}">
              <a16:creationId xmlns:a16="http://schemas.microsoft.com/office/drawing/2014/main" id="{88FD2A09-4A30-9576-A695-E11A88FA4547}"/>
            </a:ext>
          </a:extLst>
        </xdr:cNvPr>
        <xdr:cNvPicPr>
          <a:picLocks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072993" y="25774650"/>
          <a:ext cx="789214" cy="49257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364671</xdr:colOff>
      <xdr:row>152</xdr:row>
      <xdr:rowOff>119743</xdr:rowOff>
    </xdr:from>
    <xdr:to>
      <xdr:col>1</xdr:col>
      <xdr:colOff>242207</xdr:colOff>
      <xdr:row>154</xdr:row>
      <xdr:rowOff>0</xdr:rowOff>
    </xdr:to>
    <xdr:pic>
      <xdr:nvPicPr>
        <xdr:cNvPr id="89773" name="31000">
          <a:extLst>
            <a:ext uri="{FF2B5EF4-FFF2-40B4-BE49-F238E27FC236}">
              <a16:creationId xmlns:a16="http://schemas.microsoft.com/office/drawing/2014/main" id="{F0A53934-2098-451C-F8C3-2930F5171459}"/>
            </a:ext>
          </a:extLst>
        </xdr:cNvPr>
        <xdr:cNvPicPr>
          <a:picLocks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364671" y="28528736"/>
          <a:ext cx="525236" cy="2340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12</xdr:col>
      <xdr:colOff>312964</xdr:colOff>
      <xdr:row>151</xdr:row>
      <xdr:rowOff>38100</xdr:rowOff>
    </xdr:from>
    <xdr:to>
      <xdr:col>13</xdr:col>
      <xdr:colOff>454479</xdr:colOff>
      <xdr:row>153</xdr:row>
      <xdr:rowOff>149679</xdr:rowOff>
    </xdr:to>
    <xdr:pic>
      <xdr:nvPicPr>
        <xdr:cNvPr id="89774" name="38000">
          <a:extLst>
            <a:ext uri="{FF2B5EF4-FFF2-40B4-BE49-F238E27FC236}">
              <a16:creationId xmlns:a16="http://schemas.microsoft.com/office/drawing/2014/main" id="{2D96E905-36D9-8275-2617-518DEB2C600C}"/>
            </a:ext>
          </a:extLst>
        </xdr:cNvPr>
        <xdr:cNvPicPr>
          <a:picLocks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8085364" y="28270200"/>
          <a:ext cx="789215" cy="465364"/>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312964</xdr:colOff>
      <xdr:row>160</xdr:row>
      <xdr:rowOff>130629</xdr:rowOff>
    </xdr:from>
    <xdr:to>
      <xdr:col>9</xdr:col>
      <xdr:colOff>628650</xdr:colOff>
      <xdr:row>163</xdr:row>
      <xdr:rowOff>19050</xdr:rowOff>
    </xdr:to>
    <xdr:pic>
      <xdr:nvPicPr>
        <xdr:cNvPr id="89775" name="43000">
          <a:extLst>
            <a:ext uri="{FF2B5EF4-FFF2-40B4-BE49-F238E27FC236}">
              <a16:creationId xmlns:a16="http://schemas.microsoft.com/office/drawing/2014/main" id="{FFE0AAC9-2C0D-2DB1-93BB-A4613199589E}"/>
            </a:ext>
          </a:extLst>
        </xdr:cNvPr>
        <xdr:cNvPicPr>
          <a:picLocks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4199164" y="29954764"/>
          <a:ext cx="2258786" cy="4191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334736</xdr:colOff>
      <xdr:row>160</xdr:row>
      <xdr:rowOff>65314</xdr:rowOff>
    </xdr:from>
    <xdr:to>
      <xdr:col>1</xdr:col>
      <xdr:colOff>334736</xdr:colOff>
      <xdr:row>161</xdr:row>
      <xdr:rowOff>138793</xdr:rowOff>
    </xdr:to>
    <xdr:pic>
      <xdr:nvPicPr>
        <xdr:cNvPr id="89776" name="40000">
          <a:extLst>
            <a:ext uri="{FF2B5EF4-FFF2-40B4-BE49-F238E27FC236}">
              <a16:creationId xmlns:a16="http://schemas.microsoft.com/office/drawing/2014/main" id="{A19812E4-4577-0555-EE9F-7EB289C6E3AF}"/>
            </a:ext>
          </a:extLst>
        </xdr:cNvPr>
        <xdr:cNvPicPr>
          <a:picLocks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334736" y="29889450"/>
          <a:ext cx="647700" cy="250371"/>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10</xdr:col>
      <xdr:colOff>163286</xdr:colOff>
      <xdr:row>161</xdr:row>
      <xdr:rowOff>119743</xdr:rowOff>
    </xdr:from>
    <xdr:to>
      <xdr:col>14</xdr:col>
      <xdr:colOff>152400</xdr:colOff>
      <xdr:row>163</xdr:row>
      <xdr:rowOff>46264</xdr:rowOff>
    </xdr:to>
    <xdr:pic>
      <xdr:nvPicPr>
        <xdr:cNvPr id="89777" name="44000">
          <a:extLst>
            <a:ext uri="{FF2B5EF4-FFF2-40B4-BE49-F238E27FC236}">
              <a16:creationId xmlns:a16="http://schemas.microsoft.com/office/drawing/2014/main" id="{6C6631C1-2462-F54E-62EC-9C6DA4CF020D}"/>
            </a:ext>
          </a:extLst>
        </xdr:cNvPr>
        <xdr:cNvPicPr>
          <a:picLocks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640286" y="30120771"/>
          <a:ext cx="2579914" cy="28030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0</xdr:colOff>
      <xdr:row>173</xdr:row>
      <xdr:rowOff>8164</xdr:rowOff>
    </xdr:from>
    <xdr:to>
      <xdr:col>3</xdr:col>
      <xdr:colOff>242207</xdr:colOff>
      <xdr:row>176</xdr:row>
      <xdr:rowOff>51707</xdr:rowOff>
    </xdr:to>
    <xdr:pic>
      <xdr:nvPicPr>
        <xdr:cNvPr id="89778" name="14">
          <a:extLst>
            <a:ext uri="{FF2B5EF4-FFF2-40B4-BE49-F238E27FC236}">
              <a16:creationId xmlns:a16="http://schemas.microsoft.com/office/drawing/2014/main" id="{C477DCEC-C899-1E8C-64E8-ADD81F28C7A7}"/>
            </a:ext>
          </a:extLst>
        </xdr:cNvPr>
        <xdr:cNvPicPr>
          <a:picLocks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943100" y="32349621"/>
          <a:ext cx="242207" cy="7429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59871</xdr:colOff>
      <xdr:row>175</xdr:row>
      <xdr:rowOff>106136</xdr:rowOff>
    </xdr:from>
    <xdr:to>
      <xdr:col>0</xdr:col>
      <xdr:colOff>595993</xdr:colOff>
      <xdr:row>178</xdr:row>
      <xdr:rowOff>95250</xdr:rowOff>
    </xdr:to>
    <xdr:pic>
      <xdr:nvPicPr>
        <xdr:cNvPr id="89779" name="21">
          <a:extLst>
            <a:ext uri="{FF2B5EF4-FFF2-40B4-BE49-F238E27FC236}">
              <a16:creationId xmlns:a16="http://schemas.microsoft.com/office/drawing/2014/main" id="{2AEE475B-0372-06D4-65CD-7A29F3FEDB1D}"/>
            </a:ext>
          </a:extLst>
        </xdr:cNvPr>
        <xdr:cNvPicPr>
          <a:picLocks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59871" y="32910236"/>
          <a:ext cx="536122" cy="6912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5</xdr:col>
      <xdr:colOff>130629</xdr:colOff>
      <xdr:row>171</xdr:row>
      <xdr:rowOff>73479</xdr:rowOff>
    </xdr:from>
    <xdr:to>
      <xdr:col>6</xdr:col>
      <xdr:colOff>40821</xdr:colOff>
      <xdr:row>174</xdr:row>
      <xdr:rowOff>166007</xdr:rowOff>
    </xdr:to>
    <xdr:pic>
      <xdr:nvPicPr>
        <xdr:cNvPr id="89780" name="17">
          <a:extLst>
            <a:ext uri="{FF2B5EF4-FFF2-40B4-BE49-F238E27FC236}">
              <a16:creationId xmlns:a16="http://schemas.microsoft.com/office/drawing/2014/main" id="{EF8D136D-45F0-922C-0F05-EC69B8DFC6EC}"/>
            </a:ext>
          </a:extLst>
        </xdr:cNvPr>
        <xdr:cNvPicPr>
          <a:picLocks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3369129" y="32052986"/>
          <a:ext cx="557892" cy="688521"/>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234043</xdr:colOff>
      <xdr:row>168</xdr:row>
      <xdr:rowOff>204107</xdr:rowOff>
    </xdr:from>
    <xdr:to>
      <xdr:col>6</xdr:col>
      <xdr:colOff>446314</xdr:colOff>
      <xdr:row>171</xdr:row>
      <xdr:rowOff>130629</xdr:rowOff>
    </xdr:to>
    <xdr:pic>
      <xdr:nvPicPr>
        <xdr:cNvPr id="89781" name="8">
          <a:extLst>
            <a:ext uri="{FF2B5EF4-FFF2-40B4-BE49-F238E27FC236}">
              <a16:creationId xmlns:a16="http://schemas.microsoft.com/office/drawing/2014/main" id="{D81E4B79-E7B0-3034-4613-3A52AC2F1D8A}"/>
            </a:ext>
          </a:extLst>
        </xdr:cNvPr>
        <xdr:cNvPicPr>
          <a:picLocks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4120243" y="31609393"/>
          <a:ext cx="212271" cy="5007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636814</xdr:colOff>
      <xdr:row>174</xdr:row>
      <xdr:rowOff>51707</xdr:rowOff>
    </xdr:from>
    <xdr:to>
      <xdr:col>1</xdr:col>
      <xdr:colOff>566057</xdr:colOff>
      <xdr:row>177</xdr:row>
      <xdr:rowOff>43543</xdr:rowOff>
    </xdr:to>
    <xdr:pic>
      <xdr:nvPicPr>
        <xdr:cNvPr id="89782" name="22">
          <a:extLst>
            <a:ext uri="{FF2B5EF4-FFF2-40B4-BE49-F238E27FC236}">
              <a16:creationId xmlns:a16="http://schemas.microsoft.com/office/drawing/2014/main" id="{215C1BC3-0A15-307D-782B-6FA829B44DBF}"/>
            </a:ext>
          </a:extLst>
        </xdr:cNvPr>
        <xdr:cNvPicPr>
          <a:picLocks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36814" y="32627207"/>
          <a:ext cx="576943" cy="693964"/>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9</xdr:col>
      <xdr:colOff>212271</xdr:colOff>
      <xdr:row>168</xdr:row>
      <xdr:rowOff>92529</xdr:rowOff>
    </xdr:from>
    <xdr:to>
      <xdr:col>10</xdr:col>
      <xdr:colOff>111579</xdr:colOff>
      <xdr:row>171</xdr:row>
      <xdr:rowOff>168729</xdr:rowOff>
    </xdr:to>
    <xdr:pic>
      <xdr:nvPicPr>
        <xdr:cNvPr id="89783" name="31">
          <a:extLst>
            <a:ext uri="{FF2B5EF4-FFF2-40B4-BE49-F238E27FC236}">
              <a16:creationId xmlns:a16="http://schemas.microsoft.com/office/drawing/2014/main" id="{A8CDD313-D6C3-D0FA-EB25-394005AAE1D0}"/>
            </a:ext>
          </a:extLst>
        </xdr:cNvPr>
        <xdr:cNvPicPr>
          <a:picLocks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6041571" y="31525029"/>
          <a:ext cx="547008" cy="62320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19050</xdr:colOff>
      <xdr:row>180</xdr:row>
      <xdr:rowOff>78921</xdr:rowOff>
    </xdr:from>
    <xdr:to>
      <xdr:col>1</xdr:col>
      <xdr:colOff>10886</xdr:colOff>
      <xdr:row>184</xdr:row>
      <xdr:rowOff>43543</xdr:rowOff>
    </xdr:to>
    <xdr:pic>
      <xdr:nvPicPr>
        <xdr:cNvPr id="89784" name="34">
          <a:extLst>
            <a:ext uri="{FF2B5EF4-FFF2-40B4-BE49-F238E27FC236}">
              <a16:creationId xmlns:a16="http://schemas.microsoft.com/office/drawing/2014/main" id="{0F4895EE-8CF7-8477-2C55-6312838C02F9}"/>
            </a:ext>
          </a:extLst>
        </xdr:cNvPr>
        <xdr:cNvPicPr>
          <a:picLocks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9050" y="34050514"/>
          <a:ext cx="639536" cy="88446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xdr:col>
      <xdr:colOff>212271</xdr:colOff>
      <xdr:row>178</xdr:row>
      <xdr:rowOff>193221</xdr:rowOff>
    </xdr:from>
    <xdr:to>
      <xdr:col>1</xdr:col>
      <xdr:colOff>476250</xdr:colOff>
      <xdr:row>180</xdr:row>
      <xdr:rowOff>217714</xdr:rowOff>
    </xdr:to>
    <xdr:pic>
      <xdr:nvPicPr>
        <xdr:cNvPr id="89785" name="35">
          <a:extLst>
            <a:ext uri="{FF2B5EF4-FFF2-40B4-BE49-F238E27FC236}">
              <a16:creationId xmlns:a16="http://schemas.microsoft.com/office/drawing/2014/main" id="{FCC52136-D529-7FB0-0D6E-646FE9014FC1}"/>
            </a:ext>
          </a:extLst>
        </xdr:cNvPr>
        <xdr:cNvPicPr>
          <a:picLocks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859971" y="33699450"/>
          <a:ext cx="263979" cy="48985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7</xdr:col>
      <xdr:colOff>130629</xdr:colOff>
      <xdr:row>171</xdr:row>
      <xdr:rowOff>372836</xdr:rowOff>
    </xdr:from>
    <xdr:to>
      <xdr:col>7</xdr:col>
      <xdr:colOff>394607</xdr:colOff>
      <xdr:row>173</xdr:row>
      <xdr:rowOff>217714</xdr:rowOff>
    </xdr:to>
    <xdr:pic>
      <xdr:nvPicPr>
        <xdr:cNvPr id="89786" name="19">
          <a:extLst>
            <a:ext uri="{FF2B5EF4-FFF2-40B4-BE49-F238E27FC236}">
              <a16:creationId xmlns:a16="http://schemas.microsoft.com/office/drawing/2014/main" id="{AFF88101-7F16-E633-F2CA-AB030D850604}"/>
            </a:ext>
          </a:extLst>
        </xdr:cNvPr>
        <xdr:cNvPicPr>
          <a:picLocks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4664529" y="32156400"/>
          <a:ext cx="263978" cy="402771"/>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476250</xdr:colOff>
      <xdr:row>171</xdr:row>
      <xdr:rowOff>419100</xdr:rowOff>
    </xdr:from>
    <xdr:to>
      <xdr:col>4</xdr:col>
      <xdr:colOff>111579</xdr:colOff>
      <xdr:row>173</xdr:row>
      <xdr:rowOff>155121</xdr:rowOff>
    </xdr:to>
    <xdr:pic>
      <xdr:nvPicPr>
        <xdr:cNvPr id="89787" name="15">
          <a:extLst>
            <a:ext uri="{FF2B5EF4-FFF2-40B4-BE49-F238E27FC236}">
              <a16:creationId xmlns:a16="http://schemas.microsoft.com/office/drawing/2014/main" id="{8BD93F3A-F679-A30A-770D-6A23F104C833}"/>
            </a:ext>
          </a:extLst>
        </xdr:cNvPr>
        <xdr:cNvPicPr>
          <a:picLocks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2419350" y="32156400"/>
          <a:ext cx="283029" cy="34017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8</xdr:col>
      <xdr:colOff>163286</xdr:colOff>
      <xdr:row>167</xdr:row>
      <xdr:rowOff>103414</xdr:rowOff>
    </xdr:from>
    <xdr:to>
      <xdr:col>9</xdr:col>
      <xdr:colOff>0</xdr:colOff>
      <xdr:row>171</xdr:row>
      <xdr:rowOff>138793</xdr:rowOff>
    </xdr:to>
    <xdr:pic>
      <xdr:nvPicPr>
        <xdr:cNvPr id="89788" name="10">
          <a:extLst>
            <a:ext uri="{FF2B5EF4-FFF2-40B4-BE49-F238E27FC236}">
              <a16:creationId xmlns:a16="http://schemas.microsoft.com/office/drawing/2014/main" id="{9732E4D7-2892-A28B-CFB6-95FD7C76E59A}"/>
            </a:ext>
          </a:extLst>
        </xdr:cNvPr>
        <xdr:cNvPicPr>
          <a:picLocks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5344886" y="31359021"/>
          <a:ext cx="484414" cy="75927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2</xdr:col>
      <xdr:colOff>19050</xdr:colOff>
      <xdr:row>171</xdr:row>
      <xdr:rowOff>223157</xdr:rowOff>
    </xdr:from>
    <xdr:to>
      <xdr:col>2</xdr:col>
      <xdr:colOff>293914</xdr:colOff>
      <xdr:row>174</xdr:row>
      <xdr:rowOff>114300</xdr:rowOff>
    </xdr:to>
    <xdr:pic>
      <xdr:nvPicPr>
        <xdr:cNvPr id="89789" name="13">
          <a:extLst>
            <a:ext uri="{FF2B5EF4-FFF2-40B4-BE49-F238E27FC236}">
              <a16:creationId xmlns:a16="http://schemas.microsoft.com/office/drawing/2014/main" id="{FE8B9846-043B-BC1F-8460-632AA2090517}"/>
            </a:ext>
          </a:extLst>
        </xdr:cNvPr>
        <xdr:cNvPicPr>
          <a:picLocks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314450" y="32156400"/>
          <a:ext cx="274864" cy="533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394607</xdr:colOff>
      <xdr:row>172</xdr:row>
      <xdr:rowOff>38100</xdr:rowOff>
    </xdr:from>
    <xdr:to>
      <xdr:col>5</xdr:col>
      <xdr:colOff>10886</xdr:colOff>
      <xdr:row>173</xdr:row>
      <xdr:rowOff>155121</xdr:rowOff>
    </xdr:to>
    <xdr:pic>
      <xdr:nvPicPr>
        <xdr:cNvPr id="89790" name="16">
          <a:extLst>
            <a:ext uri="{FF2B5EF4-FFF2-40B4-BE49-F238E27FC236}">
              <a16:creationId xmlns:a16="http://schemas.microsoft.com/office/drawing/2014/main" id="{7D96A590-29B9-D679-85C0-B66864072721}"/>
            </a:ext>
          </a:extLst>
        </xdr:cNvPr>
        <xdr:cNvPicPr>
          <a:picLocks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2985407" y="32194500"/>
          <a:ext cx="263979" cy="30207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10</xdr:col>
      <xdr:colOff>547007</xdr:colOff>
      <xdr:row>171</xdr:row>
      <xdr:rowOff>103414</xdr:rowOff>
    </xdr:from>
    <xdr:to>
      <xdr:col>10</xdr:col>
      <xdr:colOff>606879</xdr:colOff>
      <xdr:row>175</xdr:row>
      <xdr:rowOff>185057</xdr:rowOff>
    </xdr:to>
    <xdr:pic>
      <xdr:nvPicPr>
        <xdr:cNvPr id="89791" name="11">
          <a:extLst>
            <a:ext uri="{FF2B5EF4-FFF2-40B4-BE49-F238E27FC236}">
              <a16:creationId xmlns:a16="http://schemas.microsoft.com/office/drawing/2014/main" id="{7D8B4AA0-66DD-8C97-1031-757463635F61}"/>
            </a:ext>
          </a:extLst>
        </xdr:cNvPr>
        <xdr:cNvPicPr>
          <a:picLocks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024007" y="32082921"/>
          <a:ext cx="59872" cy="906236"/>
        </a:xfrm>
        <a:prstGeom prst="rect">
          <a:avLst/>
        </a:prstGeom>
        <a:solidFill>
          <a:srgbClr val="FFFFFF"/>
        </a:solidFill>
        <a:ln w="9525">
          <a:solidFill>
            <a:srgbClr val="000000"/>
          </a:solidFill>
          <a:miter lim="800000"/>
          <a:headEnd/>
          <a:tailEnd/>
        </a:ln>
      </xdr:spPr>
    </xdr:pic>
    <xdr:clientData fLocksWithSheet="0"/>
  </xdr:twoCellAnchor>
  <xdr:twoCellAnchor editAs="oneCell">
    <xdr:from>
      <xdr:col>1</xdr:col>
      <xdr:colOff>81643</xdr:colOff>
      <xdr:row>170</xdr:row>
      <xdr:rowOff>332014</xdr:rowOff>
    </xdr:from>
    <xdr:to>
      <xdr:col>1</xdr:col>
      <xdr:colOff>465364</xdr:colOff>
      <xdr:row>174</xdr:row>
      <xdr:rowOff>209550</xdr:rowOff>
    </xdr:to>
    <xdr:pic>
      <xdr:nvPicPr>
        <xdr:cNvPr id="89792" name="12">
          <a:extLst>
            <a:ext uri="{FF2B5EF4-FFF2-40B4-BE49-F238E27FC236}">
              <a16:creationId xmlns:a16="http://schemas.microsoft.com/office/drawing/2014/main" id="{570797DE-67AA-6FFA-7E4C-2B6E1CA3195B}"/>
            </a:ext>
          </a:extLst>
        </xdr:cNvPr>
        <xdr:cNvPicPr>
          <a:picLocks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29343" y="31979507"/>
          <a:ext cx="383721" cy="8055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342900</xdr:colOff>
      <xdr:row>174</xdr:row>
      <xdr:rowOff>43543</xdr:rowOff>
    </xdr:from>
    <xdr:to>
      <xdr:col>4</xdr:col>
      <xdr:colOff>628650</xdr:colOff>
      <xdr:row>177</xdr:row>
      <xdr:rowOff>51707</xdr:rowOff>
    </xdr:to>
    <xdr:pic>
      <xdr:nvPicPr>
        <xdr:cNvPr id="89793" name="26">
          <a:extLst>
            <a:ext uri="{FF2B5EF4-FFF2-40B4-BE49-F238E27FC236}">
              <a16:creationId xmlns:a16="http://schemas.microsoft.com/office/drawing/2014/main" id="{1974778A-B40C-42B6-CBF6-09DCBE924E49}"/>
            </a:ext>
          </a:extLst>
        </xdr:cNvPr>
        <xdr:cNvPicPr>
          <a:picLocks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2933700" y="32619043"/>
          <a:ext cx="285750" cy="71029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59871</xdr:colOff>
      <xdr:row>174</xdr:row>
      <xdr:rowOff>35379</xdr:rowOff>
    </xdr:from>
    <xdr:to>
      <xdr:col>6</xdr:col>
      <xdr:colOff>566057</xdr:colOff>
      <xdr:row>177</xdr:row>
      <xdr:rowOff>43543</xdr:rowOff>
    </xdr:to>
    <xdr:pic>
      <xdr:nvPicPr>
        <xdr:cNvPr id="89794" name="28">
          <a:extLst>
            <a:ext uri="{FF2B5EF4-FFF2-40B4-BE49-F238E27FC236}">
              <a16:creationId xmlns:a16="http://schemas.microsoft.com/office/drawing/2014/main" id="{50F66161-A3B7-0461-BADE-AC01590E9FE7}"/>
            </a:ext>
          </a:extLst>
        </xdr:cNvPr>
        <xdr:cNvPicPr>
          <a:picLocks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3946071" y="32610879"/>
          <a:ext cx="506186" cy="710292"/>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312964</xdr:colOff>
      <xdr:row>179</xdr:row>
      <xdr:rowOff>59871</xdr:rowOff>
    </xdr:from>
    <xdr:to>
      <xdr:col>4</xdr:col>
      <xdr:colOff>111579</xdr:colOff>
      <xdr:row>180</xdr:row>
      <xdr:rowOff>24493</xdr:rowOff>
    </xdr:to>
    <xdr:sp macro="" textlink="" fLocksText="0">
      <xdr:nvSpPr>
        <xdr:cNvPr id="86579" name="38">
          <a:extLst>
            <a:ext uri="{FF2B5EF4-FFF2-40B4-BE49-F238E27FC236}">
              <a16:creationId xmlns:a16="http://schemas.microsoft.com/office/drawing/2014/main" id="{1D6136FB-851B-E667-C148-328AEBD5C23B}"/>
            </a:ext>
          </a:extLst>
        </xdr:cNvPr>
        <xdr:cNvSpPr txBox="1">
          <a:spLocks noChangeArrowheads="1"/>
        </xdr:cNvSpPr>
      </xdr:nvSpPr>
      <xdr:spPr bwMode="auto">
        <a:xfrm>
          <a:off x="2256064" y="33794700"/>
          <a:ext cx="446315" cy="201386"/>
        </a:xfrm>
        <a:prstGeom prst="rect">
          <a:avLst/>
        </a:prstGeom>
        <a:pattFill prst="pct25">
          <a:fgClr>
            <a:srgbClr val="00CC99"/>
          </a:fgClr>
          <a:bgClr>
            <a:srgbClr val="E3E3E3"/>
          </a:bgClr>
        </a:pattFill>
        <a:ln w="1">
          <a:solidFill>
            <a:srgbClr val="00CC99"/>
          </a:solidFill>
          <a:prstDash val="dash"/>
          <a:miter lim="800000"/>
          <a:headEnd/>
          <a:tailEnd/>
        </a:ln>
      </xdr:spPr>
    </xdr:sp>
    <xdr:clientData fLocksWithSheet="0"/>
  </xdr:twoCellAnchor>
  <xdr:twoCellAnchor editAs="oneCell">
    <xdr:from>
      <xdr:col>2</xdr:col>
      <xdr:colOff>59871</xdr:colOff>
      <xdr:row>178</xdr:row>
      <xdr:rowOff>193221</xdr:rowOff>
    </xdr:from>
    <xdr:to>
      <xdr:col>2</xdr:col>
      <xdr:colOff>334736</xdr:colOff>
      <xdr:row>180</xdr:row>
      <xdr:rowOff>217714</xdr:rowOff>
    </xdr:to>
    <xdr:pic>
      <xdr:nvPicPr>
        <xdr:cNvPr id="89796" name="36">
          <a:extLst>
            <a:ext uri="{FF2B5EF4-FFF2-40B4-BE49-F238E27FC236}">
              <a16:creationId xmlns:a16="http://schemas.microsoft.com/office/drawing/2014/main" id="{B10FC245-6460-2280-7F07-D46F55873C1C}"/>
            </a:ext>
          </a:extLst>
        </xdr:cNvPr>
        <xdr:cNvPicPr>
          <a:picLocks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355271" y="33699450"/>
          <a:ext cx="274865" cy="48985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2</xdr:col>
      <xdr:colOff>547007</xdr:colOff>
      <xdr:row>178</xdr:row>
      <xdr:rowOff>193221</xdr:rowOff>
    </xdr:from>
    <xdr:to>
      <xdr:col>3</xdr:col>
      <xdr:colOff>163286</xdr:colOff>
      <xdr:row>180</xdr:row>
      <xdr:rowOff>217714</xdr:rowOff>
    </xdr:to>
    <xdr:pic>
      <xdr:nvPicPr>
        <xdr:cNvPr id="89797" name="37">
          <a:extLst>
            <a:ext uri="{FF2B5EF4-FFF2-40B4-BE49-F238E27FC236}">
              <a16:creationId xmlns:a16="http://schemas.microsoft.com/office/drawing/2014/main" id="{1F4EFF5C-9142-4B3D-1075-B63AC4CD1121}"/>
            </a:ext>
          </a:extLst>
        </xdr:cNvPr>
        <xdr:cNvPicPr>
          <a:picLocks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842407" y="33699450"/>
          <a:ext cx="263979" cy="48985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59871</xdr:colOff>
      <xdr:row>179</xdr:row>
      <xdr:rowOff>141514</xdr:rowOff>
    </xdr:from>
    <xdr:to>
      <xdr:col>6</xdr:col>
      <xdr:colOff>595993</xdr:colOff>
      <xdr:row>182</xdr:row>
      <xdr:rowOff>133350</xdr:rowOff>
    </xdr:to>
    <xdr:pic>
      <xdr:nvPicPr>
        <xdr:cNvPr id="89798" name="24">
          <a:extLst>
            <a:ext uri="{FF2B5EF4-FFF2-40B4-BE49-F238E27FC236}">
              <a16:creationId xmlns:a16="http://schemas.microsoft.com/office/drawing/2014/main" id="{E749C26F-BB76-E96D-1003-BD0AA3AF5817}"/>
            </a:ext>
          </a:extLst>
        </xdr:cNvPr>
        <xdr:cNvPicPr>
          <a:picLocks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3946071" y="33876343"/>
          <a:ext cx="536122" cy="6912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xdr:col>
      <xdr:colOff>141514</xdr:colOff>
      <xdr:row>167</xdr:row>
      <xdr:rowOff>149679</xdr:rowOff>
    </xdr:from>
    <xdr:to>
      <xdr:col>1</xdr:col>
      <xdr:colOff>375557</xdr:colOff>
      <xdr:row>170</xdr:row>
      <xdr:rowOff>65314</xdr:rowOff>
    </xdr:to>
    <xdr:pic>
      <xdr:nvPicPr>
        <xdr:cNvPr id="89799" name="2">
          <a:extLst>
            <a:ext uri="{FF2B5EF4-FFF2-40B4-BE49-F238E27FC236}">
              <a16:creationId xmlns:a16="http://schemas.microsoft.com/office/drawing/2014/main" id="{638EBD2E-282C-FDBB-C419-FB608BA3849D}"/>
            </a:ext>
          </a:extLst>
        </xdr:cNvPr>
        <xdr:cNvPicPr>
          <a:picLocks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789214" y="31405286"/>
          <a:ext cx="234043" cy="45447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40821</xdr:colOff>
      <xdr:row>167</xdr:row>
      <xdr:rowOff>27214</xdr:rowOff>
    </xdr:from>
    <xdr:to>
      <xdr:col>3</xdr:col>
      <xdr:colOff>242207</xdr:colOff>
      <xdr:row>171</xdr:row>
      <xdr:rowOff>138793</xdr:rowOff>
    </xdr:to>
    <xdr:pic>
      <xdr:nvPicPr>
        <xdr:cNvPr id="89800" name="4">
          <a:extLst>
            <a:ext uri="{FF2B5EF4-FFF2-40B4-BE49-F238E27FC236}">
              <a16:creationId xmlns:a16="http://schemas.microsoft.com/office/drawing/2014/main" id="{CBFA93D8-8C38-A34F-8AEF-421CEE4F7E57}"/>
            </a:ext>
          </a:extLst>
        </xdr:cNvPr>
        <xdr:cNvPicPr>
          <a:picLocks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983921" y="31282821"/>
          <a:ext cx="201386" cy="83547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342900</xdr:colOff>
      <xdr:row>168</xdr:row>
      <xdr:rowOff>315686</xdr:rowOff>
    </xdr:from>
    <xdr:to>
      <xdr:col>4</xdr:col>
      <xdr:colOff>628650</xdr:colOff>
      <xdr:row>171</xdr:row>
      <xdr:rowOff>19050</xdr:rowOff>
    </xdr:to>
    <xdr:pic>
      <xdr:nvPicPr>
        <xdr:cNvPr id="89801" name="6">
          <a:extLst>
            <a:ext uri="{FF2B5EF4-FFF2-40B4-BE49-F238E27FC236}">
              <a16:creationId xmlns:a16="http://schemas.microsoft.com/office/drawing/2014/main" id="{05CBD708-EF8A-9095-D673-496A632614C1}"/>
            </a:ext>
          </a:extLst>
        </xdr:cNvPr>
        <xdr:cNvPicPr>
          <a:picLocks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933700" y="31609393"/>
          <a:ext cx="285750" cy="389164"/>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8</xdr:col>
      <xdr:colOff>182336</xdr:colOff>
      <xdr:row>176</xdr:row>
      <xdr:rowOff>35379</xdr:rowOff>
    </xdr:from>
    <xdr:to>
      <xdr:col>8</xdr:col>
      <xdr:colOff>547007</xdr:colOff>
      <xdr:row>179</xdr:row>
      <xdr:rowOff>95250</xdr:rowOff>
    </xdr:to>
    <xdr:pic>
      <xdr:nvPicPr>
        <xdr:cNvPr id="89802" name="30">
          <a:extLst>
            <a:ext uri="{FF2B5EF4-FFF2-40B4-BE49-F238E27FC236}">
              <a16:creationId xmlns:a16="http://schemas.microsoft.com/office/drawing/2014/main" id="{CC944FEC-D1C4-57F3-1E84-1D31CA5092D4}"/>
            </a:ext>
          </a:extLst>
        </xdr:cNvPr>
        <xdr:cNvPicPr>
          <a:picLocks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5363936" y="33076243"/>
          <a:ext cx="364671" cy="753836"/>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212271</xdr:colOff>
      <xdr:row>171</xdr:row>
      <xdr:rowOff>288471</xdr:rowOff>
    </xdr:from>
    <xdr:to>
      <xdr:col>6</xdr:col>
      <xdr:colOff>454479</xdr:colOff>
      <xdr:row>174</xdr:row>
      <xdr:rowOff>19050</xdr:rowOff>
    </xdr:to>
    <xdr:pic>
      <xdr:nvPicPr>
        <xdr:cNvPr id="89803" name="18">
          <a:extLst>
            <a:ext uri="{FF2B5EF4-FFF2-40B4-BE49-F238E27FC236}">
              <a16:creationId xmlns:a16="http://schemas.microsoft.com/office/drawing/2014/main" id="{EDD1AE99-9A22-E551-5BA8-3A5B9472C3D8}"/>
            </a:ext>
          </a:extLst>
        </xdr:cNvPr>
        <xdr:cNvPicPr>
          <a:picLocks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4098471" y="32156400"/>
          <a:ext cx="242208" cy="4381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8</xdr:col>
      <xdr:colOff>182336</xdr:colOff>
      <xdr:row>171</xdr:row>
      <xdr:rowOff>19050</xdr:rowOff>
    </xdr:from>
    <xdr:to>
      <xdr:col>8</xdr:col>
      <xdr:colOff>476250</xdr:colOff>
      <xdr:row>174</xdr:row>
      <xdr:rowOff>176893</xdr:rowOff>
    </xdr:to>
    <xdr:pic>
      <xdr:nvPicPr>
        <xdr:cNvPr id="89804" name="20">
          <a:extLst>
            <a:ext uri="{FF2B5EF4-FFF2-40B4-BE49-F238E27FC236}">
              <a16:creationId xmlns:a16="http://schemas.microsoft.com/office/drawing/2014/main" id="{F74DA949-45ED-372F-DF67-31B47CA2F681}"/>
            </a:ext>
          </a:extLst>
        </xdr:cNvPr>
        <xdr:cNvPicPr>
          <a:picLocks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5363936" y="31998557"/>
          <a:ext cx="293914" cy="753836"/>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517071</xdr:colOff>
      <xdr:row>174</xdr:row>
      <xdr:rowOff>351064</xdr:rowOff>
    </xdr:from>
    <xdr:to>
      <xdr:col>4</xdr:col>
      <xdr:colOff>89807</xdr:colOff>
      <xdr:row>176</xdr:row>
      <xdr:rowOff>114300</xdr:rowOff>
    </xdr:to>
    <xdr:pic>
      <xdr:nvPicPr>
        <xdr:cNvPr id="89805" name="25">
          <a:extLst>
            <a:ext uri="{FF2B5EF4-FFF2-40B4-BE49-F238E27FC236}">
              <a16:creationId xmlns:a16="http://schemas.microsoft.com/office/drawing/2014/main" id="{F0572E11-953F-FAA0-C1EB-60B6B9B429A2}"/>
            </a:ext>
          </a:extLst>
        </xdr:cNvPr>
        <xdr:cNvPicPr>
          <a:picLocks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460171" y="32804100"/>
          <a:ext cx="220436" cy="351064"/>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517071</xdr:colOff>
      <xdr:row>179</xdr:row>
      <xdr:rowOff>114300</xdr:rowOff>
    </xdr:from>
    <xdr:to>
      <xdr:col>5</xdr:col>
      <xdr:colOff>89807</xdr:colOff>
      <xdr:row>180</xdr:row>
      <xdr:rowOff>190500</xdr:rowOff>
    </xdr:to>
    <xdr:pic>
      <xdr:nvPicPr>
        <xdr:cNvPr id="89806" name="23">
          <a:extLst>
            <a:ext uri="{FF2B5EF4-FFF2-40B4-BE49-F238E27FC236}">
              <a16:creationId xmlns:a16="http://schemas.microsoft.com/office/drawing/2014/main" id="{74D948F0-B19D-7A98-8B6C-AA105F12F95D}"/>
            </a:ext>
          </a:extLst>
        </xdr:cNvPr>
        <xdr:cNvPicPr>
          <a:picLocks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3107871" y="33849129"/>
          <a:ext cx="220436" cy="312964"/>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517071</xdr:colOff>
      <xdr:row>167</xdr:row>
      <xdr:rowOff>27214</xdr:rowOff>
    </xdr:from>
    <xdr:to>
      <xdr:col>4</xdr:col>
      <xdr:colOff>111579</xdr:colOff>
      <xdr:row>171</xdr:row>
      <xdr:rowOff>138793</xdr:rowOff>
    </xdr:to>
    <xdr:pic>
      <xdr:nvPicPr>
        <xdr:cNvPr id="89807" name="5">
          <a:extLst>
            <a:ext uri="{FF2B5EF4-FFF2-40B4-BE49-F238E27FC236}">
              <a16:creationId xmlns:a16="http://schemas.microsoft.com/office/drawing/2014/main" id="{A4634CF2-F2A4-46F5-5AC8-EAD336773F6F}"/>
            </a:ext>
          </a:extLst>
        </xdr:cNvPr>
        <xdr:cNvPicPr>
          <a:picLocks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460171" y="31282821"/>
          <a:ext cx="242208" cy="83547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7</xdr:col>
      <xdr:colOff>111579</xdr:colOff>
      <xdr:row>174</xdr:row>
      <xdr:rowOff>106136</xdr:rowOff>
    </xdr:from>
    <xdr:to>
      <xdr:col>7</xdr:col>
      <xdr:colOff>454479</xdr:colOff>
      <xdr:row>177</xdr:row>
      <xdr:rowOff>19050</xdr:rowOff>
    </xdr:to>
    <xdr:pic>
      <xdr:nvPicPr>
        <xdr:cNvPr id="89808" name="29">
          <a:extLst>
            <a:ext uri="{FF2B5EF4-FFF2-40B4-BE49-F238E27FC236}">
              <a16:creationId xmlns:a16="http://schemas.microsoft.com/office/drawing/2014/main" id="{551B5FBA-2733-E6BC-C84D-7369E27C9219}"/>
            </a:ext>
          </a:extLst>
        </xdr:cNvPr>
        <xdr:cNvPicPr>
          <a:picLocks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4645479" y="32681636"/>
          <a:ext cx="342900" cy="6150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5</xdr:col>
      <xdr:colOff>193221</xdr:colOff>
      <xdr:row>174</xdr:row>
      <xdr:rowOff>263979</xdr:rowOff>
    </xdr:from>
    <xdr:to>
      <xdr:col>5</xdr:col>
      <xdr:colOff>476250</xdr:colOff>
      <xdr:row>176</xdr:row>
      <xdr:rowOff>209550</xdr:rowOff>
    </xdr:to>
    <xdr:pic>
      <xdr:nvPicPr>
        <xdr:cNvPr id="89809" name="27">
          <a:extLst>
            <a:ext uri="{FF2B5EF4-FFF2-40B4-BE49-F238E27FC236}">
              <a16:creationId xmlns:a16="http://schemas.microsoft.com/office/drawing/2014/main" id="{D4B7960E-6005-BD0B-2EFA-A7CCF2AD74FA}"/>
            </a:ext>
          </a:extLst>
        </xdr:cNvPr>
        <xdr:cNvPicPr>
          <a:picLocks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3431721" y="32804100"/>
          <a:ext cx="283029" cy="446314"/>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234043</xdr:colOff>
      <xdr:row>167</xdr:row>
      <xdr:rowOff>46264</xdr:rowOff>
    </xdr:from>
    <xdr:to>
      <xdr:col>0</xdr:col>
      <xdr:colOff>424543</xdr:colOff>
      <xdr:row>171</xdr:row>
      <xdr:rowOff>138793</xdr:rowOff>
    </xdr:to>
    <xdr:pic>
      <xdr:nvPicPr>
        <xdr:cNvPr id="89810" name="1">
          <a:extLst>
            <a:ext uri="{FF2B5EF4-FFF2-40B4-BE49-F238E27FC236}">
              <a16:creationId xmlns:a16="http://schemas.microsoft.com/office/drawing/2014/main" id="{E7DC220A-2624-DEA8-B408-A51EECAC19E1}"/>
            </a:ext>
          </a:extLst>
        </xdr:cNvPr>
        <xdr:cNvPicPr>
          <a:picLocks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34043" y="31301871"/>
          <a:ext cx="190500" cy="81642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7</xdr:col>
      <xdr:colOff>130629</xdr:colOff>
      <xdr:row>167</xdr:row>
      <xdr:rowOff>65314</xdr:rowOff>
    </xdr:from>
    <xdr:to>
      <xdr:col>7</xdr:col>
      <xdr:colOff>342900</xdr:colOff>
      <xdr:row>171</xdr:row>
      <xdr:rowOff>84364</xdr:rowOff>
    </xdr:to>
    <xdr:pic>
      <xdr:nvPicPr>
        <xdr:cNvPr id="89811" name="9">
          <a:extLst>
            <a:ext uri="{FF2B5EF4-FFF2-40B4-BE49-F238E27FC236}">
              <a16:creationId xmlns:a16="http://schemas.microsoft.com/office/drawing/2014/main" id="{921A4824-2B37-8408-0E93-CA634E10AF91}"/>
            </a:ext>
          </a:extLst>
        </xdr:cNvPr>
        <xdr:cNvPicPr>
          <a:picLocks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4664529" y="31320921"/>
          <a:ext cx="212271" cy="7429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9</xdr:col>
      <xdr:colOff>323850</xdr:colOff>
      <xdr:row>171</xdr:row>
      <xdr:rowOff>269421</xdr:rowOff>
    </xdr:from>
    <xdr:to>
      <xdr:col>9</xdr:col>
      <xdr:colOff>587829</xdr:colOff>
      <xdr:row>174</xdr:row>
      <xdr:rowOff>35379</xdr:rowOff>
    </xdr:to>
    <xdr:pic>
      <xdr:nvPicPr>
        <xdr:cNvPr id="89812" name="32">
          <a:extLst>
            <a:ext uri="{FF2B5EF4-FFF2-40B4-BE49-F238E27FC236}">
              <a16:creationId xmlns:a16="http://schemas.microsoft.com/office/drawing/2014/main" id="{6DB33FAA-8ACB-79A2-39BB-30204A824DB5}"/>
            </a:ext>
          </a:extLst>
        </xdr:cNvPr>
        <xdr:cNvPicPr>
          <a:picLocks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6153150" y="32156400"/>
          <a:ext cx="263979" cy="454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9</xdr:col>
      <xdr:colOff>323850</xdr:colOff>
      <xdr:row>174</xdr:row>
      <xdr:rowOff>247650</xdr:rowOff>
    </xdr:from>
    <xdr:to>
      <xdr:col>9</xdr:col>
      <xdr:colOff>587829</xdr:colOff>
      <xdr:row>176</xdr:row>
      <xdr:rowOff>176893</xdr:rowOff>
    </xdr:to>
    <xdr:pic>
      <xdr:nvPicPr>
        <xdr:cNvPr id="89813" name="33">
          <a:extLst>
            <a:ext uri="{FF2B5EF4-FFF2-40B4-BE49-F238E27FC236}">
              <a16:creationId xmlns:a16="http://schemas.microsoft.com/office/drawing/2014/main" id="{2AC0700F-EA38-8B5F-20CA-DFA0C474D1E0}"/>
            </a:ext>
          </a:extLst>
        </xdr:cNvPr>
        <xdr:cNvPicPr>
          <a:picLocks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6153150" y="32804100"/>
          <a:ext cx="263979" cy="413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487136</xdr:colOff>
      <xdr:row>167</xdr:row>
      <xdr:rowOff>27214</xdr:rowOff>
    </xdr:from>
    <xdr:to>
      <xdr:col>2</xdr:col>
      <xdr:colOff>465364</xdr:colOff>
      <xdr:row>171</xdr:row>
      <xdr:rowOff>168729</xdr:rowOff>
    </xdr:to>
    <xdr:pic>
      <xdr:nvPicPr>
        <xdr:cNvPr id="89814" name="3">
          <a:extLst>
            <a:ext uri="{FF2B5EF4-FFF2-40B4-BE49-F238E27FC236}">
              <a16:creationId xmlns:a16="http://schemas.microsoft.com/office/drawing/2014/main" id="{8674CEEB-670E-3DC5-9B68-F000025E853B}"/>
            </a:ext>
          </a:extLst>
        </xdr:cNvPr>
        <xdr:cNvPicPr preferRelativeResize="0">
          <a:picLocks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134836" y="31282821"/>
          <a:ext cx="625928" cy="865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5</xdr:col>
      <xdr:colOff>81643</xdr:colOff>
      <xdr:row>167</xdr:row>
      <xdr:rowOff>27214</xdr:rowOff>
    </xdr:from>
    <xdr:to>
      <xdr:col>6</xdr:col>
      <xdr:colOff>19050</xdr:colOff>
      <xdr:row>171</xdr:row>
      <xdr:rowOff>130629</xdr:rowOff>
    </xdr:to>
    <xdr:pic>
      <xdr:nvPicPr>
        <xdr:cNvPr id="89815" name="7">
          <a:extLst>
            <a:ext uri="{FF2B5EF4-FFF2-40B4-BE49-F238E27FC236}">
              <a16:creationId xmlns:a16="http://schemas.microsoft.com/office/drawing/2014/main" id="{3ECE17E0-2392-152C-E584-76E5217056B7}"/>
            </a:ext>
          </a:extLst>
        </xdr:cNvPr>
        <xdr:cNvPicPr preferRelativeResize="0">
          <a:picLocks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3320143" y="31282821"/>
          <a:ext cx="585107" cy="827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9</xdr:col>
      <xdr:colOff>506186</xdr:colOff>
      <xdr:row>268</xdr:row>
      <xdr:rowOff>103414</xdr:rowOff>
    </xdr:from>
    <xdr:to>
      <xdr:col>12</xdr:col>
      <xdr:colOff>70757</xdr:colOff>
      <xdr:row>281</xdr:row>
      <xdr:rowOff>38100</xdr:rowOff>
    </xdr:to>
    <xdr:pic>
      <xdr:nvPicPr>
        <xdr:cNvPr id="89816" name="1024">
          <a:extLst>
            <a:ext uri="{FF2B5EF4-FFF2-40B4-BE49-F238E27FC236}">
              <a16:creationId xmlns:a16="http://schemas.microsoft.com/office/drawing/2014/main" id="{B4FE3C3C-C0E2-D938-4FBA-CF9C5200F054}"/>
            </a:ext>
          </a:extLst>
        </xdr:cNvPr>
        <xdr:cNvPicPr>
          <a:picLocks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6335486" y="50215800"/>
          <a:ext cx="1507671" cy="223429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7</xdr:col>
      <xdr:colOff>375557</xdr:colOff>
      <xdr:row>195</xdr:row>
      <xdr:rowOff>57150</xdr:rowOff>
    </xdr:from>
    <xdr:to>
      <xdr:col>10</xdr:col>
      <xdr:colOff>40821</xdr:colOff>
      <xdr:row>205</xdr:row>
      <xdr:rowOff>19050</xdr:rowOff>
    </xdr:to>
    <xdr:pic>
      <xdr:nvPicPr>
        <xdr:cNvPr id="89817" name="1004">
          <a:extLst>
            <a:ext uri="{FF2B5EF4-FFF2-40B4-BE49-F238E27FC236}">
              <a16:creationId xmlns:a16="http://schemas.microsoft.com/office/drawing/2014/main" id="{33587E19-1CEF-9D1A-112A-4F22D79D8390}"/>
            </a:ext>
          </a:extLst>
        </xdr:cNvPr>
        <xdr:cNvPicPr>
          <a:picLocks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4909457" y="37256357"/>
          <a:ext cx="1608364" cy="173082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81643</xdr:colOff>
      <xdr:row>195</xdr:row>
      <xdr:rowOff>65314</xdr:rowOff>
    </xdr:from>
    <xdr:to>
      <xdr:col>2</xdr:col>
      <xdr:colOff>364671</xdr:colOff>
      <xdr:row>205</xdr:row>
      <xdr:rowOff>38100</xdr:rowOff>
    </xdr:to>
    <xdr:pic>
      <xdr:nvPicPr>
        <xdr:cNvPr id="89818" name="1001">
          <a:extLst>
            <a:ext uri="{FF2B5EF4-FFF2-40B4-BE49-F238E27FC236}">
              <a16:creationId xmlns:a16="http://schemas.microsoft.com/office/drawing/2014/main" id="{1D6BAC2E-4895-806D-3782-EE5FEECFABFF}"/>
            </a:ext>
          </a:extLst>
        </xdr:cNvPr>
        <xdr:cNvPicPr>
          <a:picLocks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81643" y="37264521"/>
          <a:ext cx="1578428" cy="174171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5</xdr:col>
      <xdr:colOff>253093</xdr:colOff>
      <xdr:row>195</xdr:row>
      <xdr:rowOff>57150</xdr:rowOff>
    </xdr:from>
    <xdr:to>
      <xdr:col>7</xdr:col>
      <xdr:colOff>212271</xdr:colOff>
      <xdr:row>205</xdr:row>
      <xdr:rowOff>38100</xdr:rowOff>
    </xdr:to>
    <xdr:pic>
      <xdr:nvPicPr>
        <xdr:cNvPr id="89819" name="1003">
          <a:extLst>
            <a:ext uri="{FF2B5EF4-FFF2-40B4-BE49-F238E27FC236}">
              <a16:creationId xmlns:a16="http://schemas.microsoft.com/office/drawing/2014/main" id="{5126A22E-CA05-AE98-6839-B48B7277BF63}"/>
            </a:ext>
          </a:extLst>
        </xdr:cNvPr>
        <xdr:cNvPicPr>
          <a:picLocks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3491593" y="37256357"/>
          <a:ext cx="1254578" cy="174987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2</xdr:col>
      <xdr:colOff>487136</xdr:colOff>
      <xdr:row>195</xdr:row>
      <xdr:rowOff>65314</xdr:rowOff>
    </xdr:from>
    <xdr:to>
      <xdr:col>5</xdr:col>
      <xdr:colOff>81643</xdr:colOff>
      <xdr:row>205</xdr:row>
      <xdr:rowOff>46264</xdr:rowOff>
    </xdr:to>
    <xdr:pic>
      <xdr:nvPicPr>
        <xdr:cNvPr id="89820" name="1002">
          <a:extLst>
            <a:ext uri="{FF2B5EF4-FFF2-40B4-BE49-F238E27FC236}">
              <a16:creationId xmlns:a16="http://schemas.microsoft.com/office/drawing/2014/main" id="{370C07A1-2470-4C12-556E-83EA9E926956}"/>
            </a:ext>
          </a:extLst>
        </xdr:cNvPr>
        <xdr:cNvPicPr>
          <a:picLocks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782536" y="37264521"/>
          <a:ext cx="1537607" cy="174987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10</xdr:col>
      <xdr:colOff>130629</xdr:colOff>
      <xdr:row>199</xdr:row>
      <xdr:rowOff>57150</xdr:rowOff>
    </xdr:from>
    <xdr:to>
      <xdr:col>12</xdr:col>
      <xdr:colOff>59871</xdr:colOff>
      <xdr:row>205</xdr:row>
      <xdr:rowOff>84364</xdr:rowOff>
    </xdr:to>
    <xdr:pic>
      <xdr:nvPicPr>
        <xdr:cNvPr id="89821" name="0">
          <a:extLst>
            <a:ext uri="{FF2B5EF4-FFF2-40B4-BE49-F238E27FC236}">
              <a16:creationId xmlns:a16="http://schemas.microsoft.com/office/drawing/2014/main" id="{A4122486-E499-3DB3-4C8D-98EC90CD703F}"/>
            </a:ext>
          </a:extLst>
        </xdr:cNvPr>
        <xdr:cNvPicPr>
          <a:picLocks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6607629" y="37963929"/>
          <a:ext cx="1224642" cy="1088571"/>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81643</xdr:colOff>
      <xdr:row>208</xdr:row>
      <xdr:rowOff>65314</xdr:rowOff>
    </xdr:from>
    <xdr:to>
      <xdr:col>2</xdr:col>
      <xdr:colOff>476250</xdr:colOff>
      <xdr:row>218</xdr:row>
      <xdr:rowOff>84364</xdr:rowOff>
    </xdr:to>
    <xdr:pic>
      <xdr:nvPicPr>
        <xdr:cNvPr id="89822" name="1005">
          <a:extLst>
            <a:ext uri="{FF2B5EF4-FFF2-40B4-BE49-F238E27FC236}">
              <a16:creationId xmlns:a16="http://schemas.microsoft.com/office/drawing/2014/main" id="{9DB91186-F4F4-D537-5460-300B977BFF70}"/>
            </a:ext>
          </a:extLst>
        </xdr:cNvPr>
        <xdr:cNvPicPr>
          <a:picLocks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81643" y="39564129"/>
          <a:ext cx="1690007" cy="178797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100693</xdr:colOff>
      <xdr:row>222</xdr:row>
      <xdr:rowOff>111579</xdr:rowOff>
    </xdr:from>
    <xdr:to>
      <xdr:col>2</xdr:col>
      <xdr:colOff>525236</xdr:colOff>
      <xdr:row>232</xdr:row>
      <xdr:rowOff>130629</xdr:rowOff>
    </xdr:to>
    <xdr:pic>
      <xdr:nvPicPr>
        <xdr:cNvPr id="89823" name="1009">
          <a:extLst>
            <a:ext uri="{FF2B5EF4-FFF2-40B4-BE49-F238E27FC236}">
              <a16:creationId xmlns:a16="http://schemas.microsoft.com/office/drawing/2014/main" id="{F2C7A4C8-6C50-9929-4053-04C4CB19B6CC}"/>
            </a:ext>
          </a:extLst>
        </xdr:cNvPr>
        <xdr:cNvPicPr>
          <a:picLocks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00693" y="42086893"/>
          <a:ext cx="1719943" cy="178797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59871</xdr:colOff>
      <xdr:row>222</xdr:row>
      <xdr:rowOff>103414</xdr:rowOff>
    </xdr:from>
    <xdr:to>
      <xdr:col>5</xdr:col>
      <xdr:colOff>476250</xdr:colOff>
      <xdr:row>232</xdr:row>
      <xdr:rowOff>130629</xdr:rowOff>
    </xdr:to>
    <xdr:pic>
      <xdr:nvPicPr>
        <xdr:cNvPr id="89824" name="1010">
          <a:extLst>
            <a:ext uri="{FF2B5EF4-FFF2-40B4-BE49-F238E27FC236}">
              <a16:creationId xmlns:a16="http://schemas.microsoft.com/office/drawing/2014/main" id="{41390D12-6F7D-183A-B0D7-6438BFE42923}"/>
            </a:ext>
          </a:extLst>
        </xdr:cNvPr>
        <xdr:cNvPicPr>
          <a:picLocks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002971" y="42078729"/>
          <a:ext cx="1711779" cy="1796142"/>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2</xdr:col>
      <xdr:colOff>525236</xdr:colOff>
      <xdr:row>208</xdr:row>
      <xdr:rowOff>73479</xdr:rowOff>
    </xdr:from>
    <xdr:to>
      <xdr:col>5</xdr:col>
      <xdr:colOff>122464</xdr:colOff>
      <xdr:row>218</xdr:row>
      <xdr:rowOff>84364</xdr:rowOff>
    </xdr:to>
    <xdr:pic>
      <xdr:nvPicPr>
        <xdr:cNvPr id="89825" name="1006">
          <a:extLst>
            <a:ext uri="{FF2B5EF4-FFF2-40B4-BE49-F238E27FC236}">
              <a16:creationId xmlns:a16="http://schemas.microsoft.com/office/drawing/2014/main" id="{5DFFD626-D915-4CE5-3DBB-C98FB05211DB}"/>
            </a:ext>
          </a:extLst>
        </xdr:cNvPr>
        <xdr:cNvPicPr>
          <a:picLocks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820636" y="39572293"/>
          <a:ext cx="1540328" cy="1779814"/>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5</xdr:col>
      <xdr:colOff>263979</xdr:colOff>
      <xdr:row>208</xdr:row>
      <xdr:rowOff>84364</xdr:rowOff>
    </xdr:from>
    <xdr:to>
      <xdr:col>7</xdr:col>
      <xdr:colOff>446314</xdr:colOff>
      <xdr:row>218</xdr:row>
      <xdr:rowOff>103414</xdr:rowOff>
    </xdr:to>
    <xdr:pic>
      <xdr:nvPicPr>
        <xdr:cNvPr id="89826" name="1007">
          <a:extLst>
            <a:ext uri="{FF2B5EF4-FFF2-40B4-BE49-F238E27FC236}">
              <a16:creationId xmlns:a16="http://schemas.microsoft.com/office/drawing/2014/main" id="{AFBD8E16-8507-0AE8-67FC-2A669932536E}"/>
            </a:ext>
          </a:extLst>
        </xdr:cNvPr>
        <xdr:cNvPicPr>
          <a:picLocks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3502479" y="39583179"/>
          <a:ext cx="1477735" cy="178797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8</xdr:col>
      <xdr:colOff>29936</xdr:colOff>
      <xdr:row>208</xdr:row>
      <xdr:rowOff>84364</xdr:rowOff>
    </xdr:from>
    <xdr:to>
      <xdr:col>10</xdr:col>
      <xdr:colOff>547007</xdr:colOff>
      <xdr:row>218</xdr:row>
      <xdr:rowOff>65314</xdr:rowOff>
    </xdr:to>
    <xdr:pic>
      <xdr:nvPicPr>
        <xdr:cNvPr id="89827" name="1008">
          <a:extLst>
            <a:ext uri="{FF2B5EF4-FFF2-40B4-BE49-F238E27FC236}">
              <a16:creationId xmlns:a16="http://schemas.microsoft.com/office/drawing/2014/main" id="{1F317FC7-9EFA-73E2-694B-A9302B9B4AB4}"/>
            </a:ext>
          </a:extLst>
        </xdr:cNvPr>
        <xdr:cNvPicPr>
          <a:picLocks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5211536" y="39583179"/>
          <a:ext cx="1812471" cy="174987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9</xdr:col>
      <xdr:colOff>40821</xdr:colOff>
      <xdr:row>227</xdr:row>
      <xdr:rowOff>138793</xdr:rowOff>
    </xdr:from>
    <xdr:to>
      <xdr:col>12</xdr:col>
      <xdr:colOff>10886</xdr:colOff>
      <xdr:row>233</xdr:row>
      <xdr:rowOff>8164</xdr:rowOff>
    </xdr:to>
    <xdr:pic>
      <xdr:nvPicPr>
        <xdr:cNvPr id="89828" name="1012">
          <a:extLst>
            <a:ext uri="{FF2B5EF4-FFF2-40B4-BE49-F238E27FC236}">
              <a16:creationId xmlns:a16="http://schemas.microsoft.com/office/drawing/2014/main" id="{B5E69E0E-246C-543B-798A-5961EB1AB1C1}"/>
            </a:ext>
          </a:extLst>
        </xdr:cNvPr>
        <xdr:cNvPicPr>
          <a:picLocks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5870121" y="42998571"/>
          <a:ext cx="1913165" cy="93072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141514</xdr:colOff>
      <xdr:row>238</xdr:row>
      <xdr:rowOff>27214</xdr:rowOff>
    </xdr:from>
    <xdr:to>
      <xdr:col>2</xdr:col>
      <xdr:colOff>394607</xdr:colOff>
      <xdr:row>248</xdr:row>
      <xdr:rowOff>111579</xdr:rowOff>
    </xdr:to>
    <xdr:pic>
      <xdr:nvPicPr>
        <xdr:cNvPr id="89829" name="1013">
          <a:extLst>
            <a:ext uri="{FF2B5EF4-FFF2-40B4-BE49-F238E27FC236}">
              <a16:creationId xmlns:a16="http://schemas.microsoft.com/office/drawing/2014/main" id="{FEDC02A6-B7A9-6319-AD9A-62C393190A54}"/>
            </a:ext>
          </a:extLst>
        </xdr:cNvPr>
        <xdr:cNvPicPr>
          <a:picLocks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41514" y="44832814"/>
          <a:ext cx="1548493" cy="185329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5</xdr:col>
      <xdr:colOff>141514</xdr:colOff>
      <xdr:row>238</xdr:row>
      <xdr:rowOff>38100</xdr:rowOff>
    </xdr:from>
    <xdr:to>
      <xdr:col>7</xdr:col>
      <xdr:colOff>353786</xdr:colOff>
      <xdr:row>248</xdr:row>
      <xdr:rowOff>65314</xdr:rowOff>
    </xdr:to>
    <xdr:pic>
      <xdr:nvPicPr>
        <xdr:cNvPr id="89830" name="1015">
          <a:extLst>
            <a:ext uri="{FF2B5EF4-FFF2-40B4-BE49-F238E27FC236}">
              <a16:creationId xmlns:a16="http://schemas.microsoft.com/office/drawing/2014/main" id="{D9E44B67-6680-C88F-F3EB-9790D15688F5}"/>
            </a:ext>
          </a:extLst>
        </xdr:cNvPr>
        <xdr:cNvPicPr>
          <a:picLocks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3380014" y="44843700"/>
          <a:ext cx="1507672" cy="17961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8</xdr:col>
      <xdr:colOff>70757</xdr:colOff>
      <xdr:row>237</xdr:row>
      <xdr:rowOff>130629</xdr:rowOff>
    </xdr:from>
    <xdr:to>
      <xdr:col>10</xdr:col>
      <xdr:colOff>465364</xdr:colOff>
      <xdr:row>248</xdr:row>
      <xdr:rowOff>138793</xdr:rowOff>
    </xdr:to>
    <xdr:pic>
      <xdr:nvPicPr>
        <xdr:cNvPr id="89831" name="1016">
          <a:extLst>
            <a:ext uri="{FF2B5EF4-FFF2-40B4-BE49-F238E27FC236}">
              <a16:creationId xmlns:a16="http://schemas.microsoft.com/office/drawing/2014/main" id="{9E54CC4B-3E51-BB56-3A02-26EC5A20C5E3}"/>
            </a:ext>
          </a:extLst>
        </xdr:cNvPr>
        <xdr:cNvPicPr>
          <a:picLocks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5252357" y="44759336"/>
          <a:ext cx="1690007" cy="195398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10886</xdr:colOff>
      <xdr:row>253</xdr:row>
      <xdr:rowOff>92529</xdr:rowOff>
    </xdr:from>
    <xdr:to>
      <xdr:col>6</xdr:col>
      <xdr:colOff>40821</xdr:colOff>
      <xdr:row>266</xdr:row>
      <xdr:rowOff>38100</xdr:rowOff>
    </xdr:to>
    <xdr:pic>
      <xdr:nvPicPr>
        <xdr:cNvPr id="89832" name="1018">
          <a:extLst>
            <a:ext uri="{FF2B5EF4-FFF2-40B4-BE49-F238E27FC236}">
              <a16:creationId xmlns:a16="http://schemas.microsoft.com/office/drawing/2014/main" id="{119FC1F6-E978-4BB4-6621-47F48D482324}"/>
            </a:ext>
          </a:extLst>
        </xdr:cNvPr>
        <xdr:cNvPicPr>
          <a:picLocks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953986" y="47551521"/>
          <a:ext cx="1973035" cy="224517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9</xdr:col>
      <xdr:colOff>587829</xdr:colOff>
      <xdr:row>253</xdr:row>
      <xdr:rowOff>8164</xdr:rowOff>
    </xdr:from>
    <xdr:to>
      <xdr:col>12</xdr:col>
      <xdr:colOff>193221</xdr:colOff>
      <xdr:row>266</xdr:row>
      <xdr:rowOff>19050</xdr:rowOff>
    </xdr:to>
    <xdr:pic>
      <xdr:nvPicPr>
        <xdr:cNvPr id="89833" name="1020">
          <a:extLst>
            <a:ext uri="{FF2B5EF4-FFF2-40B4-BE49-F238E27FC236}">
              <a16:creationId xmlns:a16="http://schemas.microsoft.com/office/drawing/2014/main" id="{57A3B378-FB7B-3642-69E5-72554EDE7888}"/>
            </a:ext>
          </a:extLst>
        </xdr:cNvPr>
        <xdr:cNvPicPr>
          <a:picLocks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6417129" y="47467157"/>
          <a:ext cx="1548492" cy="231049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141514</xdr:colOff>
      <xdr:row>268</xdr:row>
      <xdr:rowOff>111579</xdr:rowOff>
    </xdr:from>
    <xdr:to>
      <xdr:col>2</xdr:col>
      <xdr:colOff>525236</xdr:colOff>
      <xdr:row>281</xdr:row>
      <xdr:rowOff>65314</xdr:rowOff>
    </xdr:to>
    <xdr:pic>
      <xdr:nvPicPr>
        <xdr:cNvPr id="89834" name="1021">
          <a:extLst>
            <a:ext uri="{FF2B5EF4-FFF2-40B4-BE49-F238E27FC236}">
              <a16:creationId xmlns:a16="http://schemas.microsoft.com/office/drawing/2014/main" id="{5EC46FC6-0C54-B029-B5D6-BEAEFAA20018}"/>
            </a:ext>
          </a:extLst>
        </xdr:cNvPr>
        <xdr:cNvPicPr>
          <a:picLocks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41514" y="50223964"/>
          <a:ext cx="1679122" cy="22533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0</xdr:colOff>
      <xdr:row>268</xdr:row>
      <xdr:rowOff>111579</xdr:rowOff>
    </xdr:from>
    <xdr:to>
      <xdr:col>6</xdr:col>
      <xdr:colOff>51707</xdr:colOff>
      <xdr:row>281</xdr:row>
      <xdr:rowOff>57150</xdr:rowOff>
    </xdr:to>
    <xdr:pic>
      <xdr:nvPicPr>
        <xdr:cNvPr id="89835" name="1022">
          <a:extLst>
            <a:ext uri="{FF2B5EF4-FFF2-40B4-BE49-F238E27FC236}">
              <a16:creationId xmlns:a16="http://schemas.microsoft.com/office/drawing/2014/main" id="{7F6E672C-5300-44B3-8460-B9DD4ACEA097}"/>
            </a:ext>
          </a:extLst>
        </xdr:cNvPr>
        <xdr:cNvPicPr>
          <a:picLocks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943100" y="50223964"/>
          <a:ext cx="1994807" cy="2245179"/>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212271</xdr:colOff>
      <xdr:row>262</xdr:row>
      <xdr:rowOff>111579</xdr:rowOff>
    </xdr:from>
    <xdr:to>
      <xdr:col>9</xdr:col>
      <xdr:colOff>364671</xdr:colOff>
      <xdr:row>266</xdr:row>
      <xdr:rowOff>130629</xdr:rowOff>
    </xdr:to>
    <xdr:pic>
      <xdr:nvPicPr>
        <xdr:cNvPr id="89836" name="1019">
          <a:extLst>
            <a:ext uri="{FF2B5EF4-FFF2-40B4-BE49-F238E27FC236}">
              <a16:creationId xmlns:a16="http://schemas.microsoft.com/office/drawing/2014/main" id="{9B9AC57D-2115-A56D-8CDF-F5B3E754AB70}"/>
            </a:ext>
          </a:extLst>
        </xdr:cNvPr>
        <xdr:cNvPicPr>
          <a:picLocks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4098471" y="49162607"/>
          <a:ext cx="2095500" cy="726622"/>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171450</xdr:colOff>
      <xdr:row>268</xdr:row>
      <xdr:rowOff>111579</xdr:rowOff>
    </xdr:from>
    <xdr:to>
      <xdr:col>9</xdr:col>
      <xdr:colOff>40821</xdr:colOff>
      <xdr:row>279</xdr:row>
      <xdr:rowOff>130629</xdr:rowOff>
    </xdr:to>
    <xdr:pic>
      <xdr:nvPicPr>
        <xdr:cNvPr id="89837" name="1023">
          <a:extLst>
            <a:ext uri="{FF2B5EF4-FFF2-40B4-BE49-F238E27FC236}">
              <a16:creationId xmlns:a16="http://schemas.microsoft.com/office/drawing/2014/main" id="{B1EDFCE6-8CE7-0B96-AB6E-64698DB66C62}"/>
            </a:ext>
          </a:extLst>
        </xdr:cNvPr>
        <xdr:cNvPicPr>
          <a:picLocks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4057650" y="50223964"/>
          <a:ext cx="1812471" cy="1964872"/>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130629</xdr:colOff>
      <xdr:row>285</xdr:row>
      <xdr:rowOff>138793</xdr:rowOff>
    </xdr:from>
    <xdr:to>
      <xdr:col>2</xdr:col>
      <xdr:colOff>517071</xdr:colOff>
      <xdr:row>299</xdr:row>
      <xdr:rowOff>84364</xdr:rowOff>
    </xdr:to>
    <xdr:pic>
      <xdr:nvPicPr>
        <xdr:cNvPr id="89838" name="1025">
          <a:extLst>
            <a:ext uri="{FF2B5EF4-FFF2-40B4-BE49-F238E27FC236}">
              <a16:creationId xmlns:a16="http://schemas.microsoft.com/office/drawing/2014/main" id="{1702077A-9A5C-A2E7-2F13-6D7D8BEEB30B}"/>
            </a:ext>
          </a:extLst>
        </xdr:cNvPr>
        <xdr:cNvPicPr>
          <a:picLocks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30629" y="53258357"/>
          <a:ext cx="1681842" cy="2422072"/>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10886</xdr:colOff>
      <xdr:row>291</xdr:row>
      <xdr:rowOff>19050</xdr:rowOff>
    </xdr:from>
    <xdr:to>
      <xdr:col>5</xdr:col>
      <xdr:colOff>122464</xdr:colOff>
      <xdr:row>299</xdr:row>
      <xdr:rowOff>103414</xdr:rowOff>
    </xdr:to>
    <xdr:pic>
      <xdr:nvPicPr>
        <xdr:cNvPr id="89839" name="1026">
          <a:extLst>
            <a:ext uri="{FF2B5EF4-FFF2-40B4-BE49-F238E27FC236}">
              <a16:creationId xmlns:a16="http://schemas.microsoft.com/office/drawing/2014/main" id="{A95D5697-EFC8-B9DD-5625-C7AD256534FC}"/>
            </a:ext>
          </a:extLst>
        </xdr:cNvPr>
        <xdr:cNvPicPr>
          <a:picLocks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2601686" y="54199971"/>
          <a:ext cx="759278" cy="1499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111579</xdr:colOff>
      <xdr:row>253</xdr:row>
      <xdr:rowOff>103414</xdr:rowOff>
    </xdr:from>
    <xdr:to>
      <xdr:col>2</xdr:col>
      <xdr:colOff>364671</xdr:colOff>
      <xdr:row>264</xdr:row>
      <xdr:rowOff>46264</xdr:rowOff>
    </xdr:to>
    <xdr:pic>
      <xdr:nvPicPr>
        <xdr:cNvPr id="89840" name="1017">
          <a:extLst>
            <a:ext uri="{FF2B5EF4-FFF2-40B4-BE49-F238E27FC236}">
              <a16:creationId xmlns:a16="http://schemas.microsoft.com/office/drawing/2014/main" id="{0AAF5954-FDEE-3D56-324C-EA040E2566B0}"/>
            </a:ext>
          </a:extLst>
        </xdr:cNvPr>
        <xdr:cNvPicPr>
          <a:picLocks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11579" y="47562407"/>
          <a:ext cx="1548492" cy="1888672"/>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9</xdr:col>
      <xdr:colOff>141514</xdr:colOff>
      <xdr:row>286</xdr:row>
      <xdr:rowOff>46264</xdr:rowOff>
    </xdr:from>
    <xdr:to>
      <xdr:col>12</xdr:col>
      <xdr:colOff>293914</xdr:colOff>
      <xdr:row>301</xdr:row>
      <xdr:rowOff>8164</xdr:rowOff>
    </xdr:to>
    <xdr:pic>
      <xdr:nvPicPr>
        <xdr:cNvPr id="89841" name="1028">
          <a:extLst>
            <a:ext uri="{FF2B5EF4-FFF2-40B4-BE49-F238E27FC236}">
              <a16:creationId xmlns:a16="http://schemas.microsoft.com/office/drawing/2014/main" id="{AFF284DF-8132-1B79-A0B2-8E5179355B83}"/>
            </a:ext>
          </a:extLst>
        </xdr:cNvPr>
        <xdr:cNvPicPr>
          <a:picLocks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5970814" y="53342721"/>
          <a:ext cx="2095500" cy="2615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6</xdr:col>
      <xdr:colOff>0</xdr:colOff>
      <xdr:row>285</xdr:row>
      <xdr:rowOff>65314</xdr:rowOff>
    </xdr:from>
    <xdr:to>
      <xdr:col>8</xdr:col>
      <xdr:colOff>617764</xdr:colOff>
      <xdr:row>300</xdr:row>
      <xdr:rowOff>119743</xdr:rowOff>
    </xdr:to>
    <xdr:pic>
      <xdr:nvPicPr>
        <xdr:cNvPr id="89842" name="1027">
          <a:extLst>
            <a:ext uri="{FF2B5EF4-FFF2-40B4-BE49-F238E27FC236}">
              <a16:creationId xmlns:a16="http://schemas.microsoft.com/office/drawing/2014/main" id="{D96ABCF2-F80B-4B5C-B59F-08E21EFFA8CD}"/>
            </a:ext>
          </a:extLst>
        </xdr:cNvPr>
        <xdr:cNvPicPr>
          <a:picLocks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3886200" y="53184879"/>
          <a:ext cx="1913164" cy="2707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424543</xdr:colOff>
      <xdr:row>238</xdr:row>
      <xdr:rowOff>19050</xdr:rowOff>
    </xdr:from>
    <xdr:to>
      <xdr:col>5</xdr:col>
      <xdr:colOff>130629</xdr:colOff>
      <xdr:row>248</xdr:row>
      <xdr:rowOff>168729</xdr:rowOff>
    </xdr:to>
    <xdr:pic>
      <xdr:nvPicPr>
        <xdr:cNvPr id="89843" name="1014">
          <a:extLst>
            <a:ext uri="{FF2B5EF4-FFF2-40B4-BE49-F238E27FC236}">
              <a16:creationId xmlns:a16="http://schemas.microsoft.com/office/drawing/2014/main" id="{9EC23045-94C7-FA1C-0C6C-AFEBACB87030}"/>
            </a:ext>
          </a:extLst>
        </xdr:cNvPr>
        <xdr:cNvPicPr>
          <a:picLocks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719943" y="44824650"/>
          <a:ext cx="1649186" cy="1918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6</xdr:col>
      <xdr:colOff>10886</xdr:colOff>
      <xdr:row>227</xdr:row>
      <xdr:rowOff>38100</xdr:rowOff>
    </xdr:from>
    <xdr:to>
      <xdr:col>8</xdr:col>
      <xdr:colOff>628650</xdr:colOff>
      <xdr:row>233</xdr:row>
      <xdr:rowOff>8164</xdr:rowOff>
    </xdr:to>
    <xdr:pic>
      <xdr:nvPicPr>
        <xdr:cNvPr id="89844" name="1011">
          <a:extLst>
            <a:ext uri="{FF2B5EF4-FFF2-40B4-BE49-F238E27FC236}">
              <a16:creationId xmlns:a16="http://schemas.microsoft.com/office/drawing/2014/main" id="{4C29FF7A-A9D6-4DB7-7820-CF95144EA45F}"/>
            </a:ext>
          </a:extLst>
        </xdr:cNvPr>
        <xdr:cNvPicPr>
          <a:picLocks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3897086" y="42897879"/>
          <a:ext cx="1913164" cy="1031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182336</xdr:colOff>
      <xdr:row>306</xdr:row>
      <xdr:rowOff>130629</xdr:rowOff>
    </xdr:from>
    <xdr:to>
      <xdr:col>2</xdr:col>
      <xdr:colOff>517071</xdr:colOff>
      <xdr:row>320</xdr:row>
      <xdr:rowOff>65314</xdr:rowOff>
    </xdr:to>
    <xdr:pic>
      <xdr:nvPicPr>
        <xdr:cNvPr id="89845" name="1029">
          <a:extLst>
            <a:ext uri="{FF2B5EF4-FFF2-40B4-BE49-F238E27FC236}">
              <a16:creationId xmlns:a16="http://schemas.microsoft.com/office/drawing/2014/main" id="{C72715E4-872D-D951-6DEC-2DE3A7400FA1}"/>
            </a:ext>
          </a:extLst>
        </xdr:cNvPr>
        <xdr:cNvPicPr>
          <a:picLocks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82336" y="56964943"/>
          <a:ext cx="1630135" cy="2411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3</xdr:col>
      <xdr:colOff>506186</xdr:colOff>
      <xdr:row>305</xdr:row>
      <xdr:rowOff>130629</xdr:rowOff>
    </xdr:from>
    <xdr:to>
      <xdr:col>7</xdr:col>
      <xdr:colOff>617764</xdr:colOff>
      <xdr:row>320</xdr:row>
      <xdr:rowOff>0</xdr:rowOff>
    </xdr:to>
    <xdr:pic>
      <xdr:nvPicPr>
        <xdr:cNvPr id="89846" name="1030">
          <a:extLst>
            <a:ext uri="{FF2B5EF4-FFF2-40B4-BE49-F238E27FC236}">
              <a16:creationId xmlns:a16="http://schemas.microsoft.com/office/drawing/2014/main" id="{CF74B5E3-01A1-BAD0-C79F-D3594645766F}"/>
            </a:ext>
          </a:extLst>
        </xdr:cNvPr>
        <xdr:cNvPicPr>
          <a:picLocks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2449286" y="56788050"/>
          <a:ext cx="2702378" cy="2522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9</xdr:col>
      <xdr:colOff>122464</xdr:colOff>
      <xdr:row>305</xdr:row>
      <xdr:rowOff>92529</xdr:rowOff>
    </xdr:from>
    <xdr:to>
      <xdr:col>12</xdr:col>
      <xdr:colOff>242207</xdr:colOff>
      <xdr:row>319</xdr:row>
      <xdr:rowOff>103414</xdr:rowOff>
    </xdr:to>
    <xdr:pic>
      <xdr:nvPicPr>
        <xdr:cNvPr id="89847" name="1031">
          <a:extLst>
            <a:ext uri="{FF2B5EF4-FFF2-40B4-BE49-F238E27FC236}">
              <a16:creationId xmlns:a16="http://schemas.microsoft.com/office/drawing/2014/main" id="{9B67C07D-D5A0-A755-2599-56727AD18D29}"/>
            </a:ext>
          </a:extLst>
        </xdr:cNvPr>
        <xdr:cNvPicPr>
          <a:picLocks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5951764" y="56749950"/>
          <a:ext cx="2062843" cy="248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182336</xdr:colOff>
      <xdr:row>325</xdr:row>
      <xdr:rowOff>138793</xdr:rowOff>
    </xdr:from>
    <xdr:to>
      <xdr:col>3</xdr:col>
      <xdr:colOff>465364</xdr:colOff>
      <xdr:row>339</xdr:row>
      <xdr:rowOff>84364</xdr:rowOff>
    </xdr:to>
    <xdr:pic>
      <xdr:nvPicPr>
        <xdr:cNvPr id="89848" name="1032">
          <a:extLst>
            <a:ext uri="{FF2B5EF4-FFF2-40B4-BE49-F238E27FC236}">
              <a16:creationId xmlns:a16="http://schemas.microsoft.com/office/drawing/2014/main" id="{7061E32A-430E-A751-9CBA-A9C3CBD570AA}"/>
            </a:ext>
          </a:extLst>
        </xdr:cNvPr>
        <xdr:cNvPicPr>
          <a:picLocks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82336" y="60334071"/>
          <a:ext cx="2226128" cy="2422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283029</xdr:colOff>
      <xdr:row>326</xdr:row>
      <xdr:rowOff>119743</xdr:rowOff>
    </xdr:from>
    <xdr:to>
      <xdr:col>7</xdr:col>
      <xdr:colOff>446314</xdr:colOff>
      <xdr:row>339</xdr:row>
      <xdr:rowOff>119743</xdr:rowOff>
    </xdr:to>
    <xdr:pic>
      <xdr:nvPicPr>
        <xdr:cNvPr id="89849" name="1033">
          <a:extLst>
            <a:ext uri="{FF2B5EF4-FFF2-40B4-BE49-F238E27FC236}">
              <a16:creationId xmlns:a16="http://schemas.microsoft.com/office/drawing/2014/main" id="{090D19A5-5F0A-9808-54C2-BD15F58EA55D}"/>
            </a:ext>
          </a:extLst>
        </xdr:cNvPr>
        <xdr:cNvPicPr>
          <a:picLocks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2873829" y="60491914"/>
          <a:ext cx="2106385" cy="2299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242207</xdr:colOff>
      <xdr:row>350</xdr:row>
      <xdr:rowOff>92529</xdr:rowOff>
    </xdr:from>
    <xdr:to>
      <xdr:col>1</xdr:col>
      <xdr:colOff>587829</xdr:colOff>
      <xdr:row>361</xdr:row>
      <xdr:rowOff>46264</xdr:rowOff>
    </xdr:to>
    <xdr:pic>
      <xdr:nvPicPr>
        <xdr:cNvPr id="89850" name="3002">
          <a:extLst>
            <a:ext uri="{FF2B5EF4-FFF2-40B4-BE49-F238E27FC236}">
              <a16:creationId xmlns:a16="http://schemas.microsoft.com/office/drawing/2014/main" id="{6BC3767E-2FEC-D92B-9167-68305CEB2841}"/>
            </a:ext>
          </a:extLst>
        </xdr:cNvPr>
        <xdr:cNvPicPr>
          <a:picLocks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889907" y="64712850"/>
          <a:ext cx="345622" cy="1899557"/>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495300</xdr:colOff>
      <xdr:row>350</xdr:row>
      <xdr:rowOff>111579</xdr:rowOff>
    </xdr:from>
    <xdr:to>
      <xdr:col>4</xdr:col>
      <xdr:colOff>312964</xdr:colOff>
      <xdr:row>360</xdr:row>
      <xdr:rowOff>57150</xdr:rowOff>
    </xdr:to>
    <xdr:pic>
      <xdr:nvPicPr>
        <xdr:cNvPr id="89851" name="3005">
          <a:extLst>
            <a:ext uri="{FF2B5EF4-FFF2-40B4-BE49-F238E27FC236}">
              <a16:creationId xmlns:a16="http://schemas.microsoft.com/office/drawing/2014/main" id="{548864F1-CD34-1891-B2F8-146B7602B7C0}"/>
            </a:ext>
          </a:extLst>
        </xdr:cNvPr>
        <xdr:cNvPicPr>
          <a:picLocks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2438400" y="64731900"/>
          <a:ext cx="465364" cy="17145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51707</xdr:colOff>
      <xdr:row>349</xdr:row>
      <xdr:rowOff>111579</xdr:rowOff>
    </xdr:from>
    <xdr:to>
      <xdr:col>1</xdr:col>
      <xdr:colOff>40821</xdr:colOff>
      <xdr:row>361</xdr:row>
      <xdr:rowOff>19050</xdr:rowOff>
    </xdr:to>
    <xdr:pic>
      <xdr:nvPicPr>
        <xdr:cNvPr id="89852" name="3001">
          <a:extLst>
            <a:ext uri="{FF2B5EF4-FFF2-40B4-BE49-F238E27FC236}">
              <a16:creationId xmlns:a16="http://schemas.microsoft.com/office/drawing/2014/main" id="{7563353B-70F3-191F-76FB-148B5FEC2A9B}"/>
            </a:ext>
          </a:extLst>
        </xdr:cNvPr>
        <xdr:cNvPicPr>
          <a:picLocks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51707" y="64555007"/>
          <a:ext cx="636814" cy="2030186"/>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4</xdr:col>
      <xdr:colOff>517071</xdr:colOff>
      <xdr:row>350</xdr:row>
      <xdr:rowOff>57150</xdr:rowOff>
    </xdr:from>
    <xdr:to>
      <xdr:col>5</xdr:col>
      <xdr:colOff>163286</xdr:colOff>
      <xdr:row>371</xdr:row>
      <xdr:rowOff>103414</xdr:rowOff>
    </xdr:to>
    <xdr:pic>
      <xdr:nvPicPr>
        <xdr:cNvPr id="89853" name="3006">
          <a:extLst>
            <a:ext uri="{FF2B5EF4-FFF2-40B4-BE49-F238E27FC236}">
              <a16:creationId xmlns:a16="http://schemas.microsoft.com/office/drawing/2014/main" id="{F1DA11E2-87E3-65C5-1D8E-C81534CF2D25}"/>
            </a:ext>
          </a:extLst>
        </xdr:cNvPr>
        <xdr:cNvPicPr>
          <a:picLocks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3107871" y="64677471"/>
          <a:ext cx="293915" cy="376101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5</xdr:col>
      <xdr:colOff>353786</xdr:colOff>
      <xdr:row>350</xdr:row>
      <xdr:rowOff>73479</xdr:rowOff>
    </xdr:from>
    <xdr:to>
      <xdr:col>6</xdr:col>
      <xdr:colOff>111579</xdr:colOff>
      <xdr:row>378</xdr:row>
      <xdr:rowOff>0</xdr:rowOff>
    </xdr:to>
    <xdr:pic>
      <xdr:nvPicPr>
        <xdr:cNvPr id="89854" name="3007">
          <a:extLst>
            <a:ext uri="{FF2B5EF4-FFF2-40B4-BE49-F238E27FC236}">
              <a16:creationId xmlns:a16="http://schemas.microsoft.com/office/drawing/2014/main" id="{8BE9AA18-11DA-8A53-59C5-C7E48F9F97E6}"/>
            </a:ext>
          </a:extLst>
        </xdr:cNvPr>
        <xdr:cNvPicPr>
          <a:picLocks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3592286" y="64693800"/>
          <a:ext cx="405493" cy="4879521"/>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6</xdr:col>
      <xdr:colOff>253093</xdr:colOff>
      <xdr:row>350</xdr:row>
      <xdr:rowOff>73479</xdr:rowOff>
    </xdr:from>
    <xdr:to>
      <xdr:col>7</xdr:col>
      <xdr:colOff>40821</xdr:colOff>
      <xdr:row>377</xdr:row>
      <xdr:rowOff>138793</xdr:rowOff>
    </xdr:to>
    <xdr:pic>
      <xdr:nvPicPr>
        <xdr:cNvPr id="89855" name="3008">
          <a:extLst>
            <a:ext uri="{FF2B5EF4-FFF2-40B4-BE49-F238E27FC236}">
              <a16:creationId xmlns:a16="http://schemas.microsoft.com/office/drawing/2014/main" id="{F9CE0877-8D2B-F790-E30A-87803A1171EB}"/>
            </a:ext>
          </a:extLst>
        </xdr:cNvPr>
        <xdr:cNvPicPr>
          <a:picLocks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4139293" y="64693800"/>
          <a:ext cx="435428" cy="4841421"/>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7</xdr:col>
      <xdr:colOff>193221</xdr:colOff>
      <xdr:row>350</xdr:row>
      <xdr:rowOff>84364</xdr:rowOff>
    </xdr:from>
    <xdr:to>
      <xdr:col>8</xdr:col>
      <xdr:colOff>40821</xdr:colOff>
      <xdr:row>363</xdr:row>
      <xdr:rowOff>130629</xdr:rowOff>
    </xdr:to>
    <xdr:pic>
      <xdr:nvPicPr>
        <xdr:cNvPr id="89856" name="3009">
          <a:extLst>
            <a:ext uri="{FF2B5EF4-FFF2-40B4-BE49-F238E27FC236}">
              <a16:creationId xmlns:a16="http://schemas.microsoft.com/office/drawing/2014/main" id="{AEC6C61D-8CF9-2461-73BB-29666FCE46F6}"/>
            </a:ext>
          </a:extLst>
        </xdr:cNvPr>
        <xdr:cNvPicPr>
          <a:picLocks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4727121" y="64704686"/>
          <a:ext cx="495300" cy="2345871"/>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8</xdr:col>
      <xdr:colOff>141514</xdr:colOff>
      <xdr:row>350</xdr:row>
      <xdr:rowOff>73479</xdr:rowOff>
    </xdr:from>
    <xdr:to>
      <xdr:col>8</xdr:col>
      <xdr:colOff>536121</xdr:colOff>
      <xdr:row>368</xdr:row>
      <xdr:rowOff>38100</xdr:rowOff>
    </xdr:to>
    <xdr:pic>
      <xdr:nvPicPr>
        <xdr:cNvPr id="89857" name="3010">
          <a:extLst>
            <a:ext uri="{FF2B5EF4-FFF2-40B4-BE49-F238E27FC236}">
              <a16:creationId xmlns:a16="http://schemas.microsoft.com/office/drawing/2014/main" id="{8AB78435-C13E-328D-8412-CEC882BC9195}"/>
            </a:ext>
          </a:extLst>
        </xdr:cNvPr>
        <xdr:cNvPicPr>
          <a:picLocks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5323114" y="64693800"/>
          <a:ext cx="394607" cy="314869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8</xdr:col>
      <xdr:colOff>617764</xdr:colOff>
      <xdr:row>350</xdr:row>
      <xdr:rowOff>65314</xdr:rowOff>
    </xdr:from>
    <xdr:to>
      <xdr:col>10</xdr:col>
      <xdr:colOff>0</xdr:colOff>
      <xdr:row>374</xdr:row>
      <xdr:rowOff>130629</xdr:rowOff>
    </xdr:to>
    <xdr:pic>
      <xdr:nvPicPr>
        <xdr:cNvPr id="89858" name="3011">
          <a:extLst>
            <a:ext uri="{FF2B5EF4-FFF2-40B4-BE49-F238E27FC236}">
              <a16:creationId xmlns:a16="http://schemas.microsoft.com/office/drawing/2014/main" id="{94275BB2-91D2-B7FE-E513-3690E238E1A2}"/>
            </a:ext>
          </a:extLst>
        </xdr:cNvPr>
        <xdr:cNvPicPr>
          <a:picLocks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5799364" y="64685636"/>
          <a:ext cx="677636" cy="43107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2</xdr:col>
      <xdr:colOff>163286</xdr:colOff>
      <xdr:row>350</xdr:row>
      <xdr:rowOff>57150</xdr:rowOff>
    </xdr:from>
    <xdr:to>
      <xdr:col>2</xdr:col>
      <xdr:colOff>364671</xdr:colOff>
      <xdr:row>362</xdr:row>
      <xdr:rowOff>168729</xdr:rowOff>
    </xdr:to>
    <xdr:pic>
      <xdr:nvPicPr>
        <xdr:cNvPr id="89859" name="3003">
          <a:extLst>
            <a:ext uri="{FF2B5EF4-FFF2-40B4-BE49-F238E27FC236}">
              <a16:creationId xmlns:a16="http://schemas.microsoft.com/office/drawing/2014/main" id="{C8FE678F-62B8-CB5B-163D-CF2C8FE0CAAD}"/>
            </a:ext>
          </a:extLst>
        </xdr:cNvPr>
        <xdr:cNvPicPr>
          <a:picLocks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1458686" y="64677471"/>
          <a:ext cx="201385" cy="223429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3</xdr:col>
      <xdr:colOff>29936</xdr:colOff>
      <xdr:row>350</xdr:row>
      <xdr:rowOff>38100</xdr:rowOff>
    </xdr:from>
    <xdr:to>
      <xdr:col>3</xdr:col>
      <xdr:colOff>253093</xdr:colOff>
      <xdr:row>362</xdr:row>
      <xdr:rowOff>168729</xdr:rowOff>
    </xdr:to>
    <xdr:pic>
      <xdr:nvPicPr>
        <xdr:cNvPr id="89860" name="3004">
          <a:extLst>
            <a:ext uri="{FF2B5EF4-FFF2-40B4-BE49-F238E27FC236}">
              <a16:creationId xmlns:a16="http://schemas.microsoft.com/office/drawing/2014/main" id="{3D7C0763-CD52-6901-113C-718F9A33DCE8}"/>
            </a:ext>
          </a:extLst>
        </xdr:cNvPr>
        <xdr:cNvPicPr>
          <a:picLocks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973036" y="64658421"/>
          <a:ext cx="223157" cy="22533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0</xdr:col>
      <xdr:colOff>152400</xdr:colOff>
      <xdr:row>365</xdr:row>
      <xdr:rowOff>119743</xdr:rowOff>
    </xdr:from>
    <xdr:to>
      <xdr:col>0</xdr:col>
      <xdr:colOff>566057</xdr:colOff>
      <xdr:row>373</xdr:row>
      <xdr:rowOff>57150</xdr:rowOff>
    </xdr:to>
    <xdr:pic>
      <xdr:nvPicPr>
        <xdr:cNvPr id="89861" name="3013">
          <a:extLst>
            <a:ext uri="{FF2B5EF4-FFF2-40B4-BE49-F238E27FC236}">
              <a16:creationId xmlns:a16="http://schemas.microsoft.com/office/drawing/2014/main" id="{2CC111E4-9DFB-3AB7-170C-7CA8EAE6C8D5}"/>
            </a:ext>
          </a:extLst>
        </xdr:cNvPr>
        <xdr:cNvPicPr>
          <a:picLocks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152400" y="67393457"/>
          <a:ext cx="413657" cy="13525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10</xdr:col>
      <xdr:colOff>111579</xdr:colOff>
      <xdr:row>350</xdr:row>
      <xdr:rowOff>57150</xdr:rowOff>
    </xdr:from>
    <xdr:to>
      <xdr:col>10</xdr:col>
      <xdr:colOff>536121</xdr:colOff>
      <xdr:row>374</xdr:row>
      <xdr:rowOff>111579</xdr:rowOff>
    </xdr:to>
    <xdr:pic>
      <xdr:nvPicPr>
        <xdr:cNvPr id="89862" name="3012">
          <a:extLst>
            <a:ext uri="{FF2B5EF4-FFF2-40B4-BE49-F238E27FC236}">
              <a16:creationId xmlns:a16="http://schemas.microsoft.com/office/drawing/2014/main" id="{510C28DD-5A05-FE38-0EB8-8B96371CD1A4}"/>
            </a:ext>
          </a:extLst>
        </xdr:cNvPr>
        <xdr:cNvPicPr>
          <a:picLocks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6588579" y="64677471"/>
          <a:ext cx="424542" cy="4299858"/>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xdr:col>
      <xdr:colOff>171450</xdr:colOff>
      <xdr:row>365</xdr:row>
      <xdr:rowOff>119743</xdr:rowOff>
    </xdr:from>
    <xdr:to>
      <xdr:col>1</xdr:col>
      <xdr:colOff>495300</xdr:colOff>
      <xdr:row>376</xdr:row>
      <xdr:rowOff>84364</xdr:rowOff>
    </xdr:to>
    <xdr:pic>
      <xdr:nvPicPr>
        <xdr:cNvPr id="89863" name="3014">
          <a:extLst>
            <a:ext uri="{FF2B5EF4-FFF2-40B4-BE49-F238E27FC236}">
              <a16:creationId xmlns:a16="http://schemas.microsoft.com/office/drawing/2014/main" id="{480667E2-835E-0261-4502-EEB75F21373F}"/>
            </a:ext>
          </a:extLst>
        </xdr:cNvPr>
        <xdr:cNvPicPr>
          <a:picLocks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819150" y="67393457"/>
          <a:ext cx="323850" cy="1910443"/>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11</xdr:col>
      <xdr:colOff>212271</xdr:colOff>
      <xdr:row>350</xdr:row>
      <xdr:rowOff>73479</xdr:rowOff>
    </xdr:from>
    <xdr:to>
      <xdr:col>12</xdr:col>
      <xdr:colOff>0</xdr:colOff>
      <xdr:row>378</xdr:row>
      <xdr:rowOff>149679</xdr:rowOff>
    </xdr:to>
    <xdr:pic>
      <xdr:nvPicPr>
        <xdr:cNvPr id="89864" name="3015">
          <a:extLst>
            <a:ext uri="{FF2B5EF4-FFF2-40B4-BE49-F238E27FC236}">
              <a16:creationId xmlns:a16="http://schemas.microsoft.com/office/drawing/2014/main" id="{4DE9917F-6EC1-8D84-7344-88D2A01A9109}"/>
            </a:ext>
          </a:extLst>
        </xdr:cNvPr>
        <xdr:cNvPicPr>
          <a:picLocks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7336971" y="64693800"/>
          <a:ext cx="435429" cy="50292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pic>
    <xdr:clientData fLocksWithSheet="0"/>
  </xdr:twoCellAnchor>
  <xdr:twoCellAnchor editAs="oneCell">
    <xdr:from>
      <xdr:col>1</xdr:col>
      <xdr:colOff>152400</xdr:colOff>
      <xdr:row>46</xdr:row>
      <xdr:rowOff>97971</xdr:rowOff>
    </xdr:from>
    <xdr:to>
      <xdr:col>1</xdr:col>
      <xdr:colOff>517071</xdr:colOff>
      <xdr:row>49</xdr:row>
      <xdr:rowOff>97971</xdr:rowOff>
    </xdr:to>
    <xdr:pic>
      <xdr:nvPicPr>
        <xdr:cNvPr id="89865" name="517">
          <a:extLst>
            <a:ext uri="{FF2B5EF4-FFF2-40B4-BE49-F238E27FC236}">
              <a16:creationId xmlns:a16="http://schemas.microsoft.com/office/drawing/2014/main" id="{F0B2579D-23E3-E4B5-FDC8-0CFD039DA078}"/>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00100" y="9734550"/>
          <a:ext cx="364671"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12</xdr:col>
      <xdr:colOff>19050</xdr:colOff>
      <xdr:row>56</xdr:row>
      <xdr:rowOff>38100</xdr:rowOff>
    </xdr:from>
    <xdr:to>
      <xdr:col>13</xdr:col>
      <xdr:colOff>495300</xdr:colOff>
      <xdr:row>98</xdr:row>
      <xdr:rowOff>38100</xdr:rowOff>
    </xdr:to>
    <xdr:pic>
      <xdr:nvPicPr>
        <xdr:cNvPr id="89866" name="Picture 311" descr="PACKER2">
          <a:extLst>
            <a:ext uri="{FF2B5EF4-FFF2-40B4-BE49-F238E27FC236}">
              <a16:creationId xmlns:a16="http://schemas.microsoft.com/office/drawing/2014/main" id="{FFE19217-37E5-86B3-CF58-0B711733D2B2}"/>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7791450" y="11465379"/>
          <a:ext cx="1123950" cy="742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446314</xdr:colOff>
      <xdr:row>390</xdr:row>
      <xdr:rowOff>73479</xdr:rowOff>
    </xdr:from>
    <xdr:to>
      <xdr:col>0</xdr:col>
      <xdr:colOff>446314</xdr:colOff>
      <xdr:row>393</xdr:row>
      <xdr:rowOff>119743</xdr:rowOff>
    </xdr:to>
    <xdr:sp macro="" textlink="">
      <xdr:nvSpPr>
        <xdr:cNvPr id="89867" name="Line 313">
          <a:extLst>
            <a:ext uri="{FF2B5EF4-FFF2-40B4-BE49-F238E27FC236}">
              <a16:creationId xmlns:a16="http://schemas.microsoft.com/office/drawing/2014/main" id="{BA4848AA-01D9-CAD8-8E56-3389E5199B25}"/>
            </a:ext>
          </a:extLst>
        </xdr:cNvPr>
        <xdr:cNvSpPr>
          <a:spLocks noChangeShapeType="1"/>
        </xdr:cNvSpPr>
      </xdr:nvSpPr>
      <xdr:spPr bwMode="auto">
        <a:xfrm flipV="1">
          <a:off x="446314" y="71769514"/>
          <a:ext cx="0" cy="57694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536121</xdr:colOff>
      <xdr:row>396</xdr:row>
      <xdr:rowOff>149679</xdr:rowOff>
    </xdr:from>
    <xdr:to>
      <xdr:col>0</xdr:col>
      <xdr:colOff>536121</xdr:colOff>
      <xdr:row>397</xdr:row>
      <xdr:rowOff>19050</xdr:rowOff>
    </xdr:to>
    <xdr:sp macro="" textlink="">
      <xdr:nvSpPr>
        <xdr:cNvPr id="89868" name="Rectangle 314">
          <a:extLst>
            <a:ext uri="{FF2B5EF4-FFF2-40B4-BE49-F238E27FC236}">
              <a16:creationId xmlns:a16="http://schemas.microsoft.com/office/drawing/2014/main" id="{CE97E84A-6D07-2DA3-69D3-BCBA915E50E2}"/>
            </a:ext>
          </a:extLst>
        </xdr:cNvPr>
        <xdr:cNvSpPr>
          <a:spLocks noChangeArrowheads="1"/>
        </xdr:cNvSpPr>
      </xdr:nvSpPr>
      <xdr:spPr bwMode="auto">
        <a:xfrm>
          <a:off x="536121" y="72907071"/>
          <a:ext cx="0" cy="46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636814</xdr:colOff>
      <xdr:row>396</xdr:row>
      <xdr:rowOff>149679</xdr:rowOff>
    </xdr:from>
    <xdr:to>
      <xdr:col>1</xdr:col>
      <xdr:colOff>0</xdr:colOff>
      <xdr:row>397</xdr:row>
      <xdr:rowOff>19050</xdr:rowOff>
    </xdr:to>
    <xdr:sp macro="" textlink="">
      <xdr:nvSpPr>
        <xdr:cNvPr id="89869" name="Rectangle 315">
          <a:extLst>
            <a:ext uri="{FF2B5EF4-FFF2-40B4-BE49-F238E27FC236}">
              <a16:creationId xmlns:a16="http://schemas.microsoft.com/office/drawing/2014/main" id="{F04CFDF1-4C8B-487A-F578-895050DA2671}"/>
            </a:ext>
          </a:extLst>
        </xdr:cNvPr>
        <xdr:cNvSpPr>
          <a:spLocks noChangeArrowheads="1"/>
        </xdr:cNvSpPr>
      </xdr:nvSpPr>
      <xdr:spPr bwMode="auto">
        <a:xfrm>
          <a:off x="636814" y="72907071"/>
          <a:ext cx="10886" cy="46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606879</xdr:colOff>
      <xdr:row>396</xdr:row>
      <xdr:rowOff>149679</xdr:rowOff>
    </xdr:from>
    <xdr:to>
      <xdr:col>0</xdr:col>
      <xdr:colOff>606879</xdr:colOff>
      <xdr:row>397</xdr:row>
      <xdr:rowOff>19050</xdr:rowOff>
    </xdr:to>
    <xdr:sp macro="" textlink="">
      <xdr:nvSpPr>
        <xdr:cNvPr id="89870" name="Rectangle 316">
          <a:extLst>
            <a:ext uri="{FF2B5EF4-FFF2-40B4-BE49-F238E27FC236}">
              <a16:creationId xmlns:a16="http://schemas.microsoft.com/office/drawing/2014/main" id="{758F1CEF-F6A2-1214-A4B2-E5A5A713BF49}"/>
            </a:ext>
          </a:extLst>
        </xdr:cNvPr>
        <xdr:cNvSpPr>
          <a:spLocks noChangeArrowheads="1"/>
        </xdr:cNvSpPr>
      </xdr:nvSpPr>
      <xdr:spPr bwMode="auto">
        <a:xfrm>
          <a:off x="606879" y="72907071"/>
          <a:ext cx="0" cy="46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587829</xdr:colOff>
      <xdr:row>396</xdr:row>
      <xdr:rowOff>149679</xdr:rowOff>
    </xdr:from>
    <xdr:to>
      <xdr:col>0</xdr:col>
      <xdr:colOff>587829</xdr:colOff>
      <xdr:row>397</xdr:row>
      <xdr:rowOff>19050</xdr:rowOff>
    </xdr:to>
    <xdr:sp macro="" textlink="">
      <xdr:nvSpPr>
        <xdr:cNvPr id="89871" name="Rectangle 317">
          <a:extLst>
            <a:ext uri="{FF2B5EF4-FFF2-40B4-BE49-F238E27FC236}">
              <a16:creationId xmlns:a16="http://schemas.microsoft.com/office/drawing/2014/main" id="{8C2966E1-355E-B754-C98B-52470A5F1DBF}"/>
            </a:ext>
          </a:extLst>
        </xdr:cNvPr>
        <xdr:cNvSpPr>
          <a:spLocks noChangeArrowheads="1"/>
        </xdr:cNvSpPr>
      </xdr:nvSpPr>
      <xdr:spPr bwMode="auto">
        <a:xfrm>
          <a:off x="587829" y="72907071"/>
          <a:ext cx="0" cy="46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566057</xdr:colOff>
      <xdr:row>396</xdr:row>
      <xdr:rowOff>149679</xdr:rowOff>
    </xdr:from>
    <xdr:to>
      <xdr:col>0</xdr:col>
      <xdr:colOff>576943</xdr:colOff>
      <xdr:row>397</xdr:row>
      <xdr:rowOff>19050</xdr:rowOff>
    </xdr:to>
    <xdr:sp macro="" textlink="">
      <xdr:nvSpPr>
        <xdr:cNvPr id="89872" name="Rectangle 318">
          <a:extLst>
            <a:ext uri="{FF2B5EF4-FFF2-40B4-BE49-F238E27FC236}">
              <a16:creationId xmlns:a16="http://schemas.microsoft.com/office/drawing/2014/main" id="{BDB5299B-A042-5408-49A5-69D9D5C1BD32}"/>
            </a:ext>
          </a:extLst>
        </xdr:cNvPr>
        <xdr:cNvSpPr>
          <a:spLocks noChangeArrowheads="1"/>
        </xdr:cNvSpPr>
      </xdr:nvSpPr>
      <xdr:spPr bwMode="auto">
        <a:xfrm>
          <a:off x="566057" y="72907071"/>
          <a:ext cx="10886" cy="46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628650</xdr:colOff>
      <xdr:row>396</xdr:row>
      <xdr:rowOff>149679</xdr:rowOff>
    </xdr:from>
    <xdr:to>
      <xdr:col>0</xdr:col>
      <xdr:colOff>628650</xdr:colOff>
      <xdr:row>397</xdr:row>
      <xdr:rowOff>19050</xdr:rowOff>
    </xdr:to>
    <xdr:sp macro="" textlink="">
      <xdr:nvSpPr>
        <xdr:cNvPr id="89873" name="Rectangle 319">
          <a:extLst>
            <a:ext uri="{FF2B5EF4-FFF2-40B4-BE49-F238E27FC236}">
              <a16:creationId xmlns:a16="http://schemas.microsoft.com/office/drawing/2014/main" id="{8D0D4F5D-AA53-EF8D-A618-0EB899916C4F}"/>
            </a:ext>
          </a:extLst>
        </xdr:cNvPr>
        <xdr:cNvSpPr>
          <a:spLocks noChangeArrowheads="1"/>
        </xdr:cNvSpPr>
      </xdr:nvSpPr>
      <xdr:spPr bwMode="auto">
        <a:xfrm>
          <a:off x="628650" y="72907071"/>
          <a:ext cx="0" cy="46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557893</xdr:colOff>
      <xdr:row>396</xdr:row>
      <xdr:rowOff>149679</xdr:rowOff>
    </xdr:from>
    <xdr:to>
      <xdr:col>0</xdr:col>
      <xdr:colOff>557893</xdr:colOff>
      <xdr:row>397</xdr:row>
      <xdr:rowOff>19050</xdr:rowOff>
    </xdr:to>
    <xdr:sp macro="" textlink="">
      <xdr:nvSpPr>
        <xdr:cNvPr id="89874" name="Rectangle 320">
          <a:extLst>
            <a:ext uri="{FF2B5EF4-FFF2-40B4-BE49-F238E27FC236}">
              <a16:creationId xmlns:a16="http://schemas.microsoft.com/office/drawing/2014/main" id="{A97D891C-F967-3669-B598-A63E268E8D4C}"/>
            </a:ext>
          </a:extLst>
        </xdr:cNvPr>
        <xdr:cNvSpPr>
          <a:spLocks noChangeArrowheads="1"/>
        </xdr:cNvSpPr>
      </xdr:nvSpPr>
      <xdr:spPr bwMode="auto">
        <a:xfrm>
          <a:off x="557893" y="72907071"/>
          <a:ext cx="0" cy="46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517071</xdr:colOff>
      <xdr:row>396</xdr:row>
      <xdr:rowOff>149679</xdr:rowOff>
    </xdr:from>
    <xdr:to>
      <xdr:col>0</xdr:col>
      <xdr:colOff>517071</xdr:colOff>
      <xdr:row>397</xdr:row>
      <xdr:rowOff>19050</xdr:rowOff>
    </xdr:to>
    <xdr:sp macro="" textlink="">
      <xdr:nvSpPr>
        <xdr:cNvPr id="89875" name="Rectangle 321">
          <a:extLst>
            <a:ext uri="{FF2B5EF4-FFF2-40B4-BE49-F238E27FC236}">
              <a16:creationId xmlns:a16="http://schemas.microsoft.com/office/drawing/2014/main" id="{C9A46CA9-2E27-E141-E0A2-280AF53EED6B}"/>
            </a:ext>
          </a:extLst>
        </xdr:cNvPr>
        <xdr:cNvSpPr>
          <a:spLocks noChangeArrowheads="1"/>
        </xdr:cNvSpPr>
      </xdr:nvSpPr>
      <xdr:spPr bwMode="auto">
        <a:xfrm>
          <a:off x="517071" y="72907071"/>
          <a:ext cx="0" cy="46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495300</xdr:colOff>
      <xdr:row>396</xdr:row>
      <xdr:rowOff>149679</xdr:rowOff>
    </xdr:from>
    <xdr:to>
      <xdr:col>0</xdr:col>
      <xdr:colOff>495300</xdr:colOff>
      <xdr:row>397</xdr:row>
      <xdr:rowOff>19050</xdr:rowOff>
    </xdr:to>
    <xdr:sp macro="" textlink="">
      <xdr:nvSpPr>
        <xdr:cNvPr id="89876" name="Rectangle 322">
          <a:extLst>
            <a:ext uri="{FF2B5EF4-FFF2-40B4-BE49-F238E27FC236}">
              <a16:creationId xmlns:a16="http://schemas.microsoft.com/office/drawing/2014/main" id="{89D24CFA-F127-B83D-E0BE-0A4D51F0B3D3}"/>
            </a:ext>
          </a:extLst>
        </xdr:cNvPr>
        <xdr:cNvSpPr>
          <a:spLocks noChangeArrowheads="1"/>
        </xdr:cNvSpPr>
      </xdr:nvSpPr>
      <xdr:spPr bwMode="auto">
        <a:xfrm>
          <a:off x="495300" y="72907071"/>
          <a:ext cx="0" cy="46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476250</xdr:colOff>
      <xdr:row>396</xdr:row>
      <xdr:rowOff>149679</xdr:rowOff>
    </xdr:from>
    <xdr:to>
      <xdr:col>0</xdr:col>
      <xdr:colOff>487136</xdr:colOff>
      <xdr:row>397</xdr:row>
      <xdr:rowOff>19050</xdr:rowOff>
    </xdr:to>
    <xdr:sp macro="" textlink="">
      <xdr:nvSpPr>
        <xdr:cNvPr id="89877" name="Rectangle 323">
          <a:extLst>
            <a:ext uri="{FF2B5EF4-FFF2-40B4-BE49-F238E27FC236}">
              <a16:creationId xmlns:a16="http://schemas.microsoft.com/office/drawing/2014/main" id="{27938478-6119-BD92-716F-0C94ACAF09D5}"/>
            </a:ext>
          </a:extLst>
        </xdr:cNvPr>
        <xdr:cNvSpPr>
          <a:spLocks noChangeArrowheads="1"/>
        </xdr:cNvSpPr>
      </xdr:nvSpPr>
      <xdr:spPr bwMode="auto">
        <a:xfrm>
          <a:off x="476250" y="72907071"/>
          <a:ext cx="10886" cy="46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454479</xdr:colOff>
      <xdr:row>396</xdr:row>
      <xdr:rowOff>149679</xdr:rowOff>
    </xdr:from>
    <xdr:to>
      <xdr:col>0</xdr:col>
      <xdr:colOff>465364</xdr:colOff>
      <xdr:row>397</xdr:row>
      <xdr:rowOff>19050</xdr:rowOff>
    </xdr:to>
    <xdr:sp macro="" textlink="">
      <xdr:nvSpPr>
        <xdr:cNvPr id="89878" name="Rectangle 324">
          <a:extLst>
            <a:ext uri="{FF2B5EF4-FFF2-40B4-BE49-F238E27FC236}">
              <a16:creationId xmlns:a16="http://schemas.microsoft.com/office/drawing/2014/main" id="{B9EECE96-FD17-587E-2199-932E551846AA}"/>
            </a:ext>
          </a:extLst>
        </xdr:cNvPr>
        <xdr:cNvSpPr>
          <a:spLocks noChangeArrowheads="1"/>
        </xdr:cNvSpPr>
      </xdr:nvSpPr>
      <xdr:spPr bwMode="auto">
        <a:xfrm>
          <a:off x="454479" y="72907071"/>
          <a:ext cx="10885" cy="4626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536121</xdr:colOff>
      <xdr:row>397</xdr:row>
      <xdr:rowOff>57150</xdr:rowOff>
    </xdr:from>
    <xdr:to>
      <xdr:col>0</xdr:col>
      <xdr:colOff>536121</xdr:colOff>
      <xdr:row>397</xdr:row>
      <xdr:rowOff>84364</xdr:rowOff>
    </xdr:to>
    <xdr:sp macro="" textlink="">
      <xdr:nvSpPr>
        <xdr:cNvPr id="89879" name="Rectangle 325">
          <a:extLst>
            <a:ext uri="{FF2B5EF4-FFF2-40B4-BE49-F238E27FC236}">
              <a16:creationId xmlns:a16="http://schemas.microsoft.com/office/drawing/2014/main" id="{5449EBBF-FB5C-1C96-B156-61D6B6A1C5D0}"/>
            </a:ext>
          </a:extLst>
        </xdr:cNvPr>
        <xdr:cNvSpPr>
          <a:spLocks noChangeArrowheads="1"/>
        </xdr:cNvSpPr>
      </xdr:nvSpPr>
      <xdr:spPr bwMode="auto">
        <a:xfrm>
          <a:off x="536121" y="72991436"/>
          <a:ext cx="0"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636814</xdr:colOff>
      <xdr:row>397</xdr:row>
      <xdr:rowOff>57150</xdr:rowOff>
    </xdr:from>
    <xdr:to>
      <xdr:col>1</xdr:col>
      <xdr:colOff>0</xdr:colOff>
      <xdr:row>397</xdr:row>
      <xdr:rowOff>84364</xdr:rowOff>
    </xdr:to>
    <xdr:sp macro="" textlink="">
      <xdr:nvSpPr>
        <xdr:cNvPr id="89880" name="Rectangle 326">
          <a:extLst>
            <a:ext uri="{FF2B5EF4-FFF2-40B4-BE49-F238E27FC236}">
              <a16:creationId xmlns:a16="http://schemas.microsoft.com/office/drawing/2014/main" id="{5A8547FC-B089-E29B-0DE6-261349CC571C}"/>
            </a:ext>
          </a:extLst>
        </xdr:cNvPr>
        <xdr:cNvSpPr>
          <a:spLocks noChangeArrowheads="1"/>
        </xdr:cNvSpPr>
      </xdr:nvSpPr>
      <xdr:spPr bwMode="auto">
        <a:xfrm>
          <a:off x="636814" y="72991436"/>
          <a:ext cx="10886"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606879</xdr:colOff>
      <xdr:row>397</xdr:row>
      <xdr:rowOff>57150</xdr:rowOff>
    </xdr:from>
    <xdr:to>
      <xdr:col>0</xdr:col>
      <xdr:colOff>606879</xdr:colOff>
      <xdr:row>397</xdr:row>
      <xdr:rowOff>84364</xdr:rowOff>
    </xdr:to>
    <xdr:sp macro="" textlink="">
      <xdr:nvSpPr>
        <xdr:cNvPr id="89881" name="Rectangle 327">
          <a:extLst>
            <a:ext uri="{FF2B5EF4-FFF2-40B4-BE49-F238E27FC236}">
              <a16:creationId xmlns:a16="http://schemas.microsoft.com/office/drawing/2014/main" id="{7AB44287-0CB6-A189-504C-EE6FE04237C9}"/>
            </a:ext>
          </a:extLst>
        </xdr:cNvPr>
        <xdr:cNvSpPr>
          <a:spLocks noChangeArrowheads="1"/>
        </xdr:cNvSpPr>
      </xdr:nvSpPr>
      <xdr:spPr bwMode="auto">
        <a:xfrm>
          <a:off x="606879" y="72991436"/>
          <a:ext cx="0"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587829</xdr:colOff>
      <xdr:row>397</xdr:row>
      <xdr:rowOff>57150</xdr:rowOff>
    </xdr:from>
    <xdr:to>
      <xdr:col>0</xdr:col>
      <xdr:colOff>587829</xdr:colOff>
      <xdr:row>397</xdr:row>
      <xdr:rowOff>84364</xdr:rowOff>
    </xdr:to>
    <xdr:sp macro="" textlink="">
      <xdr:nvSpPr>
        <xdr:cNvPr id="89882" name="Rectangle 328">
          <a:extLst>
            <a:ext uri="{FF2B5EF4-FFF2-40B4-BE49-F238E27FC236}">
              <a16:creationId xmlns:a16="http://schemas.microsoft.com/office/drawing/2014/main" id="{4F0F5748-3FFC-CE2C-B01D-9397872BE69B}"/>
            </a:ext>
          </a:extLst>
        </xdr:cNvPr>
        <xdr:cNvSpPr>
          <a:spLocks noChangeArrowheads="1"/>
        </xdr:cNvSpPr>
      </xdr:nvSpPr>
      <xdr:spPr bwMode="auto">
        <a:xfrm>
          <a:off x="587829" y="72991436"/>
          <a:ext cx="0"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566057</xdr:colOff>
      <xdr:row>397</xdr:row>
      <xdr:rowOff>65314</xdr:rowOff>
    </xdr:from>
    <xdr:to>
      <xdr:col>0</xdr:col>
      <xdr:colOff>566057</xdr:colOff>
      <xdr:row>397</xdr:row>
      <xdr:rowOff>84364</xdr:rowOff>
    </xdr:to>
    <xdr:sp macro="" textlink="">
      <xdr:nvSpPr>
        <xdr:cNvPr id="89883" name="Rectangle 329">
          <a:extLst>
            <a:ext uri="{FF2B5EF4-FFF2-40B4-BE49-F238E27FC236}">
              <a16:creationId xmlns:a16="http://schemas.microsoft.com/office/drawing/2014/main" id="{C436F2A7-56BE-1F3E-4654-B361E556E637}"/>
            </a:ext>
          </a:extLst>
        </xdr:cNvPr>
        <xdr:cNvSpPr>
          <a:spLocks noChangeArrowheads="1"/>
        </xdr:cNvSpPr>
      </xdr:nvSpPr>
      <xdr:spPr bwMode="auto">
        <a:xfrm>
          <a:off x="566057" y="72999600"/>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617764</xdr:colOff>
      <xdr:row>397</xdr:row>
      <xdr:rowOff>65314</xdr:rowOff>
    </xdr:from>
    <xdr:to>
      <xdr:col>0</xdr:col>
      <xdr:colOff>628650</xdr:colOff>
      <xdr:row>397</xdr:row>
      <xdr:rowOff>84364</xdr:rowOff>
    </xdr:to>
    <xdr:sp macro="" textlink="">
      <xdr:nvSpPr>
        <xdr:cNvPr id="89884" name="Rectangle 330">
          <a:extLst>
            <a:ext uri="{FF2B5EF4-FFF2-40B4-BE49-F238E27FC236}">
              <a16:creationId xmlns:a16="http://schemas.microsoft.com/office/drawing/2014/main" id="{80E11811-D3B3-2BBD-089C-27BF66B72D29}"/>
            </a:ext>
          </a:extLst>
        </xdr:cNvPr>
        <xdr:cNvSpPr>
          <a:spLocks noChangeArrowheads="1"/>
        </xdr:cNvSpPr>
      </xdr:nvSpPr>
      <xdr:spPr bwMode="auto">
        <a:xfrm>
          <a:off x="617764" y="72999600"/>
          <a:ext cx="10886"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557893</xdr:colOff>
      <xdr:row>397</xdr:row>
      <xdr:rowOff>65314</xdr:rowOff>
    </xdr:from>
    <xdr:to>
      <xdr:col>0</xdr:col>
      <xdr:colOff>557893</xdr:colOff>
      <xdr:row>397</xdr:row>
      <xdr:rowOff>84364</xdr:rowOff>
    </xdr:to>
    <xdr:sp macro="" textlink="">
      <xdr:nvSpPr>
        <xdr:cNvPr id="89885" name="Rectangle 331">
          <a:extLst>
            <a:ext uri="{FF2B5EF4-FFF2-40B4-BE49-F238E27FC236}">
              <a16:creationId xmlns:a16="http://schemas.microsoft.com/office/drawing/2014/main" id="{D0EC61C2-9579-6A3E-FC21-7603358CEA93}"/>
            </a:ext>
          </a:extLst>
        </xdr:cNvPr>
        <xdr:cNvSpPr>
          <a:spLocks noChangeArrowheads="1"/>
        </xdr:cNvSpPr>
      </xdr:nvSpPr>
      <xdr:spPr bwMode="auto">
        <a:xfrm>
          <a:off x="557893" y="72999600"/>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517071</xdr:colOff>
      <xdr:row>397</xdr:row>
      <xdr:rowOff>57150</xdr:rowOff>
    </xdr:from>
    <xdr:to>
      <xdr:col>0</xdr:col>
      <xdr:colOff>517071</xdr:colOff>
      <xdr:row>397</xdr:row>
      <xdr:rowOff>84364</xdr:rowOff>
    </xdr:to>
    <xdr:sp macro="" textlink="">
      <xdr:nvSpPr>
        <xdr:cNvPr id="89886" name="Rectangle 332">
          <a:extLst>
            <a:ext uri="{FF2B5EF4-FFF2-40B4-BE49-F238E27FC236}">
              <a16:creationId xmlns:a16="http://schemas.microsoft.com/office/drawing/2014/main" id="{16923EE2-CB96-6165-16B7-D74142D7565B}"/>
            </a:ext>
          </a:extLst>
        </xdr:cNvPr>
        <xdr:cNvSpPr>
          <a:spLocks noChangeArrowheads="1"/>
        </xdr:cNvSpPr>
      </xdr:nvSpPr>
      <xdr:spPr bwMode="auto">
        <a:xfrm>
          <a:off x="517071" y="72991436"/>
          <a:ext cx="0"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495300</xdr:colOff>
      <xdr:row>397</xdr:row>
      <xdr:rowOff>65314</xdr:rowOff>
    </xdr:from>
    <xdr:to>
      <xdr:col>0</xdr:col>
      <xdr:colOff>495300</xdr:colOff>
      <xdr:row>397</xdr:row>
      <xdr:rowOff>84364</xdr:rowOff>
    </xdr:to>
    <xdr:sp macro="" textlink="">
      <xdr:nvSpPr>
        <xdr:cNvPr id="89887" name="Rectangle 333">
          <a:extLst>
            <a:ext uri="{FF2B5EF4-FFF2-40B4-BE49-F238E27FC236}">
              <a16:creationId xmlns:a16="http://schemas.microsoft.com/office/drawing/2014/main" id="{2092D051-4F8F-E7D4-5107-091F7076E7CF}"/>
            </a:ext>
          </a:extLst>
        </xdr:cNvPr>
        <xdr:cNvSpPr>
          <a:spLocks noChangeArrowheads="1"/>
        </xdr:cNvSpPr>
      </xdr:nvSpPr>
      <xdr:spPr bwMode="auto">
        <a:xfrm>
          <a:off x="495300" y="72999600"/>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476250</xdr:colOff>
      <xdr:row>397</xdr:row>
      <xdr:rowOff>65314</xdr:rowOff>
    </xdr:from>
    <xdr:to>
      <xdr:col>0</xdr:col>
      <xdr:colOff>487136</xdr:colOff>
      <xdr:row>397</xdr:row>
      <xdr:rowOff>84364</xdr:rowOff>
    </xdr:to>
    <xdr:sp macro="" textlink="">
      <xdr:nvSpPr>
        <xdr:cNvPr id="89888" name="Rectangle 334">
          <a:extLst>
            <a:ext uri="{FF2B5EF4-FFF2-40B4-BE49-F238E27FC236}">
              <a16:creationId xmlns:a16="http://schemas.microsoft.com/office/drawing/2014/main" id="{0B638474-84E6-9046-ACD5-2AA787A8B8CC}"/>
            </a:ext>
          </a:extLst>
        </xdr:cNvPr>
        <xdr:cNvSpPr>
          <a:spLocks noChangeArrowheads="1"/>
        </xdr:cNvSpPr>
      </xdr:nvSpPr>
      <xdr:spPr bwMode="auto">
        <a:xfrm>
          <a:off x="476250" y="72999600"/>
          <a:ext cx="10886"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454479</xdr:colOff>
      <xdr:row>397</xdr:row>
      <xdr:rowOff>65314</xdr:rowOff>
    </xdr:from>
    <xdr:to>
      <xdr:col>0</xdr:col>
      <xdr:colOff>465364</xdr:colOff>
      <xdr:row>397</xdr:row>
      <xdr:rowOff>84364</xdr:rowOff>
    </xdr:to>
    <xdr:sp macro="" textlink="">
      <xdr:nvSpPr>
        <xdr:cNvPr id="89889" name="Rectangle 335">
          <a:extLst>
            <a:ext uri="{FF2B5EF4-FFF2-40B4-BE49-F238E27FC236}">
              <a16:creationId xmlns:a16="http://schemas.microsoft.com/office/drawing/2014/main" id="{99A1EE64-76CD-67C8-03EE-730B61193CC5}"/>
            </a:ext>
          </a:extLst>
        </xdr:cNvPr>
        <xdr:cNvSpPr>
          <a:spLocks noChangeArrowheads="1"/>
        </xdr:cNvSpPr>
      </xdr:nvSpPr>
      <xdr:spPr bwMode="auto">
        <a:xfrm>
          <a:off x="454479" y="72999600"/>
          <a:ext cx="10885"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536121</xdr:colOff>
      <xdr:row>397</xdr:row>
      <xdr:rowOff>130629</xdr:rowOff>
    </xdr:from>
    <xdr:to>
      <xdr:col>0</xdr:col>
      <xdr:colOff>536121</xdr:colOff>
      <xdr:row>397</xdr:row>
      <xdr:rowOff>149679</xdr:rowOff>
    </xdr:to>
    <xdr:sp macro="" textlink="">
      <xdr:nvSpPr>
        <xdr:cNvPr id="89890" name="Rectangle 336">
          <a:extLst>
            <a:ext uri="{FF2B5EF4-FFF2-40B4-BE49-F238E27FC236}">
              <a16:creationId xmlns:a16="http://schemas.microsoft.com/office/drawing/2014/main" id="{F835D6C3-95EB-AA3C-3966-127BD301DDB5}"/>
            </a:ext>
          </a:extLst>
        </xdr:cNvPr>
        <xdr:cNvSpPr>
          <a:spLocks noChangeArrowheads="1"/>
        </xdr:cNvSpPr>
      </xdr:nvSpPr>
      <xdr:spPr bwMode="auto">
        <a:xfrm>
          <a:off x="536121" y="73064914"/>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636814</xdr:colOff>
      <xdr:row>397</xdr:row>
      <xdr:rowOff>130629</xdr:rowOff>
    </xdr:from>
    <xdr:to>
      <xdr:col>1</xdr:col>
      <xdr:colOff>0</xdr:colOff>
      <xdr:row>397</xdr:row>
      <xdr:rowOff>149679</xdr:rowOff>
    </xdr:to>
    <xdr:sp macro="" textlink="">
      <xdr:nvSpPr>
        <xdr:cNvPr id="89891" name="Rectangle 337">
          <a:extLst>
            <a:ext uri="{FF2B5EF4-FFF2-40B4-BE49-F238E27FC236}">
              <a16:creationId xmlns:a16="http://schemas.microsoft.com/office/drawing/2014/main" id="{92F93FBD-E567-EC80-A2A0-917009B4FEC7}"/>
            </a:ext>
          </a:extLst>
        </xdr:cNvPr>
        <xdr:cNvSpPr>
          <a:spLocks noChangeArrowheads="1"/>
        </xdr:cNvSpPr>
      </xdr:nvSpPr>
      <xdr:spPr bwMode="auto">
        <a:xfrm>
          <a:off x="636814" y="73064914"/>
          <a:ext cx="10886"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606879</xdr:colOff>
      <xdr:row>397</xdr:row>
      <xdr:rowOff>130629</xdr:rowOff>
    </xdr:from>
    <xdr:to>
      <xdr:col>0</xdr:col>
      <xdr:colOff>606879</xdr:colOff>
      <xdr:row>397</xdr:row>
      <xdr:rowOff>149679</xdr:rowOff>
    </xdr:to>
    <xdr:sp macro="" textlink="">
      <xdr:nvSpPr>
        <xdr:cNvPr id="89892" name="Rectangle 338">
          <a:extLst>
            <a:ext uri="{FF2B5EF4-FFF2-40B4-BE49-F238E27FC236}">
              <a16:creationId xmlns:a16="http://schemas.microsoft.com/office/drawing/2014/main" id="{783E5B6D-27B4-AFA3-026A-2281B0460B08}"/>
            </a:ext>
          </a:extLst>
        </xdr:cNvPr>
        <xdr:cNvSpPr>
          <a:spLocks noChangeArrowheads="1"/>
        </xdr:cNvSpPr>
      </xdr:nvSpPr>
      <xdr:spPr bwMode="auto">
        <a:xfrm>
          <a:off x="606879" y="73064914"/>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587829</xdr:colOff>
      <xdr:row>397</xdr:row>
      <xdr:rowOff>130629</xdr:rowOff>
    </xdr:from>
    <xdr:to>
      <xdr:col>0</xdr:col>
      <xdr:colOff>587829</xdr:colOff>
      <xdr:row>397</xdr:row>
      <xdr:rowOff>149679</xdr:rowOff>
    </xdr:to>
    <xdr:sp macro="" textlink="">
      <xdr:nvSpPr>
        <xdr:cNvPr id="89893" name="Rectangle 339">
          <a:extLst>
            <a:ext uri="{FF2B5EF4-FFF2-40B4-BE49-F238E27FC236}">
              <a16:creationId xmlns:a16="http://schemas.microsoft.com/office/drawing/2014/main" id="{45159118-A3A7-B3B9-39BA-BD28FFBE4C20}"/>
            </a:ext>
          </a:extLst>
        </xdr:cNvPr>
        <xdr:cNvSpPr>
          <a:spLocks noChangeArrowheads="1"/>
        </xdr:cNvSpPr>
      </xdr:nvSpPr>
      <xdr:spPr bwMode="auto">
        <a:xfrm>
          <a:off x="587829" y="73064914"/>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566057</xdr:colOff>
      <xdr:row>397</xdr:row>
      <xdr:rowOff>130629</xdr:rowOff>
    </xdr:from>
    <xdr:to>
      <xdr:col>0</xdr:col>
      <xdr:colOff>576943</xdr:colOff>
      <xdr:row>397</xdr:row>
      <xdr:rowOff>149679</xdr:rowOff>
    </xdr:to>
    <xdr:sp macro="" textlink="">
      <xdr:nvSpPr>
        <xdr:cNvPr id="89894" name="Rectangle 340">
          <a:extLst>
            <a:ext uri="{FF2B5EF4-FFF2-40B4-BE49-F238E27FC236}">
              <a16:creationId xmlns:a16="http://schemas.microsoft.com/office/drawing/2014/main" id="{91087FB0-7E26-A538-E7D3-C4E257A1EACD}"/>
            </a:ext>
          </a:extLst>
        </xdr:cNvPr>
        <xdr:cNvSpPr>
          <a:spLocks noChangeArrowheads="1"/>
        </xdr:cNvSpPr>
      </xdr:nvSpPr>
      <xdr:spPr bwMode="auto">
        <a:xfrm>
          <a:off x="566057" y="73064914"/>
          <a:ext cx="10886"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628650</xdr:colOff>
      <xdr:row>397</xdr:row>
      <xdr:rowOff>130629</xdr:rowOff>
    </xdr:from>
    <xdr:to>
      <xdr:col>0</xdr:col>
      <xdr:colOff>628650</xdr:colOff>
      <xdr:row>397</xdr:row>
      <xdr:rowOff>149679</xdr:rowOff>
    </xdr:to>
    <xdr:sp macro="" textlink="">
      <xdr:nvSpPr>
        <xdr:cNvPr id="89895" name="Rectangle 341">
          <a:extLst>
            <a:ext uri="{FF2B5EF4-FFF2-40B4-BE49-F238E27FC236}">
              <a16:creationId xmlns:a16="http://schemas.microsoft.com/office/drawing/2014/main" id="{724E4143-8159-31E0-D827-86E95796A029}"/>
            </a:ext>
          </a:extLst>
        </xdr:cNvPr>
        <xdr:cNvSpPr>
          <a:spLocks noChangeArrowheads="1"/>
        </xdr:cNvSpPr>
      </xdr:nvSpPr>
      <xdr:spPr bwMode="auto">
        <a:xfrm>
          <a:off x="628650" y="73064914"/>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557893</xdr:colOff>
      <xdr:row>397</xdr:row>
      <xdr:rowOff>130629</xdr:rowOff>
    </xdr:from>
    <xdr:to>
      <xdr:col>0</xdr:col>
      <xdr:colOff>557893</xdr:colOff>
      <xdr:row>397</xdr:row>
      <xdr:rowOff>149679</xdr:rowOff>
    </xdr:to>
    <xdr:sp macro="" textlink="">
      <xdr:nvSpPr>
        <xdr:cNvPr id="89896" name="Rectangle 342">
          <a:extLst>
            <a:ext uri="{FF2B5EF4-FFF2-40B4-BE49-F238E27FC236}">
              <a16:creationId xmlns:a16="http://schemas.microsoft.com/office/drawing/2014/main" id="{1DC6B574-54D9-31A2-722A-60983826E4AD}"/>
            </a:ext>
          </a:extLst>
        </xdr:cNvPr>
        <xdr:cNvSpPr>
          <a:spLocks noChangeArrowheads="1"/>
        </xdr:cNvSpPr>
      </xdr:nvSpPr>
      <xdr:spPr bwMode="auto">
        <a:xfrm>
          <a:off x="557893" y="73064914"/>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517071</xdr:colOff>
      <xdr:row>397</xdr:row>
      <xdr:rowOff>130629</xdr:rowOff>
    </xdr:from>
    <xdr:to>
      <xdr:col>0</xdr:col>
      <xdr:colOff>517071</xdr:colOff>
      <xdr:row>397</xdr:row>
      <xdr:rowOff>149679</xdr:rowOff>
    </xdr:to>
    <xdr:sp macro="" textlink="">
      <xdr:nvSpPr>
        <xdr:cNvPr id="89897" name="Rectangle 343">
          <a:extLst>
            <a:ext uri="{FF2B5EF4-FFF2-40B4-BE49-F238E27FC236}">
              <a16:creationId xmlns:a16="http://schemas.microsoft.com/office/drawing/2014/main" id="{3F9D3514-8756-91BF-E46D-C578DA02039D}"/>
            </a:ext>
          </a:extLst>
        </xdr:cNvPr>
        <xdr:cNvSpPr>
          <a:spLocks noChangeArrowheads="1"/>
        </xdr:cNvSpPr>
      </xdr:nvSpPr>
      <xdr:spPr bwMode="auto">
        <a:xfrm>
          <a:off x="517071" y="73064914"/>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495300</xdr:colOff>
      <xdr:row>397</xdr:row>
      <xdr:rowOff>130629</xdr:rowOff>
    </xdr:from>
    <xdr:to>
      <xdr:col>0</xdr:col>
      <xdr:colOff>495300</xdr:colOff>
      <xdr:row>397</xdr:row>
      <xdr:rowOff>149679</xdr:rowOff>
    </xdr:to>
    <xdr:sp macro="" textlink="">
      <xdr:nvSpPr>
        <xdr:cNvPr id="89898" name="Rectangle 344">
          <a:extLst>
            <a:ext uri="{FF2B5EF4-FFF2-40B4-BE49-F238E27FC236}">
              <a16:creationId xmlns:a16="http://schemas.microsoft.com/office/drawing/2014/main" id="{B21EFB24-36A5-B6A1-5811-E69E4F5CB86D}"/>
            </a:ext>
          </a:extLst>
        </xdr:cNvPr>
        <xdr:cNvSpPr>
          <a:spLocks noChangeArrowheads="1"/>
        </xdr:cNvSpPr>
      </xdr:nvSpPr>
      <xdr:spPr bwMode="auto">
        <a:xfrm>
          <a:off x="495300" y="73064914"/>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476250</xdr:colOff>
      <xdr:row>397</xdr:row>
      <xdr:rowOff>130629</xdr:rowOff>
    </xdr:from>
    <xdr:to>
      <xdr:col>0</xdr:col>
      <xdr:colOff>487136</xdr:colOff>
      <xdr:row>397</xdr:row>
      <xdr:rowOff>149679</xdr:rowOff>
    </xdr:to>
    <xdr:sp macro="" textlink="">
      <xdr:nvSpPr>
        <xdr:cNvPr id="89899" name="Rectangle 345">
          <a:extLst>
            <a:ext uri="{FF2B5EF4-FFF2-40B4-BE49-F238E27FC236}">
              <a16:creationId xmlns:a16="http://schemas.microsoft.com/office/drawing/2014/main" id="{429C4146-64EC-DF76-4C07-85C2C1473044}"/>
            </a:ext>
          </a:extLst>
        </xdr:cNvPr>
        <xdr:cNvSpPr>
          <a:spLocks noChangeArrowheads="1"/>
        </xdr:cNvSpPr>
      </xdr:nvSpPr>
      <xdr:spPr bwMode="auto">
        <a:xfrm>
          <a:off x="476250" y="73064914"/>
          <a:ext cx="10886"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454479</xdr:colOff>
      <xdr:row>397</xdr:row>
      <xdr:rowOff>130629</xdr:rowOff>
    </xdr:from>
    <xdr:to>
      <xdr:col>0</xdr:col>
      <xdr:colOff>465364</xdr:colOff>
      <xdr:row>397</xdr:row>
      <xdr:rowOff>149679</xdr:rowOff>
    </xdr:to>
    <xdr:sp macro="" textlink="">
      <xdr:nvSpPr>
        <xdr:cNvPr id="89900" name="Rectangle 346">
          <a:extLst>
            <a:ext uri="{FF2B5EF4-FFF2-40B4-BE49-F238E27FC236}">
              <a16:creationId xmlns:a16="http://schemas.microsoft.com/office/drawing/2014/main" id="{2E01A310-2626-3DE9-6AA9-16CB7CD698B1}"/>
            </a:ext>
          </a:extLst>
        </xdr:cNvPr>
        <xdr:cNvSpPr>
          <a:spLocks noChangeArrowheads="1"/>
        </xdr:cNvSpPr>
      </xdr:nvSpPr>
      <xdr:spPr bwMode="auto">
        <a:xfrm>
          <a:off x="454479" y="73064914"/>
          <a:ext cx="10885"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536121</xdr:colOff>
      <xdr:row>398</xdr:row>
      <xdr:rowOff>38100</xdr:rowOff>
    </xdr:from>
    <xdr:to>
      <xdr:col>0</xdr:col>
      <xdr:colOff>536121</xdr:colOff>
      <xdr:row>398</xdr:row>
      <xdr:rowOff>57150</xdr:rowOff>
    </xdr:to>
    <xdr:sp macro="" textlink="">
      <xdr:nvSpPr>
        <xdr:cNvPr id="89901" name="Rectangle 347">
          <a:extLst>
            <a:ext uri="{FF2B5EF4-FFF2-40B4-BE49-F238E27FC236}">
              <a16:creationId xmlns:a16="http://schemas.microsoft.com/office/drawing/2014/main" id="{CB40B89E-F50B-62F8-79EC-7A952770DE1A}"/>
            </a:ext>
          </a:extLst>
        </xdr:cNvPr>
        <xdr:cNvSpPr>
          <a:spLocks noChangeArrowheads="1"/>
        </xdr:cNvSpPr>
      </xdr:nvSpPr>
      <xdr:spPr bwMode="auto">
        <a:xfrm>
          <a:off x="536121" y="73149279"/>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636814</xdr:colOff>
      <xdr:row>398</xdr:row>
      <xdr:rowOff>38100</xdr:rowOff>
    </xdr:from>
    <xdr:to>
      <xdr:col>1</xdr:col>
      <xdr:colOff>0</xdr:colOff>
      <xdr:row>398</xdr:row>
      <xdr:rowOff>57150</xdr:rowOff>
    </xdr:to>
    <xdr:sp macro="" textlink="">
      <xdr:nvSpPr>
        <xdr:cNvPr id="89902" name="Rectangle 348">
          <a:extLst>
            <a:ext uri="{FF2B5EF4-FFF2-40B4-BE49-F238E27FC236}">
              <a16:creationId xmlns:a16="http://schemas.microsoft.com/office/drawing/2014/main" id="{2AB5356B-E768-61F3-BF71-EDEBDE41A795}"/>
            </a:ext>
          </a:extLst>
        </xdr:cNvPr>
        <xdr:cNvSpPr>
          <a:spLocks noChangeArrowheads="1"/>
        </xdr:cNvSpPr>
      </xdr:nvSpPr>
      <xdr:spPr bwMode="auto">
        <a:xfrm>
          <a:off x="636814" y="73149279"/>
          <a:ext cx="10886"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606879</xdr:colOff>
      <xdr:row>398</xdr:row>
      <xdr:rowOff>38100</xdr:rowOff>
    </xdr:from>
    <xdr:to>
      <xdr:col>0</xdr:col>
      <xdr:colOff>606879</xdr:colOff>
      <xdr:row>398</xdr:row>
      <xdr:rowOff>57150</xdr:rowOff>
    </xdr:to>
    <xdr:sp macro="" textlink="">
      <xdr:nvSpPr>
        <xdr:cNvPr id="89903" name="Rectangle 349">
          <a:extLst>
            <a:ext uri="{FF2B5EF4-FFF2-40B4-BE49-F238E27FC236}">
              <a16:creationId xmlns:a16="http://schemas.microsoft.com/office/drawing/2014/main" id="{2888CF24-FCC2-9A6B-BAE6-1C6B05B8BAFD}"/>
            </a:ext>
          </a:extLst>
        </xdr:cNvPr>
        <xdr:cNvSpPr>
          <a:spLocks noChangeArrowheads="1"/>
        </xdr:cNvSpPr>
      </xdr:nvSpPr>
      <xdr:spPr bwMode="auto">
        <a:xfrm>
          <a:off x="606879" y="73149279"/>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587829</xdr:colOff>
      <xdr:row>398</xdr:row>
      <xdr:rowOff>38100</xdr:rowOff>
    </xdr:from>
    <xdr:to>
      <xdr:col>0</xdr:col>
      <xdr:colOff>587829</xdr:colOff>
      <xdr:row>398</xdr:row>
      <xdr:rowOff>57150</xdr:rowOff>
    </xdr:to>
    <xdr:sp macro="" textlink="">
      <xdr:nvSpPr>
        <xdr:cNvPr id="89904" name="Rectangle 350">
          <a:extLst>
            <a:ext uri="{FF2B5EF4-FFF2-40B4-BE49-F238E27FC236}">
              <a16:creationId xmlns:a16="http://schemas.microsoft.com/office/drawing/2014/main" id="{F3CC23AD-6810-B8B2-9215-628B53BF2E08}"/>
            </a:ext>
          </a:extLst>
        </xdr:cNvPr>
        <xdr:cNvSpPr>
          <a:spLocks noChangeArrowheads="1"/>
        </xdr:cNvSpPr>
      </xdr:nvSpPr>
      <xdr:spPr bwMode="auto">
        <a:xfrm>
          <a:off x="587829" y="73149279"/>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566057</xdr:colOff>
      <xdr:row>398</xdr:row>
      <xdr:rowOff>38100</xdr:rowOff>
    </xdr:from>
    <xdr:to>
      <xdr:col>0</xdr:col>
      <xdr:colOff>576943</xdr:colOff>
      <xdr:row>398</xdr:row>
      <xdr:rowOff>57150</xdr:rowOff>
    </xdr:to>
    <xdr:sp macro="" textlink="">
      <xdr:nvSpPr>
        <xdr:cNvPr id="89905" name="Rectangle 351">
          <a:extLst>
            <a:ext uri="{FF2B5EF4-FFF2-40B4-BE49-F238E27FC236}">
              <a16:creationId xmlns:a16="http://schemas.microsoft.com/office/drawing/2014/main" id="{9006CACA-A0BD-746E-65CA-D2BAE7460E18}"/>
            </a:ext>
          </a:extLst>
        </xdr:cNvPr>
        <xdr:cNvSpPr>
          <a:spLocks noChangeArrowheads="1"/>
        </xdr:cNvSpPr>
      </xdr:nvSpPr>
      <xdr:spPr bwMode="auto">
        <a:xfrm>
          <a:off x="566057" y="73149279"/>
          <a:ext cx="10886"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628650</xdr:colOff>
      <xdr:row>398</xdr:row>
      <xdr:rowOff>38100</xdr:rowOff>
    </xdr:from>
    <xdr:to>
      <xdr:col>0</xdr:col>
      <xdr:colOff>628650</xdr:colOff>
      <xdr:row>398</xdr:row>
      <xdr:rowOff>57150</xdr:rowOff>
    </xdr:to>
    <xdr:sp macro="" textlink="">
      <xdr:nvSpPr>
        <xdr:cNvPr id="89906" name="Rectangle 352">
          <a:extLst>
            <a:ext uri="{FF2B5EF4-FFF2-40B4-BE49-F238E27FC236}">
              <a16:creationId xmlns:a16="http://schemas.microsoft.com/office/drawing/2014/main" id="{625AFA85-B23C-142A-9F88-397F2C9487C5}"/>
            </a:ext>
          </a:extLst>
        </xdr:cNvPr>
        <xdr:cNvSpPr>
          <a:spLocks noChangeArrowheads="1"/>
        </xdr:cNvSpPr>
      </xdr:nvSpPr>
      <xdr:spPr bwMode="auto">
        <a:xfrm>
          <a:off x="628650" y="73149279"/>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557893</xdr:colOff>
      <xdr:row>398</xdr:row>
      <xdr:rowOff>38100</xdr:rowOff>
    </xdr:from>
    <xdr:to>
      <xdr:col>0</xdr:col>
      <xdr:colOff>557893</xdr:colOff>
      <xdr:row>398</xdr:row>
      <xdr:rowOff>57150</xdr:rowOff>
    </xdr:to>
    <xdr:sp macro="" textlink="">
      <xdr:nvSpPr>
        <xdr:cNvPr id="89907" name="Rectangle 353">
          <a:extLst>
            <a:ext uri="{FF2B5EF4-FFF2-40B4-BE49-F238E27FC236}">
              <a16:creationId xmlns:a16="http://schemas.microsoft.com/office/drawing/2014/main" id="{45028913-8BC0-4184-838D-C4B8F888B6BB}"/>
            </a:ext>
          </a:extLst>
        </xdr:cNvPr>
        <xdr:cNvSpPr>
          <a:spLocks noChangeArrowheads="1"/>
        </xdr:cNvSpPr>
      </xdr:nvSpPr>
      <xdr:spPr bwMode="auto">
        <a:xfrm>
          <a:off x="557893" y="73149279"/>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517071</xdr:colOff>
      <xdr:row>398</xdr:row>
      <xdr:rowOff>38100</xdr:rowOff>
    </xdr:from>
    <xdr:to>
      <xdr:col>0</xdr:col>
      <xdr:colOff>517071</xdr:colOff>
      <xdr:row>398</xdr:row>
      <xdr:rowOff>57150</xdr:rowOff>
    </xdr:to>
    <xdr:sp macro="" textlink="">
      <xdr:nvSpPr>
        <xdr:cNvPr id="89908" name="Rectangle 354">
          <a:extLst>
            <a:ext uri="{FF2B5EF4-FFF2-40B4-BE49-F238E27FC236}">
              <a16:creationId xmlns:a16="http://schemas.microsoft.com/office/drawing/2014/main" id="{A831EE26-46A2-A434-F74F-40A0735870EC}"/>
            </a:ext>
          </a:extLst>
        </xdr:cNvPr>
        <xdr:cNvSpPr>
          <a:spLocks noChangeArrowheads="1"/>
        </xdr:cNvSpPr>
      </xdr:nvSpPr>
      <xdr:spPr bwMode="auto">
        <a:xfrm>
          <a:off x="517071" y="73149279"/>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495300</xdr:colOff>
      <xdr:row>398</xdr:row>
      <xdr:rowOff>38100</xdr:rowOff>
    </xdr:from>
    <xdr:to>
      <xdr:col>0</xdr:col>
      <xdr:colOff>506186</xdr:colOff>
      <xdr:row>398</xdr:row>
      <xdr:rowOff>57150</xdr:rowOff>
    </xdr:to>
    <xdr:sp macro="" textlink="">
      <xdr:nvSpPr>
        <xdr:cNvPr id="89909" name="Rectangle 355">
          <a:extLst>
            <a:ext uri="{FF2B5EF4-FFF2-40B4-BE49-F238E27FC236}">
              <a16:creationId xmlns:a16="http://schemas.microsoft.com/office/drawing/2014/main" id="{9E501AAA-0340-B66F-8055-F59AB61EF251}"/>
            </a:ext>
          </a:extLst>
        </xdr:cNvPr>
        <xdr:cNvSpPr>
          <a:spLocks noChangeArrowheads="1"/>
        </xdr:cNvSpPr>
      </xdr:nvSpPr>
      <xdr:spPr bwMode="auto">
        <a:xfrm>
          <a:off x="495300" y="73149279"/>
          <a:ext cx="10886"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476250</xdr:colOff>
      <xdr:row>398</xdr:row>
      <xdr:rowOff>38100</xdr:rowOff>
    </xdr:from>
    <xdr:to>
      <xdr:col>0</xdr:col>
      <xdr:colOff>487136</xdr:colOff>
      <xdr:row>398</xdr:row>
      <xdr:rowOff>57150</xdr:rowOff>
    </xdr:to>
    <xdr:sp macro="" textlink="">
      <xdr:nvSpPr>
        <xdr:cNvPr id="89910" name="Rectangle 356">
          <a:extLst>
            <a:ext uri="{FF2B5EF4-FFF2-40B4-BE49-F238E27FC236}">
              <a16:creationId xmlns:a16="http://schemas.microsoft.com/office/drawing/2014/main" id="{8EC347A3-C650-FAC1-360B-214A14AD4931}"/>
            </a:ext>
          </a:extLst>
        </xdr:cNvPr>
        <xdr:cNvSpPr>
          <a:spLocks noChangeArrowheads="1"/>
        </xdr:cNvSpPr>
      </xdr:nvSpPr>
      <xdr:spPr bwMode="auto">
        <a:xfrm>
          <a:off x="476250" y="73149279"/>
          <a:ext cx="10886"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465364</xdr:colOff>
      <xdr:row>398</xdr:row>
      <xdr:rowOff>38100</xdr:rowOff>
    </xdr:from>
    <xdr:to>
      <xdr:col>0</xdr:col>
      <xdr:colOff>465364</xdr:colOff>
      <xdr:row>398</xdr:row>
      <xdr:rowOff>57150</xdr:rowOff>
    </xdr:to>
    <xdr:sp macro="" textlink="">
      <xdr:nvSpPr>
        <xdr:cNvPr id="89911" name="Rectangle 357">
          <a:extLst>
            <a:ext uri="{FF2B5EF4-FFF2-40B4-BE49-F238E27FC236}">
              <a16:creationId xmlns:a16="http://schemas.microsoft.com/office/drawing/2014/main" id="{7399DD76-2C5A-9264-86D8-1D6F515EA87E}"/>
            </a:ext>
          </a:extLst>
        </xdr:cNvPr>
        <xdr:cNvSpPr>
          <a:spLocks noChangeArrowheads="1"/>
        </xdr:cNvSpPr>
      </xdr:nvSpPr>
      <xdr:spPr bwMode="auto">
        <a:xfrm>
          <a:off x="465364" y="73149279"/>
          <a:ext cx="0" cy="1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398</xdr:row>
      <xdr:rowOff>73479</xdr:rowOff>
    </xdr:from>
    <xdr:to>
      <xdr:col>1</xdr:col>
      <xdr:colOff>19050</xdr:colOff>
      <xdr:row>398</xdr:row>
      <xdr:rowOff>100693</xdr:rowOff>
    </xdr:to>
    <xdr:sp macro="" textlink="">
      <xdr:nvSpPr>
        <xdr:cNvPr id="89912" name="Line 358">
          <a:extLst>
            <a:ext uri="{FF2B5EF4-FFF2-40B4-BE49-F238E27FC236}">
              <a16:creationId xmlns:a16="http://schemas.microsoft.com/office/drawing/2014/main" id="{EA6D46C7-CB68-639E-3EF6-E254AC2C761B}"/>
            </a:ext>
          </a:extLst>
        </xdr:cNvPr>
        <xdr:cNvSpPr>
          <a:spLocks noChangeShapeType="1"/>
        </xdr:cNvSpPr>
      </xdr:nvSpPr>
      <xdr:spPr bwMode="auto">
        <a:xfrm flipV="1">
          <a:off x="666750" y="73184657"/>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401</xdr:row>
      <xdr:rowOff>0</xdr:rowOff>
    </xdr:from>
    <xdr:to>
      <xdr:col>1</xdr:col>
      <xdr:colOff>19050</xdr:colOff>
      <xdr:row>405</xdr:row>
      <xdr:rowOff>46264</xdr:rowOff>
    </xdr:to>
    <xdr:sp macro="" textlink="">
      <xdr:nvSpPr>
        <xdr:cNvPr id="89913" name="Line 359">
          <a:extLst>
            <a:ext uri="{FF2B5EF4-FFF2-40B4-BE49-F238E27FC236}">
              <a16:creationId xmlns:a16="http://schemas.microsoft.com/office/drawing/2014/main" id="{F58BC65E-C7A0-2D0E-3715-24E1AF6B7CD8}"/>
            </a:ext>
          </a:extLst>
        </xdr:cNvPr>
        <xdr:cNvSpPr>
          <a:spLocks noChangeShapeType="1"/>
        </xdr:cNvSpPr>
      </xdr:nvSpPr>
      <xdr:spPr bwMode="auto">
        <a:xfrm>
          <a:off x="666750" y="73641857"/>
          <a:ext cx="0" cy="7538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387</xdr:row>
      <xdr:rowOff>57150</xdr:rowOff>
    </xdr:from>
    <xdr:to>
      <xdr:col>0</xdr:col>
      <xdr:colOff>465364</xdr:colOff>
      <xdr:row>387</xdr:row>
      <xdr:rowOff>84364</xdr:rowOff>
    </xdr:to>
    <xdr:sp macro="" textlink="">
      <xdr:nvSpPr>
        <xdr:cNvPr id="89914" name="Line 360">
          <a:extLst>
            <a:ext uri="{FF2B5EF4-FFF2-40B4-BE49-F238E27FC236}">
              <a16:creationId xmlns:a16="http://schemas.microsoft.com/office/drawing/2014/main" id="{8C6F6012-6B5C-4B78-9171-E1CAD62CF569}"/>
            </a:ext>
          </a:extLst>
        </xdr:cNvPr>
        <xdr:cNvSpPr>
          <a:spLocks noChangeShapeType="1"/>
        </xdr:cNvSpPr>
      </xdr:nvSpPr>
      <xdr:spPr bwMode="auto">
        <a:xfrm flipV="1">
          <a:off x="465364" y="71222507"/>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636814</xdr:colOff>
      <xdr:row>387</xdr:row>
      <xdr:rowOff>65314</xdr:rowOff>
    </xdr:from>
    <xdr:to>
      <xdr:col>1</xdr:col>
      <xdr:colOff>0</xdr:colOff>
      <xdr:row>387</xdr:row>
      <xdr:rowOff>73479</xdr:rowOff>
    </xdr:to>
    <xdr:sp macro="" textlink="">
      <xdr:nvSpPr>
        <xdr:cNvPr id="89915" name="Line 361">
          <a:extLst>
            <a:ext uri="{FF2B5EF4-FFF2-40B4-BE49-F238E27FC236}">
              <a16:creationId xmlns:a16="http://schemas.microsoft.com/office/drawing/2014/main" id="{EFE7C03A-9F80-C06B-E2CA-6BEB34E0CD03}"/>
            </a:ext>
          </a:extLst>
        </xdr:cNvPr>
        <xdr:cNvSpPr>
          <a:spLocks noChangeShapeType="1"/>
        </xdr:cNvSpPr>
      </xdr:nvSpPr>
      <xdr:spPr bwMode="auto">
        <a:xfrm>
          <a:off x="636814" y="71230671"/>
          <a:ext cx="10886" cy="816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29936</xdr:colOff>
      <xdr:row>407</xdr:row>
      <xdr:rowOff>0</xdr:rowOff>
    </xdr:from>
    <xdr:to>
      <xdr:col>1</xdr:col>
      <xdr:colOff>29936</xdr:colOff>
      <xdr:row>407</xdr:row>
      <xdr:rowOff>92529</xdr:rowOff>
    </xdr:to>
    <xdr:sp macro="" textlink="">
      <xdr:nvSpPr>
        <xdr:cNvPr id="89916" name="Line 362">
          <a:extLst>
            <a:ext uri="{FF2B5EF4-FFF2-40B4-BE49-F238E27FC236}">
              <a16:creationId xmlns:a16="http://schemas.microsoft.com/office/drawing/2014/main" id="{96047FE2-26AE-B02D-902A-D31A179C2E00}"/>
            </a:ext>
          </a:extLst>
        </xdr:cNvPr>
        <xdr:cNvSpPr>
          <a:spLocks noChangeShapeType="1"/>
        </xdr:cNvSpPr>
      </xdr:nvSpPr>
      <xdr:spPr bwMode="auto">
        <a:xfrm>
          <a:off x="677636" y="74703214"/>
          <a:ext cx="0" cy="9252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408</xdr:row>
      <xdr:rowOff>84364</xdr:rowOff>
    </xdr:from>
    <xdr:to>
      <xdr:col>0</xdr:col>
      <xdr:colOff>435429</xdr:colOff>
      <xdr:row>408</xdr:row>
      <xdr:rowOff>122464</xdr:rowOff>
    </xdr:to>
    <xdr:sp macro="" textlink="">
      <xdr:nvSpPr>
        <xdr:cNvPr id="89917" name="Line 363">
          <a:extLst>
            <a:ext uri="{FF2B5EF4-FFF2-40B4-BE49-F238E27FC236}">
              <a16:creationId xmlns:a16="http://schemas.microsoft.com/office/drawing/2014/main" id="{E32E71E1-2623-C35C-593B-A894C9A2A6FB}"/>
            </a:ext>
          </a:extLst>
        </xdr:cNvPr>
        <xdr:cNvSpPr>
          <a:spLocks noChangeShapeType="1"/>
        </xdr:cNvSpPr>
      </xdr:nvSpPr>
      <xdr:spPr bwMode="auto">
        <a:xfrm>
          <a:off x="435429" y="74964471"/>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29936</xdr:colOff>
      <xdr:row>408</xdr:row>
      <xdr:rowOff>111579</xdr:rowOff>
    </xdr:from>
    <xdr:to>
      <xdr:col>1</xdr:col>
      <xdr:colOff>29936</xdr:colOff>
      <xdr:row>413</xdr:row>
      <xdr:rowOff>38100</xdr:rowOff>
    </xdr:to>
    <xdr:sp macro="" textlink="">
      <xdr:nvSpPr>
        <xdr:cNvPr id="89918" name="Line 364">
          <a:extLst>
            <a:ext uri="{FF2B5EF4-FFF2-40B4-BE49-F238E27FC236}">
              <a16:creationId xmlns:a16="http://schemas.microsoft.com/office/drawing/2014/main" id="{FD8A5AB1-5EBC-7886-3FC2-E1418449380E}"/>
            </a:ext>
          </a:extLst>
        </xdr:cNvPr>
        <xdr:cNvSpPr>
          <a:spLocks noChangeShapeType="1"/>
        </xdr:cNvSpPr>
      </xdr:nvSpPr>
      <xdr:spPr bwMode="auto">
        <a:xfrm>
          <a:off x="677636" y="74991686"/>
          <a:ext cx="0" cy="81098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408</xdr:row>
      <xdr:rowOff>130629</xdr:rowOff>
    </xdr:from>
    <xdr:to>
      <xdr:col>0</xdr:col>
      <xdr:colOff>435429</xdr:colOff>
      <xdr:row>413</xdr:row>
      <xdr:rowOff>46264</xdr:rowOff>
    </xdr:to>
    <xdr:sp macro="" textlink="">
      <xdr:nvSpPr>
        <xdr:cNvPr id="89919" name="Line 365">
          <a:extLst>
            <a:ext uri="{FF2B5EF4-FFF2-40B4-BE49-F238E27FC236}">
              <a16:creationId xmlns:a16="http://schemas.microsoft.com/office/drawing/2014/main" id="{E5C0FFEF-4FF9-D292-7770-70F437C8F72A}"/>
            </a:ext>
          </a:extLst>
        </xdr:cNvPr>
        <xdr:cNvSpPr>
          <a:spLocks noChangeShapeType="1"/>
        </xdr:cNvSpPr>
      </xdr:nvSpPr>
      <xdr:spPr bwMode="auto">
        <a:xfrm flipV="1">
          <a:off x="435429" y="75010736"/>
          <a:ext cx="0" cy="800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408</xdr:row>
      <xdr:rowOff>111579</xdr:rowOff>
    </xdr:from>
    <xdr:to>
      <xdr:col>0</xdr:col>
      <xdr:colOff>506186</xdr:colOff>
      <xdr:row>408</xdr:row>
      <xdr:rowOff>130629</xdr:rowOff>
    </xdr:to>
    <xdr:sp macro="" textlink="">
      <xdr:nvSpPr>
        <xdr:cNvPr id="89920" name="Line 366">
          <a:extLst>
            <a:ext uri="{FF2B5EF4-FFF2-40B4-BE49-F238E27FC236}">
              <a16:creationId xmlns:a16="http://schemas.microsoft.com/office/drawing/2014/main" id="{B68CB7A7-D273-F789-B7FE-CF60ABEAAB98}"/>
            </a:ext>
          </a:extLst>
        </xdr:cNvPr>
        <xdr:cNvSpPr>
          <a:spLocks noChangeShapeType="1"/>
        </xdr:cNvSpPr>
      </xdr:nvSpPr>
      <xdr:spPr bwMode="auto">
        <a:xfrm flipV="1">
          <a:off x="446314" y="74991686"/>
          <a:ext cx="59872" cy="19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388</xdr:row>
      <xdr:rowOff>8164</xdr:rowOff>
    </xdr:from>
    <xdr:to>
      <xdr:col>0</xdr:col>
      <xdr:colOff>465364</xdr:colOff>
      <xdr:row>388</xdr:row>
      <xdr:rowOff>35379</xdr:rowOff>
    </xdr:to>
    <xdr:sp macro="" textlink="">
      <xdr:nvSpPr>
        <xdr:cNvPr id="89921" name="Line 367">
          <a:extLst>
            <a:ext uri="{FF2B5EF4-FFF2-40B4-BE49-F238E27FC236}">
              <a16:creationId xmlns:a16="http://schemas.microsoft.com/office/drawing/2014/main" id="{34EE21BC-5219-8B64-42B5-4AAFA3ADDF89}"/>
            </a:ext>
          </a:extLst>
        </xdr:cNvPr>
        <xdr:cNvSpPr>
          <a:spLocks noChangeShapeType="1"/>
        </xdr:cNvSpPr>
      </xdr:nvSpPr>
      <xdr:spPr bwMode="auto">
        <a:xfrm flipV="1">
          <a:off x="454479" y="71350414"/>
          <a:ext cx="10885"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387</xdr:row>
      <xdr:rowOff>149679</xdr:rowOff>
    </xdr:from>
    <xdr:to>
      <xdr:col>1</xdr:col>
      <xdr:colOff>10886</xdr:colOff>
      <xdr:row>388</xdr:row>
      <xdr:rowOff>8164</xdr:rowOff>
    </xdr:to>
    <xdr:sp macro="" textlink="">
      <xdr:nvSpPr>
        <xdr:cNvPr id="89922" name="Line 368">
          <a:extLst>
            <a:ext uri="{FF2B5EF4-FFF2-40B4-BE49-F238E27FC236}">
              <a16:creationId xmlns:a16="http://schemas.microsoft.com/office/drawing/2014/main" id="{761DB102-D824-49C0-5CE5-BD8C8BBF34AC}"/>
            </a:ext>
          </a:extLst>
        </xdr:cNvPr>
        <xdr:cNvSpPr>
          <a:spLocks noChangeShapeType="1"/>
        </xdr:cNvSpPr>
      </xdr:nvSpPr>
      <xdr:spPr bwMode="auto">
        <a:xfrm>
          <a:off x="647700" y="71315036"/>
          <a:ext cx="10886" cy="3537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387</xdr:row>
      <xdr:rowOff>149679</xdr:rowOff>
    </xdr:from>
    <xdr:to>
      <xdr:col>0</xdr:col>
      <xdr:colOff>465364</xdr:colOff>
      <xdr:row>388</xdr:row>
      <xdr:rowOff>8164</xdr:rowOff>
    </xdr:to>
    <xdr:sp macro="" textlink="">
      <xdr:nvSpPr>
        <xdr:cNvPr id="89923" name="Line 369">
          <a:extLst>
            <a:ext uri="{FF2B5EF4-FFF2-40B4-BE49-F238E27FC236}">
              <a16:creationId xmlns:a16="http://schemas.microsoft.com/office/drawing/2014/main" id="{FA5F490D-61BB-E8C9-E428-683DC12EAA37}"/>
            </a:ext>
          </a:extLst>
        </xdr:cNvPr>
        <xdr:cNvSpPr>
          <a:spLocks noChangeShapeType="1"/>
        </xdr:cNvSpPr>
      </xdr:nvSpPr>
      <xdr:spPr bwMode="auto">
        <a:xfrm flipH="1">
          <a:off x="454479" y="71315036"/>
          <a:ext cx="10885" cy="3537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387</xdr:row>
      <xdr:rowOff>84364</xdr:rowOff>
    </xdr:from>
    <xdr:to>
      <xdr:col>1</xdr:col>
      <xdr:colOff>10886</xdr:colOff>
      <xdr:row>387</xdr:row>
      <xdr:rowOff>111579</xdr:rowOff>
    </xdr:to>
    <xdr:sp macro="" textlink="">
      <xdr:nvSpPr>
        <xdr:cNvPr id="89924" name="Line 370">
          <a:extLst>
            <a:ext uri="{FF2B5EF4-FFF2-40B4-BE49-F238E27FC236}">
              <a16:creationId xmlns:a16="http://schemas.microsoft.com/office/drawing/2014/main" id="{993F92EF-D1C2-3E4E-05EB-9DF58A189CE7}"/>
            </a:ext>
          </a:extLst>
        </xdr:cNvPr>
        <xdr:cNvSpPr>
          <a:spLocks noChangeShapeType="1"/>
        </xdr:cNvSpPr>
      </xdr:nvSpPr>
      <xdr:spPr bwMode="auto">
        <a:xfrm flipH="1" flipV="1">
          <a:off x="647700" y="71249721"/>
          <a:ext cx="10886"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387</xdr:row>
      <xdr:rowOff>111579</xdr:rowOff>
    </xdr:from>
    <xdr:to>
      <xdr:col>1</xdr:col>
      <xdr:colOff>10886</xdr:colOff>
      <xdr:row>387</xdr:row>
      <xdr:rowOff>111579</xdr:rowOff>
    </xdr:to>
    <xdr:sp macro="" textlink="">
      <xdr:nvSpPr>
        <xdr:cNvPr id="89925" name="Line 371">
          <a:extLst>
            <a:ext uri="{FF2B5EF4-FFF2-40B4-BE49-F238E27FC236}">
              <a16:creationId xmlns:a16="http://schemas.microsoft.com/office/drawing/2014/main" id="{3ECF85C1-63D2-A10E-BF26-C53AB4C7E657}"/>
            </a:ext>
          </a:extLst>
        </xdr:cNvPr>
        <xdr:cNvSpPr>
          <a:spLocks noChangeShapeType="1"/>
        </xdr:cNvSpPr>
      </xdr:nvSpPr>
      <xdr:spPr bwMode="auto">
        <a:xfrm>
          <a:off x="647700" y="71276936"/>
          <a:ext cx="1088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388</xdr:row>
      <xdr:rowOff>8164</xdr:rowOff>
    </xdr:from>
    <xdr:to>
      <xdr:col>1</xdr:col>
      <xdr:colOff>10886</xdr:colOff>
      <xdr:row>388</xdr:row>
      <xdr:rowOff>8164</xdr:rowOff>
    </xdr:to>
    <xdr:sp macro="" textlink="">
      <xdr:nvSpPr>
        <xdr:cNvPr id="89926" name="Line 372">
          <a:extLst>
            <a:ext uri="{FF2B5EF4-FFF2-40B4-BE49-F238E27FC236}">
              <a16:creationId xmlns:a16="http://schemas.microsoft.com/office/drawing/2014/main" id="{1234C918-52ED-2B7E-62CB-67D16804A1EC}"/>
            </a:ext>
          </a:extLst>
        </xdr:cNvPr>
        <xdr:cNvSpPr>
          <a:spLocks noChangeShapeType="1"/>
        </xdr:cNvSpPr>
      </xdr:nvSpPr>
      <xdr:spPr bwMode="auto">
        <a:xfrm>
          <a:off x="647700" y="71350414"/>
          <a:ext cx="1088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387</xdr:row>
      <xdr:rowOff>111579</xdr:rowOff>
    </xdr:from>
    <xdr:to>
      <xdr:col>1</xdr:col>
      <xdr:colOff>10886</xdr:colOff>
      <xdr:row>387</xdr:row>
      <xdr:rowOff>138793</xdr:rowOff>
    </xdr:to>
    <xdr:sp macro="" textlink="">
      <xdr:nvSpPr>
        <xdr:cNvPr id="89927" name="Line 373">
          <a:extLst>
            <a:ext uri="{FF2B5EF4-FFF2-40B4-BE49-F238E27FC236}">
              <a16:creationId xmlns:a16="http://schemas.microsoft.com/office/drawing/2014/main" id="{19DB4EED-2304-CA51-CC06-13B87A0FB866}"/>
            </a:ext>
          </a:extLst>
        </xdr:cNvPr>
        <xdr:cNvSpPr>
          <a:spLocks noChangeShapeType="1"/>
        </xdr:cNvSpPr>
      </xdr:nvSpPr>
      <xdr:spPr bwMode="auto">
        <a:xfrm flipH="1" flipV="1">
          <a:off x="647700" y="71276936"/>
          <a:ext cx="10886"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388</xdr:row>
      <xdr:rowOff>8164</xdr:rowOff>
    </xdr:from>
    <xdr:to>
      <xdr:col>0</xdr:col>
      <xdr:colOff>465364</xdr:colOff>
      <xdr:row>388</xdr:row>
      <xdr:rowOff>8164</xdr:rowOff>
    </xdr:to>
    <xdr:sp macro="" textlink="">
      <xdr:nvSpPr>
        <xdr:cNvPr id="89928" name="Line 374">
          <a:extLst>
            <a:ext uri="{FF2B5EF4-FFF2-40B4-BE49-F238E27FC236}">
              <a16:creationId xmlns:a16="http://schemas.microsoft.com/office/drawing/2014/main" id="{58F8AF53-8762-D29F-7DBD-928F3A23B743}"/>
            </a:ext>
          </a:extLst>
        </xdr:cNvPr>
        <xdr:cNvSpPr>
          <a:spLocks noChangeShapeType="1"/>
        </xdr:cNvSpPr>
      </xdr:nvSpPr>
      <xdr:spPr bwMode="auto">
        <a:xfrm flipH="1">
          <a:off x="454479" y="71350414"/>
          <a:ext cx="1088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388</xdr:row>
      <xdr:rowOff>19050</xdr:rowOff>
    </xdr:from>
    <xdr:to>
      <xdr:col>1</xdr:col>
      <xdr:colOff>10886</xdr:colOff>
      <xdr:row>388</xdr:row>
      <xdr:rowOff>27214</xdr:rowOff>
    </xdr:to>
    <xdr:sp macro="" textlink="">
      <xdr:nvSpPr>
        <xdr:cNvPr id="89929" name="Line 375">
          <a:extLst>
            <a:ext uri="{FF2B5EF4-FFF2-40B4-BE49-F238E27FC236}">
              <a16:creationId xmlns:a16="http://schemas.microsoft.com/office/drawing/2014/main" id="{0450C704-5F1C-DAAD-C855-04B11551C6C2}"/>
            </a:ext>
          </a:extLst>
        </xdr:cNvPr>
        <xdr:cNvSpPr>
          <a:spLocks noChangeShapeType="1"/>
        </xdr:cNvSpPr>
      </xdr:nvSpPr>
      <xdr:spPr bwMode="auto">
        <a:xfrm>
          <a:off x="647700" y="71361300"/>
          <a:ext cx="10886"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387</xdr:row>
      <xdr:rowOff>130629</xdr:rowOff>
    </xdr:from>
    <xdr:to>
      <xdr:col>1</xdr:col>
      <xdr:colOff>10886</xdr:colOff>
      <xdr:row>388</xdr:row>
      <xdr:rowOff>0</xdr:rowOff>
    </xdr:to>
    <xdr:sp macro="" textlink="">
      <xdr:nvSpPr>
        <xdr:cNvPr id="89930" name="Line 376">
          <a:extLst>
            <a:ext uri="{FF2B5EF4-FFF2-40B4-BE49-F238E27FC236}">
              <a16:creationId xmlns:a16="http://schemas.microsoft.com/office/drawing/2014/main" id="{F9EBA27A-545F-F909-96C2-3B932DCBBC94}"/>
            </a:ext>
          </a:extLst>
        </xdr:cNvPr>
        <xdr:cNvSpPr>
          <a:spLocks noChangeShapeType="1"/>
        </xdr:cNvSpPr>
      </xdr:nvSpPr>
      <xdr:spPr bwMode="auto">
        <a:xfrm flipH="1" flipV="1">
          <a:off x="647700" y="71295986"/>
          <a:ext cx="10886" cy="462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405493</xdr:colOff>
      <xdr:row>407</xdr:row>
      <xdr:rowOff>103414</xdr:rowOff>
    </xdr:from>
    <xdr:to>
      <xdr:col>0</xdr:col>
      <xdr:colOff>435429</xdr:colOff>
      <xdr:row>408</xdr:row>
      <xdr:rowOff>65314</xdr:rowOff>
    </xdr:to>
    <xdr:sp macro="" textlink="">
      <xdr:nvSpPr>
        <xdr:cNvPr id="89931" name="Line 377">
          <a:extLst>
            <a:ext uri="{FF2B5EF4-FFF2-40B4-BE49-F238E27FC236}">
              <a16:creationId xmlns:a16="http://schemas.microsoft.com/office/drawing/2014/main" id="{51D6B342-E9C2-8557-00FE-219820207D9C}"/>
            </a:ext>
          </a:extLst>
        </xdr:cNvPr>
        <xdr:cNvSpPr>
          <a:spLocks noChangeShapeType="1"/>
        </xdr:cNvSpPr>
      </xdr:nvSpPr>
      <xdr:spPr bwMode="auto">
        <a:xfrm>
          <a:off x="405493" y="74806629"/>
          <a:ext cx="29936" cy="13879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387</xdr:row>
      <xdr:rowOff>73479</xdr:rowOff>
    </xdr:from>
    <xdr:to>
      <xdr:col>0</xdr:col>
      <xdr:colOff>435429</xdr:colOff>
      <xdr:row>388</xdr:row>
      <xdr:rowOff>130629</xdr:rowOff>
    </xdr:to>
    <xdr:sp macro="" textlink="">
      <xdr:nvSpPr>
        <xdr:cNvPr id="89932" name="Line 378">
          <a:extLst>
            <a:ext uri="{FF2B5EF4-FFF2-40B4-BE49-F238E27FC236}">
              <a16:creationId xmlns:a16="http://schemas.microsoft.com/office/drawing/2014/main" id="{ED7A51EE-F1C3-BC95-89CD-882492D28721}"/>
            </a:ext>
          </a:extLst>
        </xdr:cNvPr>
        <xdr:cNvSpPr>
          <a:spLocks noChangeShapeType="1"/>
        </xdr:cNvSpPr>
      </xdr:nvSpPr>
      <xdr:spPr bwMode="auto">
        <a:xfrm flipV="1">
          <a:off x="435429" y="71238836"/>
          <a:ext cx="0" cy="23404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506186</xdr:colOff>
      <xdr:row>408</xdr:row>
      <xdr:rowOff>103414</xdr:rowOff>
    </xdr:from>
    <xdr:to>
      <xdr:col>1</xdr:col>
      <xdr:colOff>40821</xdr:colOff>
      <xdr:row>408</xdr:row>
      <xdr:rowOff>103414</xdr:rowOff>
    </xdr:to>
    <xdr:sp macro="" textlink="">
      <xdr:nvSpPr>
        <xdr:cNvPr id="89933" name="Line 379">
          <a:extLst>
            <a:ext uri="{FF2B5EF4-FFF2-40B4-BE49-F238E27FC236}">
              <a16:creationId xmlns:a16="http://schemas.microsoft.com/office/drawing/2014/main" id="{696D64A0-3D94-8979-9C7E-0B15126F4070}"/>
            </a:ext>
          </a:extLst>
        </xdr:cNvPr>
        <xdr:cNvSpPr>
          <a:spLocks noChangeShapeType="1"/>
        </xdr:cNvSpPr>
      </xdr:nvSpPr>
      <xdr:spPr bwMode="auto">
        <a:xfrm flipH="1">
          <a:off x="506186" y="74983521"/>
          <a:ext cx="1823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487136</xdr:colOff>
      <xdr:row>388</xdr:row>
      <xdr:rowOff>138793</xdr:rowOff>
    </xdr:from>
    <xdr:to>
      <xdr:col>0</xdr:col>
      <xdr:colOff>487136</xdr:colOff>
      <xdr:row>389</xdr:row>
      <xdr:rowOff>103414</xdr:rowOff>
    </xdr:to>
    <xdr:sp macro="" textlink="">
      <xdr:nvSpPr>
        <xdr:cNvPr id="89934" name="Line 380">
          <a:extLst>
            <a:ext uri="{FF2B5EF4-FFF2-40B4-BE49-F238E27FC236}">
              <a16:creationId xmlns:a16="http://schemas.microsoft.com/office/drawing/2014/main" id="{28BDB6CA-3CC6-EFCB-3DB5-12523F79CB35}"/>
            </a:ext>
          </a:extLst>
        </xdr:cNvPr>
        <xdr:cNvSpPr>
          <a:spLocks noChangeShapeType="1"/>
        </xdr:cNvSpPr>
      </xdr:nvSpPr>
      <xdr:spPr bwMode="auto">
        <a:xfrm flipV="1">
          <a:off x="487136" y="71481043"/>
          <a:ext cx="0" cy="1415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406</xdr:row>
      <xdr:rowOff>65314</xdr:rowOff>
    </xdr:from>
    <xdr:to>
      <xdr:col>0</xdr:col>
      <xdr:colOff>435429</xdr:colOff>
      <xdr:row>407</xdr:row>
      <xdr:rowOff>92529</xdr:rowOff>
    </xdr:to>
    <xdr:sp macro="" textlink="">
      <xdr:nvSpPr>
        <xdr:cNvPr id="89935" name="Line 381">
          <a:extLst>
            <a:ext uri="{FF2B5EF4-FFF2-40B4-BE49-F238E27FC236}">
              <a16:creationId xmlns:a16="http://schemas.microsoft.com/office/drawing/2014/main" id="{FEEE0F25-522C-1694-1E15-82C74E4F48A1}"/>
            </a:ext>
          </a:extLst>
        </xdr:cNvPr>
        <xdr:cNvSpPr>
          <a:spLocks noChangeShapeType="1"/>
        </xdr:cNvSpPr>
      </xdr:nvSpPr>
      <xdr:spPr bwMode="auto">
        <a:xfrm>
          <a:off x="435429" y="74591636"/>
          <a:ext cx="0" cy="20410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408</xdr:row>
      <xdr:rowOff>130629</xdr:rowOff>
    </xdr:from>
    <xdr:to>
      <xdr:col>0</xdr:col>
      <xdr:colOff>465364</xdr:colOff>
      <xdr:row>408</xdr:row>
      <xdr:rowOff>130629</xdr:rowOff>
    </xdr:to>
    <xdr:sp macro="" textlink="">
      <xdr:nvSpPr>
        <xdr:cNvPr id="89936" name="Line 382">
          <a:extLst>
            <a:ext uri="{FF2B5EF4-FFF2-40B4-BE49-F238E27FC236}">
              <a16:creationId xmlns:a16="http://schemas.microsoft.com/office/drawing/2014/main" id="{F0BDCD10-A9AF-FFAD-7EA7-124CB06E670C}"/>
            </a:ext>
          </a:extLst>
        </xdr:cNvPr>
        <xdr:cNvSpPr>
          <a:spLocks noChangeShapeType="1"/>
        </xdr:cNvSpPr>
      </xdr:nvSpPr>
      <xdr:spPr bwMode="auto">
        <a:xfrm>
          <a:off x="454479" y="75010736"/>
          <a:ext cx="1088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387</xdr:row>
      <xdr:rowOff>73479</xdr:rowOff>
    </xdr:from>
    <xdr:to>
      <xdr:col>0</xdr:col>
      <xdr:colOff>454479</xdr:colOff>
      <xdr:row>388</xdr:row>
      <xdr:rowOff>130629</xdr:rowOff>
    </xdr:to>
    <xdr:sp macro="" textlink="">
      <xdr:nvSpPr>
        <xdr:cNvPr id="89937" name="Line 383">
          <a:extLst>
            <a:ext uri="{FF2B5EF4-FFF2-40B4-BE49-F238E27FC236}">
              <a16:creationId xmlns:a16="http://schemas.microsoft.com/office/drawing/2014/main" id="{D0CF0092-4A1B-D58C-C91A-628BECC3F763}"/>
            </a:ext>
          </a:extLst>
        </xdr:cNvPr>
        <xdr:cNvSpPr>
          <a:spLocks noChangeShapeType="1"/>
        </xdr:cNvSpPr>
      </xdr:nvSpPr>
      <xdr:spPr bwMode="auto">
        <a:xfrm flipV="1">
          <a:off x="454479" y="71238836"/>
          <a:ext cx="0" cy="23404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405</xdr:row>
      <xdr:rowOff>119743</xdr:rowOff>
    </xdr:from>
    <xdr:to>
      <xdr:col>0</xdr:col>
      <xdr:colOff>446314</xdr:colOff>
      <xdr:row>406</xdr:row>
      <xdr:rowOff>46264</xdr:rowOff>
    </xdr:to>
    <xdr:sp macro="" textlink="">
      <xdr:nvSpPr>
        <xdr:cNvPr id="89938" name="Line 384">
          <a:extLst>
            <a:ext uri="{FF2B5EF4-FFF2-40B4-BE49-F238E27FC236}">
              <a16:creationId xmlns:a16="http://schemas.microsoft.com/office/drawing/2014/main" id="{D79978B0-184D-CFA4-AABC-B73FFCC77AA2}"/>
            </a:ext>
          </a:extLst>
        </xdr:cNvPr>
        <xdr:cNvSpPr>
          <a:spLocks noChangeShapeType="1"/>
        </xdr:cNvSpPr>
      </xdr:nvSpPr>
      <xdr:spPr bwMode="auto">
        <a:xfrm flipH="1">
          <a:off x="424543" y="74469171"/>
          <a:ext cx="21771" cy="1034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405</xdr:row>
      <xdr:rowOff>103414</xdr:rowOff>
    </xdr:from>
    <xdr:to>
      <xdr:col>0</xdr:col>
      <xdr:colOff>628650</xdr:colOff>
      <xdr:row>405</xdr:row>
      <xdr:rowOff>111579</xdr:rowOff>
    </xdr:to>
    <xdr:sp macro="" textlink="">
      <xdr:nvSpPr>
        <xdr:cNvPr id="89939" name="Line 385">
          <a:extLst>
            <a:ext uri="{FF2B5EF4-FFF2-40B4-BE49-F238E27FC236}">
              <a16:creationId xmlns:a16="http://schemas.microsoft.com/office/drawing/2014/main" id="{4BC7F69A-267E-50F5-4A07-CA3885799725}"/>
            </a:ext>
          </a:extLst>
        </xdr:cNvPr>
        <xdr:cNvSpPr>
          <a:spLocks noChangeShapeType="1"/>
        </xdr:cNvSpPr>
      </xdr:nvSpPr>
      <xdr:spPr bwMode="auto">
        <a:xfrm>
          <a:off x="628650" y="74452843"/>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394607</xdr:colOff>
      <xdr:row>405</xdr:row>
      <xdr:rowOff>119743</xdr:rowOff>
    </xdr:from>
    <xdr:to>
      <xdr:col>0</xdr:col>
      <xdr:colOff>424543</xdr:colOff>
      <xdr:row>406</xdr:row>
      <xdr:rowOff>57150</xdr:rowOff>
    </xdr:to>
    <xdr:sp macro="" textlink="">
      <xdr:nvSpPr>
        <xdr:cNvPr id="89940" name="Line 386">
          <a:extLst>
            <a:ext uri="{FF2B5EF4-FFF2-40B4-BE49-F238E27FC236}">
              <a16:creationId xmlns:a16="http://schemas.microsoft.com/office/drawing/2014/main" id="{6174C6F5-5661-340E-9C99-A0BE997AF267}"/>
            </a:ext>
          </a:extLst>
        </xdr:cNvPr>
        <xdr:cNvSpPr>
          <a:spLocks noChangeShapeType="1"/>
        </xdr:cNvSpPr>
      </xdr:nvSpPr>
      <xdr:spPr bwMode="auto">
        <a:xfrm flipH="1">
          <a:off x="394607" y="74469171"/>
          <a:ext cx="29936" cy="114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409</xdr:row>
      <xdr:rowOff>27214</xdr:rowOff>
    </xdr:from>
    <xdr:to>
      <xdr:col>1</xdr:col>
      <xdr:colOff>29936</xdr:colOff>
      <xdr:row>409</xdr:row>
      <xdr:rowOff>27214</xdr:rowOff>
    </xdr:to>
    <xdr:sp macro="" textlink="">
      <xdr:nvSpPr>
        <xdr:cNvPr id="89941" name="Line 387">
          <a:extLst>
            <a:ext uri="{FF2B5EF4-FFF2-40B4-BE49-F238E27FC236}">
              <a16:creationId xmlns:a16="http://schemas.microsoft.com/office/drawing/2014/main" id="{4AC104A7-A305-7CE2-9918-9699EEC70BB4}"/>
            </a:ext>
          </a:extLst>
        </xdr:cNvPr>
        <xdr:cNvSpPr>
          <a:spLocks noChangeShapeType="1"/>
        </xdr:cNvSpPr>
      </xdr:nvSpPr>
      <xdr:spPr bwMode="auto">
        <a:xfrm>
          <a:off x="435429" y="75084214"/>
          <a:ext cx="2422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407</xdr:row>
      <xdr:rowOff>0</xdr:rowOff>
    </xdr:from>
    <xdr:to>
      <xdr:col>1</xdr:col>
      <xdr:colOff>40821</xdr:colOff>
      <xdr:row>407</xdr:row>
      <xdr:rowOff>0</xdr:rowOff>
    </xdr:to>
    <xdr:sp macro="" textlink="">
      <xdr:nvSpPr>
        <xdr:cNvPr id="89942" name="Line 388">
          <a:extLst>
            <a:ext uri="{FF2B5EF4-FFF2-40B4-BE49-F238E27FC236}">
              <a16:creationId xmlns:a16="http://schemas.microsoft.com/office/drawing/2014/main" id="{636F4941-0211-A70E-9760-714529AC9966}"/>
            </a:ext>
          </a:extLst>
        </xdr:cNvPr>
        <xdr:cNvSpPr>
          <a:spLocks noChangeShapeType="1"/>
        </xdr:cNvSpPr>
      </xdr:nvSpPr>
      <xdr:spPr bwMode="auto">
        <a:xfrm flipH="1">
          <a:off x="424543" y="74703214"/>
          <a:ext cx="2639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407</xdr:row>
      <xdr:rowOff>92529</xdr:rowOff>
    </xdr:from>
    <xdr:to>
      <xdr:col>1</xdr:col>
      <xdr:colOff>29936</xdr:colOff>
      <xdr:row>407</xdr:row>
      <xdr:rowOff>92529</xdr:rowOff>
    </xdr:to>
    <xdr:sp macro="" textlink="">
      <xdr:nvSpPr>
        <xdr:cNvPr id="89943" name="Line 389">
          <a:extLst>
            <a:ext uri="{FF2B5EF4-FFF2-40B4-BE49-F238E27FC236}">
              <a16:creationId xmlns:a16="http://schemas.microsoft.com/office/drawing/2014/main" id="{E5E5C1B9-FEF1-A5F0-A7DF-E4C3AC8B28C3}"/>
            </a:ext>
          </a:extLst>
        </xdr:cNvPr>
        <xdr:cNvSpPr>
          <a:spLocks noChangeShapeType="1"/>
        </xdr:cNvSpPr>
      </xdr:nvSpPr>
      <xdr:spPr bwMode="auto">
        <a:xfrm>
          <a:off x="446314" y="74795743"/>
          <a:ext cx="2313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408</xdr:row>
      <xdr:rowOff>138793</xdr:rowOff>
    </xdr:from>
    <xdr:to>
      <xdr:col>1</xdr:col>
      <xdr:colOff>40821</xdr:colOff>
      <xdr:row>408</xdr:row>
      <xdr:rowOff>138793</xdr:rowOff>
    </xdr:to>
    <xdr:sp macro="" textlink="">
      <xdr:nvSpPr>
        <xdr:cNvPr id="89944" name="Line 390">
          <a:extLst>
            <a:ext uri="{FF2B5EF4-FFF2-40B4-BE49-F238E27FC236}">
              <a16:creationId xmlns:a16="http://schemas.microsoft.com/office/drawing/2014/main" id="{C825E3A7-E281-C8E0-0027-B81600C2EC5A}"/>
            </a:ext>
          </a:extLst>
        </xdr:cNvPr>
        <xdr:cNvSpPr>
          <a:spLocks noChangeShapeType="1"/>
        </xdr:cNvSpPr>
      </xdr:nvSpPr>
      <xdr:spPr bwMode="auto">
        <a:xfrm flipH="1">
          <a:off x="424543" y="75018900"/>
          <a:ext cx="2639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29936</xdr:colOff>
      <xdr:row>407</xdr:row>
      <xdr:rowOff>92529</xdr:rowOff>
    </xdr:from>
    <xdr:to>
      <xdr:col>1</xdr:col>
      <xdr:colOff>29936</xdr:colOff>
      <xdr:row>408</xdr:row>
      <xdr:rowOff>111579</xdr:rowOff>
    </xdr:to>
    <xdr:sp macro="" textlink="">
      <xdr:nvSpPr>
        <xdr:cNvPr id="89945" name="Line 391">
          <a:extLst>
            <a:ext uri="{FF2B5EF4-FFF2-40B4-BE49-F238E27FC236}">
              <a16:creationId xmlns:a16="http://schemas.microsoft.com/office/drawing/2014/main" id="{7F8BCA42-3284-60C7-1845-FDB1061C8B58}"/>
            </a:ext>
          </a:extLst>
        </xdr:cNvPr>
        <xdr:cNvSpPr>
          <a:spLocks noChangeShapeType="1"/>
        </xdr:cNvSpPr>
      </xdr:nvSpPr>
      <xdr:spPr bwMode="auto">
        <a:xfrm flipV="1">
          <a:off x="677636" y="74795743"/>
          <a:ext cx="0" cy="19594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406</xdr:row>
      <xdr:rowOff>149679</xdr:rowOff>
    </xdr:from>
    <xdr:to>
      <xdr:col>0</xdr:col>
      <xdr:colOff>446314</xdr:colOff>
      <xdr:row>407</xdr:row>
      <xdr:rowOff>103414</xdr:rowOff>
    </xdr:to>
    <xdr:sp macro="" textlink="">
      <xdr:nvSpPr>
        <xdr:cNvPr id="89946" name="Line 392">
          <a:extLst>
            <a:ext uri="{FF2B5EF4-FFF2-40B4-BE49-F238E27FC236}">
              <a16:creationId xmlns:a16="http://schemas.microsoft.com/office/drawing/2014/main" id="{A4E3F2A0-9F0B-EF7F-1FDD-E75CCFAFF249}"/>
            </a:ext>
          </a:extLst>
        </xdr:cNvPr>
        <xdr:cNvSpPr>
          <a:spLocks noChangeShapeType="1"/>
        </xdr:cNvSpPr>
      </xdr:nvSpPr>
      <xdr:spPr bwMode="auto">
        <a:xfrm flipH="1" flipV="1">
          <a:off x="424543" y="74676000"/>
          <a:ext cx="21771" cy="13062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408</xdr:row>
      <xdr:rowOff>130629</xdr:rowOff>
    </xdr:from>
    <xdr:to>
      <xdr:col>0</xdr:col>
      <xdr:colOff>525236</xdr:colOff>
      <xdr:row>408</xdr:row>
      <xdr:rowOff>130629</xdr:rowOff>
    </xdr:to>
    <xdr:sp macro="" textlink="">
      <xdr:nvSpPr>
        <xdr:cNvPr id="89947" name="Line 393">
          <a:extLst>
            <a:ext uri="{FF2B5EF4-FFF2-40B4-BE49-F238E27FC236}">
              <a16:creationId xmlns:a16="http://schemas.microsoft.com/office/drawing/2014/main" id="{EE6C5314-6D72-69D1-FB05-F928DB8889BD}"/>
            </a:ext>
          </a:extLst>
        </xdr:cNvPr>
        <xdr:cNvSpPr>
          <a:spLocks noChangeShapeType="1"/>
        </xdr:cNvSpPr>
      </xdr:nvSpPr>
      <xdr:spPr bwMode="auto">
        <a:xfrm flipH="1">
          <a:off x="435429" y="75010736"/>
          <a:ext cx="898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408</xdr:row>
      <xdr:rowOff>138793</xdr:rowOff>
    </xdr:from>
    <xdr:to>
      <xdr:col>1</xdr:col>
      <xdr:colOff>29936</xdr:colOff>
      <xdr:row>408</xdr:row>
      <xdr:rowOff>138793</xdr:rowOff>
    </xdr:to>
    <xdr:sp macro="" textlink="">
      <xdr:nvSpPr>
        <xdr:cNvPr id="89948" name="Line 394">
          <a:extLst>
            <a:ext uri="{FF2B5EF4-FFF2-40B4-BE49-F238E27FC236}">
              <a16:creationId xmlns:a16="http://schemas.microsoft.com/office/drawing/2014/main" id="{46244842-4CFA-B0EC-2BD8-861A3207570A}"/>
            </a:ext>
          </a:extLst>
        </xdr:cNvPr>
        <xdr:cNvSpPr>
          <a:spLocks noChangeShapeType="1"/>
        </xdr:cNvSpPr>
      </xdr:nvSpPr>
      <xdr:spPr bwMode="auto">
        <a:xfrm>
          <a:off x="446314" y="75018900"/>
          <a:ext cx="2313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407</xdr:row>
      <xdr:rowOff>92529</xdr:rowOff>
    </xdr:from>
    <xdr:to>
      <xdr:col>0</xdr:col>
      <xdr:colOff>525236</xdr:colOff>
      <xdr:row>408</xdr:row>
      <xdr:rowOff>130629</xdr:rowOff>
    </xdr:to>
    <xdr:sp macro="" textlink="">
      <xdr:nvSpPr>
        <xdr:cNvPr id="89949" name="Line 395">
          <a:extLst>
            <a:ext uri="{FF2B5EF4-FFF2-40B4-BE49-F238E27FC236}">
              <a16:creationId xmlns:a16="http://schemas.microsoft.com/office/drawing/2014/main" id="{AF273512-41F1-B597-64C8-FC1A8D2AC4F5}"/>
            </a:ext>
          </a:extLst>
        </xdr:cNvPr>
        <xdr:cNvSpPr>
          <a:spLocks noChangeShapeType="1"/>
        </xdr:cNvSpPr>
      </xdr:nvSpPr>
      <xdr:spPr bwMode="auto">
        <a:xfrm flipH="1" flipV="1">
          <a:off x="435429" y="74795743"/>
          <a:ext cx="89807" cy="21499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29936</xdr:colOff>
      <xdr:row>406</xdr:row>
      <xdr:rowOff>119743</xdr:rowOff>
    </xdr:from>
    <xdr:to>
      <xdr:col>1</xdr:col>
      <xdr:colOff>29936</xdr:colOff>
      <xdr:row>407</xdr:row>
      <xdr:rowOff>0</xdr:rowOff>
    </xdr:to>
    <xdr:sp macro="" textlink="">
      <xdr:nvSpPr>
        <xdr:cNvPr id="89950" name="Line 396">
          <a:extLst>
            <a:ext uri="{FF2B5EF4-FFF2-40B4-BE49-F238E27FC236}">
              <a16:creationId xmlns:a16="http://schemas.microsoft.com/office/drawing/2014/main" id="{E9C3529A-1994-680C-F285-23EA02347587}"/>
            </a:ext>
          </a:extLst>
        </xdr:cNvPr>
        <xdr:cNvSpPr>
          <a:spLocks noChangeShapeType="1"/>
        </xdr:cNvSpPr>
      </xdr:nvSpPr>
      <xdr:spPr bwMode="auto">
        <a:xfrm flipV="1">
          <a:off x="677636" y="74646064"/>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406</xdr:row>
      <xdr:rowOff>130629</xdr:rowOff>
    </xdr:from>
    <xdr:to>
      <xdr:col>0</xdr:col>
      <xdr:colOff>435429</xdr:colOff>
      <xdr:row>406</xdr:row>
      <xdr:rowOff>149679</xdr:rowOff>
    </xdr:to>
    <xdr:sp macro="" textlink="">
      <xdr:nvSpPr>
        <xdr:cNvPr id="89951" name="Line 397">
          <a:extLst>
            <a:ext uri="{FF2B5EF4-FFF2-40B4-BE49-F238E27FC236}">
              <a16:creationId xmlns:a16="http://schemas.microsoft.com/office/drawing/2014/main" id="{E0F37710-2D7F-5CA7-E136-8EBCDFBD80DC}"/>
            </a:ext>
          </a:extLst>
        </xdr:cNvPr>
        <xdr:cNvSpPr>
          <a:spLocks noChangeShapeType="1"/>
        </xdr:cNvSpPr>
      </xdr:nvSpPr>
      <xdr:spPr bwMode="auto">
        <a:xfrm>
          <a:off x="435429" y="74656950"/>
          <a:ext cx="0" cy="19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405</xdr:row>
      <xdr:rowOff>84364</xdr:rowOff>
    </xdr:from>
    <xdr:to>
      <xdr:col>0</xdr:col>
      <xdr:colOff>454479</xdr:colOff>
      <xdr:row>405</xdr:row>
      <xdr:rowOff>84364</xdr:rowOff>
    </xdr:to>
    <xdr:sp macro="" textlink="">
      <xdr:nvSpPr>
        <xdr:cNvPr id="89952" name="Line 398">
          <a:extLst>
            <a:ext uri="{FF2B5EF4-FFF2-40B4-BE49-F238E27FC236}">
              <a16:creationId xmlns:a16="http://schemas.microsoft.com/office/drawing/2014/main" id="{426981AE-3F22-1304-C131-52CBAE8F3FB6}"/>
            </a:ext>
          </a:extLst>
        </xdr:cNvPr>
        <xdr:cNvSpPr>
          <a:spLocks noChangeShapeType="1"/>
        </xdr:cNvSpPr>
      </xdr:nvSpPr>
      <xdr:spPr bwMode="auto">
        <a:xfrm>
          <a:off x="454479" y="74433793"/>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405</xdr:row>
      <xdr:rowOff>57150</xdr:rowOff>
    </xdr:from>
    <xdr:to>
      <xdr:col>1</xdr:col>
      <xdr:colOff>10886</xdr:colOff>
      <xdr:row>405</xdr:row>
      <xdr:rowOff>57150</xdr:rowOff>
    </xdr:to>
    <xdr:sp macro="" textlink="">
      <xdr:nvSpPr>
        <xdr:cNvPr id="89953" name="Line 399">
          <a:extLst>
            <a:ext uri="{FF2B5EF4-FFF2-40B4-BE49-F238E27FC236}">
              <a16:creationId xmlns:a16="http://schemas.microsoft.com/office/drawing/2014/main" id="{DC96BF7C-D5FA-E32B-3DD8-1678B804E4A3}"/>
            </a:ext>
          </a:extLst>
        </xdr:cNvPr>
        <xdr:cNvSpPr>
          <a:spLocks noChangeShapeType="1"/>
        </xdr:cNvSpPr>
      </xdr:nvSpPr>
      <xdr:spPr bwMode="auto">
        <a:xfrm>
          <a:off x="454479" y="74406579"/>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406</xdr:row>
      <xdr:rowOff>130629</xdr:rowOff>
    </xdr:from>
    <xdr:to>
      <xdr:col>1</xdr:col>
      <xdr:colOff>40821</xdr:colOff>
      <xdr:row>406</xdr:row>
      <xdr:rowOff>130629</xdr:rowOff>
    </xdr:to>
    <xdr:sp macro="" textlink="">
      <xdr:nvSpPr>
        <xdr:cNvPr id="89954" name="Line 400">
          <a:extLst>
            <a:ext uri="{FF2B5EF4-FFF2-40B4-BE49-F238E27FC236}">
              <a16:creationId xmlns:a16="http://schemas.microsoft.com/office/drawing/2014/main" id="{27104E86-5ECA-6801-350A-3034A5962342}"/>
            </a:ext>
          </a:extLst>
        </xdr:cNvPr>
        <xdr:cNvSpPr>
          <a:spLocks noChangeShapeType="1"/>
        </xdr:cNvSpPr>
      </xdr:nvSpPr>
      <xdr:spPr bwMode="auto">
        <a:xfrm flipH="1">
          <a:off x="424543" y="74656950"/>
          <a:ext cx="2639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636814</xdr:colOff>
      <xdr:row>405</xdr:row>
      <xdr:rowOff>103414</xdr:rowOff>
    </xdr:from>
    <xdr:to>
      <xdr:col>0</xdr:col>
      <xdr:colOff>636814</xdr:colOff>
      <xdr:row>406</xdr:row>
      <xdr:rowOff>130629</xdr:rowOff>
    </xdr:to>
    <xdr:sp macro="" textlink="">
      <xdr:nvSpPr>
        <xdr:cNvPr id="89955" name="Line 401">
          <a:extLst>
            <a:ext uri="{FF2B5EF4-FFF2-40B4-BE49-F238E27FC236}">
              <a16:creationId xmlns:a16="http://schemas.microsoft.com/office/drawing/2014/main" id="{F108EED5-EB43-92F7-3FC3-1977D0E12C5E}"/>
            </a:ext>
          </a:extLst>
        </xdr:cNvPr>
        <xdr:cNvSpPr>
          <a:spLocks noChangeShapeType="1"/>
        </xdr:cNvSpPr>
      </xdr:nvSpPr>
      <xdr:spPr bwMode="auto">
        <a:xfrm flipV="1">
          <a:off x="636814" y="74452843"/>
          <a:ext cx="0" cy="20410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405</xdr:row>
      <xdr:rowOff>103414</xdr:rowOff>
    </xdr:from>
    <xdr:to>
      <xdr:col>0</xdr:col>
      <xdr:colOff>476250</xdr:colOff>
      <xdr:row>406</xdr:row>
      <xdr:rowOff>119743</xdr:rowOff>
    </xdr:to>
    <xdr:sp macro="" textlink="">
      <xdr:nvSpPr>
        <xdr:cNvPr id="89956" name="Line 402">
          <a:extLst>
            <a:ext uri="{FF2B5EF4-FFF2-40B4-BE49-F238E27FC236}">
              <a16:creationId xmlns:a16="http://schemas.microsoft.com/office/drawing/2014/main" id="{6A71F66B-62BD-9510-A159-CFE636BB32CF}"/>
            </a:ext>
          </a:extLst>
        </xdr:cNvPr>
        <xdr:cNvSpPr>
          <a:spLocks noChangeShapeType="1"/>
        </xdr:cNvSpPr>
      </xdr:nvSpPr>
      <xdr:spPr bwMode="auto">
        <a:xfrm>
          <a:off x="476250" y="74452843"/>
          <a:ext cx="0" cy="1932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636814</xdr:colOff>
      <xdr:row>405</xdr:row>
      <xdr:rowOff>84364</xdr:rowOff>
    </xdr:from>
    <xdr:to>
      <xdr:col>1</xdr:col>
      <xdr:colOff>10886</xdr:colOff>
      <xdr:row>405</xdr:row>
      <xdr:rowOff>84364</xdr:rowOff>
    </xdr:to>
    <xdr:sp macro="" textlink="">
      <xdr:nvSpPr>
        <xdr:cNvPr id="89957" name="Line 403">
          <a:extLst>
            <a:ext uri="{FF2B5EF4-FFF2-40B4-BE49-F238E27FC236}">
              <a16:creationId xmlns:a16="http://schemas.microsoft.com/office/drawing/2014/main" id="{16E14638-4379-18ED-5922-95775D42DC20}"/>
            </a:ext>
          </a:extLst>
        </xdr:cNvPr>
        <xdr:cNvSpPr>
          <a:spLocks noChangeShapeType="1"/>
        </xdr:cNvSpPr>
      </xdr:nvSpPr>
      <xdr:spPr bwMode="auto">
        <a:xfrm>
          <a:off x="636814" y="74433793"/>
          <a:ext cx="2177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617764</xdr:colOff>
      <xdr:row>405</xdr:row>
      <xdr:rowOff>92529</xdr:rowOff>
    </xdr:from>
    <xdr:to>
      <xdr:col>0</xdr:col>
      <xdr:colOff>636814</xdr:colOff>
      <xdr:row>405</xdr:row>
      <xdr:rowOff>92529</xdr:rowOff>
    </xdr:to>
    <xdr:sp macro="" textlink="">
      <xdr:nvSpPr>
        <xdr:cNvPr id="89958" name="Line 404">
          <a:extLst>
            <a:ext uri="{FF2B5EF4-FFF2-40B4-BE49-F238E27FC236}">
              <a16:creationId xmlns:a16="http://schemas.microsoft.com/office/drawing/2014/main" id="{1FEE0F17-D4B9-2797-117E-C787BEFFAD33}"/>
            </a:ext>
          </a:extLst>
        </xdr:cNvPr>
        <xdr:cNvSpPr>
          <a:spLocks noChangeShapeType="1"/>
        </xdr:cNvSpPr>
      </xdr:nvSpPr>
      <xdr:spPr bwMode="auto">
        <a:xfrm flipH="1">
          <a:off x="617764" y="74441957"/>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636814</xdr:colOff>
      <xdr:row>405</xdr:row>
      <xdr:rowOff>84364</xdr:rowOff>
    </xdr:from>
    <xdr:to>
      <xdr:col>0</xdr:col>
      <xdr:colOff>636814</xdr:colOff>
      <xdr:row>405</xdr:row>
      <xdr:rowOff>111579</xdr:rowOff>
    </xdr:to>
    <xdr:sp macro="" textlink="">
      <xdr:nvSpPr>
        <xdr:cNvPr id="89959" name="Line 405">
          <a:extLst>
            <a:ext uri="{FF2B5EF4-FFF2-40B4-BE49-F238E27FC236}">
              <a16:creationId xmlns:a16="http://schemas.microsoft.com/office/drawing/2014/main" id="{95099BE3-E618-54E6-0B3C-6A69CD699140}"/>
            </a:ext>
          </a:extLst>
        </xdr:cNvPr>
        <xdr:cNvSpPr>
          <a:spLocks noChangeShapeType="1"/>
        </xdr:cNvSpPr>
      </xdr:nvSpPr>
      <xdr:spPr bwMode="auto">
        <a:xfrm flipV="1">
          <a:off x="636814" y="74433793"/>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400</xdr:row>
      <xdr:rowOff>149679</xdr:rowOff>
    </xdr:from>
    <xdr:to>
      <xdr:col>1</xdr:col>
      <xdr:colOff>29936</xdr:colOff>
      <xdr:row>400</xdr:row>
      <xdr:rowOff>149679</xdr:rowOff>
    </xdr:to>
    <xdr:sp macro="" textlink="">
      <xdr:nvSpPr>
        <xdr:cNvPr id="89960" name="Line 406">
          <a:extLst>
            <a:ext uri="{FF2B5EF4-FFF2-40B4-BE49-F238E27FC236}">
              <a16:creationId xmlns:a16="http://schemas.microsoft.com/office/drawing/2014/main" id="{C7239AD2-1FF6-D965-19FC-D6ABEF9B9811}"/>
            </a:ext>
          </a:extLst>
        </xdr:cNvPr>
        <xdr:cNvSpPr>
          <a:spLocks noChangeShapeType="1"/>
        </xdr:cNvSpPr>
      </xdr:nvSpPr>
      <xdr:spPr bwMode="auto">
        <a:xfrm flipH="1">
          <a:off x="446314" y="73614643"/>
          <a:ext cx="2313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403</xdr:row>
      <xdr:rowOff>138793</xdr:rowOff>
    </xdr:from>
    <xdr:to>
      <xdr:col>1</xdr:col>
      <xdr:colOff>10886</xdr:colOff>
      <xdr:row>403</xdr:row>
      <xdr:rowOff>138793</xdr:rowOff>
    </xdr:to>
    <xdr:sp macro="" textlink="">
      <xdr:nvSpPr>
        <xdr:cNvPr id="89961" name="Line 407">
          <a:extLst>
            <a:ext uri="{FF2B5EF4-FFF2-40B4-BE49-F238E27FC236}">
              <a16:creationId xmlns:a16="http://schemas.microsoft.com/office/drawing/2014/main" id="{5D5A2C58-859E-A67A-DFE5-E53E62983642}"/>
            </a:ext>
          </a:extLst>
        </xdr:cNvPr>
        <xdr:cNvSpPr>
          <a:spLocks noChangeShapeType="1"/>
        </xdr:cNvSpPr>
      </xdr:nvSpPr>
      <xdr:spPr bwMode="auto">
        <a:xfrm>
          <a:off x="454479" y="74134436"/>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403</xdr:row>
      <xdr:rowOff>73479</xdr:rowOff>
    </xdr:from>
    <xdr:to>
      <xdr:col>1</xdr:col>
      <xdr:colOff>29936</xdr:colOff>
      <xdr:row>403</xdr:row>
      <xdr:rowOff>73479</xdr:rowOff>
    </xdr:to>
    <xdr:sp macro="" textlink="">
      <xdr:nvSpPr>
        <xdr:cNvPr id="89962" name="Line 408">
          <a:extLst>
            <a:ext uri="{FF2B5EF4-FFF2-40B4-BE49-F238E27FC236}">
              <a16:creationId xmlns:a16="http://schemas.microsoft.com/office/drawing/2014/main" id="{2B4B8D41-DBB6-4A1E-E808-DF762C942EF9}"/>
            </a:ext>
          </a:extLst>
        </xdr:cNvPr>
        <xdr:cNvSpPr>
          <a:spLocks noChangeShapeType="1"/>
        </xdr:cNvSpPr>
      </xdr:nvSpPr>
      <xdr:spPr bwMode="auto">
        <a:xfrm flipH="1">
          <a:off x="446314" y="74069121"/>
          <a:ext cx="2313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487136</xdr:colOff>
      <xdr:row>408</xdr:row>
      <xdr:rowOff>119743</xdr:rowOff>
    </xdr:from>
    <xdr:to>
      <xdr:col>0</xdr:col>
      <xdr:colOff>487136</xdr:colOff>
      <xdr:row>408</xdr:row>
      <xdr:rowOff>127907</xdr:rowOff>
    </xdr:to>
    <xdr:sp macro="" textlink="">
      <xdr:nvSpPr>
        <xdr:cNvPr id="89963" name="Line 409">
          <a:extLst>
            <a:ext uri="{FF2B5EF4-FFF2-40B4-BE49-F238E27FC236}">
              <a16:creationId xmlns:a16="http://schemas.microsoft.com/office/drawing/2014/main" id="{61520E97-D330-7AAF-A6F3-5B7E9D31D032}"/>
            </a:ext>
          </a:extLst>
        </xdr:cNvPr>
        <xdr:cNvSpPr>
          <a:spLocks noChangeShapeType="1"/>
        </xdr:cNvSpPr>
      </xdr:nvSpPr>
      <xdr:spPr bwMode="auto">
        <a:xfrm>
          <a:off x="487136" y="74999850"/>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399</xdr:row>
      <xdr:rowOff>65314</xdr:rowOff>
    </xdr:from>
    <xdr:to>
      <xdr:col>1</xdr:col>
      <xdr:colOff>10886</xdr:colOff>
      <xdr:row>399</xdr:row>
      <xdr:rowOff>65314</xdr:rowOff>
    </xdr:to>
    <xdr:sp macro="" textlink="">
      <xdr:nvSpPr>
        <xdr:cNvPr id="89964" name="Line 410">
          <a:extLst>
            <a:ext uri="{FF2B5EF4-FFF2-40B4-BE49-F238E27FC236}">
              <a16:creationId xmlns:a16="http://schemas.microsoft.com/office/drawing/2014/main" id="{4B5D0266-6284-8241-4697-6ADEDE145ECE}"/>
            </a:ext>
          </a:extLst>
        </xdr:cNvPr>
        <xdr:cNvSpPr>
          <a:spLocks noChangeShapeType="1"/>
        </xdr:cNvSpPr>
      </xdr:nvSpPr>
      <xdr:spPr bwMode="auto">
        <a:xfrm>
          <a:off x="454479" y="73353386"/>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400</xdr:row>
      <xdr:rowOff>73479</xdr:rowOff>
    </xdr:from>
    <xdr:to>
      <xdr:col>1</xdr:col>
      <xdr:colOff>19050</xdr:colOff>
      <xdr:row>400</xdr:row>
      <xdr:rowOff>138793</xdr:rowOff>
    </xdr:to>
    <xdr:sp macro="" textlink="">
      <xdr:nvSpPr>
        <xdr:cNvPr id="89965" name="Line 411">
          <a:extLst>
            <a:ext uri="{FF2B5EF4-FFF2-40B4-BE49-F238E27FC236}">
              <a16:creationId xmlns:a16="http://schemas.microsoft.com/office/drawing/2014/main" id="{66869CE3-0B74-8733-C1F4-3BE0272D2489}"/>
            </a:ext>
          </a:extLst>
        </xdr:cNvPr>
        <xdr:cNvSpPr>
          <a:spLocks noChangeShapeType="1"/>
        </xdr:cNvSpPr>
      </xdr:nvSpPr>
      <xdr:spPr bwMode="auto">
        <a:xfrm>
          <a:off x="666750" y="73538443"/>
          <a:ext cx="0" cy="653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400</xdr:row>
      <xdr:rowOff>57150</xdr:rowOff>
    </xdr:from>
    <xdr:to>
      <xdr:col>0</xdr:col>
      <xdr:colOff>446314</xdr:colOff>
      <xdr:row>401</xdr:row>
      <xdr:rowOff>0</xdr:rowOff>
    </xdr:to>
    <xdr:sp macro="" textlink="">
      <xdr:nvSpPr>
        <xdr:cNvPr id="89966" name="Line 412">
          <a:extLst>
            <a:ext uri="{FF2B5EF4-FFF2-40B4-BE49-F238E27FC236}">
              <a16:creationId xmlns:a16="http://schemas.microsoft.com/office/drawing/2014/main" id="{B1CE6CC5-0900-C68A-1766-0071EEC24E9B}"/>
            </a:ext>
          </a:extLst>
        </xdr:cNvPr>
        <xdr:cNvSpPr>
          <a:spLocks noChangeShapeType="1"/>
        </xdr:cNvSpPr>
      </xdr:nvSpPr>
      <xdr:spPr bwMode="auto">
        <a:xfrm flipV="1">
          <a:off x="446314" y="73522114"/>
          <a:ext cx="0" cy="11974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400</xdr:row>
      <xdr:rowOff>38100</xdr:rowOff>
    </xdr:from>
    <xdr:to>
      <xdr:col>1</xdr:col>
      <xdr:colOff>10886</xdr:colOff>
      <xdr:row>400</xdr:row>
      <xdr:rowOff>38100</xdr:rowOff>
    </xdr:to>
    <xdr:sp macro="" textlink="">
      <xdr:nvSpPr>
        <xdr:cNvPr id="89967" name="Line 413">
          <a:extLst>
            <a:ext uri="{FF2B5EF4-FFF2-40B4-BE49-F238E27FC236}">
              <a16:creationId xmlns:a16="http://schemas.microsoft.com/office/drawing/2014/main" id="{69E3CC2A-3E09-E13F-A11A-577C5D6FE604}"/>
            </a:ext>
          </a:extLst>
        </xdr:cNvPr>
        <xdr:cNvSpPr>
          <a:spLocks noChangeShapeType="1"/>
        </xdr:cNvSpPr>
      </xdr:nvSpPr>
      <xdr:spPr bwMode="auto">
        <a:xfrm>
          <a:off x="454479" y="73503064"/>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400</xdr:row>
      <xdr:rowOff>65314</xdr:rowOff>
    </xdr:from>
    <xdr:to>
      <xdr:col>1</xdr:col>
      <xdr:colOff>29936</xdr:colOff>
      <xdr:row>400</xdr:row>
      <xdr:rowOff>65314</xdr:rowOff>
    </xdr:to>
    <xdr:sp macro="" textlink="">
      <xdr:nvSpPr>
        <xdr:cNvPr id="89968" name="Line 414">
          <a:extLst>
            <a:ext uri="{FF2B5EF4-FFF2-40B4-BE49-F238E27FC236}">
              <a16:creationId xmlns:a16="http://schemas.microsoft.com/office/drawing/2014/main" id="{B49A1908-3D5C-5406-5835-A1A194F54878}"/>
            </a:ext>
          </a:extLst>
        </xdr:cNvPr>
        <xdr:cNvSpPr>
          <a:spLocks noChangeShapeType="1"/>
        </xdr:cNvSpPr>
      </xdr:nvSpPr>
      <xdr:spPr bwMode="auto">
        <a:xfrm flipH="1">
          <a:off x="446314" y="73530279"/>
          <a:ext cx="2313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10886</xdr:colOff>
      <xdr:row>400</xdr:row>
      <xdr:rowOff>46264</xdr:rowOff>
    </xdr:from>
    <xdr:to>
      <xdr:col>1</xdr:col>
      <xdr:colOff>10886</xdr:colOff>
      <xdr:row>400</xdr:row>
      <xdr:rowOff>54429</xdr:rowOff>
    </xdr:to>
    <xdr:sp macro="" textlink="">
      <xdr:nvSpPr>
        <xdr:cNvPr id="89969" name="Line 415">
          <a:extLst>
            <a:ext uri="{FF2B5EF4-FFF2-40B4-BE49-F238E27FC236}">
              <a16:creationId xmlns:a16="http://schemas.microsoft.com/office/drawing/2014/main" id="{518E3AE4-02A0-AC41-9D56-C7ADEBBEC90E}"/>
            </a:ext>
          </a:extLst>
        </xdr:cNvPr>
        <xdr:cNvSpPr>
          <a:spLocks noChangeShapeType="1"/>
        </xdr:cNvSpPr>
      </xdr:nvSpPr>
      <xdr:spPr bwMode="auto">
        <a:xfrm>
          <a:off x="658586" y="73511229"/>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399</xdr:row>
      <xdr:rowOff>65314</xdr:rowOff>
    </xdr:from>
    <xdr:to>
      <xdr:col>0</xdr:col>
      <xdr:colOff>446314</xdr:colOff>
      <xdr:row>400</xdr:row>
      <xdr:rowOff>46264</xdr:rowOff>
    </xdr:to>
    <xdr:sp macro="" textlink="">
      <xdr:nvSpPr>
        <xdr:cNvPr id="89970" name="Line 416">
          <a:extLst>
            <a:ext uri="{FF2B5EF4-FFF2-40B4-BE49-F238E27FC236}">
              <a16:creationId xmlns:a16="http://schemas.microsoft.com/office/drawing/2014/main" id="{84A1D0A7-AFC7-DAAD-783D-623733E7B693}"/>
            </a:ext>
          </a:extLst>
        </xdr:cNvPr>
        <xdr:cNvSpPr>
          <a:spLocks noChangeShapeType="1"/>
        </xdr:cNvSpPr>
      </xdr:nvSpPr>
      <xdr:spPr bwMode="auto">
        <a:xfrm flipV="1">
          <a:off x="446314" y="73353386"/>
          <a:ext cx="0" cy="15784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399</xdr:row>
      <xdr:rowOff>38100</xdr:rowOff>
    </xdr:from>
    <xdr:to>
      <xdr:col>1</xdr:col>
      <xdr:colOff>10886</xdr:colOff>
      <xdr:row>399</xdr:row>
      <xdr:rowOff>38100</xdr:rowOff>
    </xdr:to>
    <xdr:sp macro="" textlink="">
      <xdr:nvSpPr>
        <xdr:cNvPr id="89971" name="Line 417">
          <a:extLst>
            <a:ext uri="{FF2B5EF4-FFF2-40B4-BE49-F238E27FC236}">
              <a16:creationId xmlns:a16="http://schemas.microsoft.com/office/drawing/2014/main" id="{E78B497E-77EE-D4D2-CB75-B93EE908FBCD}"/>
            </a:ext>
          </a:extLst>
        </xdr:cNvPr>
        <xdr:cNvSpPr>
          <a:spLocks noChangeShapeType="1"/>
        </xdr:cNvSpPr>
      </xdr:nvSpPr>
      <xdr:spPr bwMode="auto">
        <a:xfrm>
          <a:off x="454479" y="73326171"/>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10886</xdr:colOff>
      <xdr:row>399</xdr:row>
      <xdr:rowOff>46264</xdr:rowOff>
    </xdr:from>
    <xdr:to>
      <xdr:col>1</xdr:col>
      <xdr:colOff>10886</xdr:colOff>
      <xdr:row>399</xdr:row>
      <xdr:rowOff>65314</xdr:rowOff>
    </xdr:to>
    <xdr:sp macro="" textlink="">
      <xdr:nvSpPr>
        <xdr:cNvPr id="89972" name="Line 418">
          <a:extLst>
            <a:ext uri="{FF2B5EF4-FFF2-40B4-BE49-F238E27FC236}">
              <a16:creationId xmlns:a16="http://schemas.microsoft.com/office/drawing/2014/main" id="{E4400DA6-E7B6-CD4F-D6EE-FDF045520E9E}"/>
            </a:ext>
          </a:extLst>
        </xdr:cNvPr>
        <xdr:cNvSpPr>
          <a:spLocks noChangeShapeType="1"/>
        </xdr:cNvSpPr>
      </xdr:nvSpPr>
      <xdr:spPr bwMode="auto">
        <a:xfrm>
          <a:off x="658586" y="73334336"/>
          <a:ext cx="0" cy="19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398</xdr:row>
      <xdr:rowOff>73479</xdr:rowOff>
    </xdr:from>
    <xdr:to>
      <xdr:col>0</xdr:col>
      <xdr:colOff>446314</xdr:colOff>
      <xdr:row>398</xdr:row>
      <xdr:rowOff>100693</xdr:rowOff>
    </xdr:to>
    <xdr:sp macro="" textlink="">
      <xdr:nvSpPr>
        <xdr:cNvPr id="89973" name="Line 419">
          <a:extLst>
            <a:ext uri="{FF2B5EF4-FFF2-40B4-BE49-F238E27FC236}">
              <a16:creationId xmlns:a16="http://schemas.microsoft.com/office/drawing/2014/main" id="{603E7770-8B53-8F97-5D1F-3499D68AB52A}"/>
            </a:ext>
          </a:extLst>
        </xdr:cNvPr>
        <xdr:cNvSpPr>
          <a:spLocks noChangeShapeType="1"/>
        </xdr:cNvSpPr>
      </xdr:nvSpPr>
      <xdr:spPr bwMode="auto">
        <a:xfrm flipV="1">
          <a:off x="446314" y="73184657"/>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398</xdr:row>
      <xdr:rowOff>119743</xdr:rowOff>
    </xdr:from>
    <xdr:to>
      <xdr:col>0</xdr:col>
      <xdr:colOff>606879</xdr:colOff>
      <xdr:row>398</xdr:row>
      <xdr:rowOff>119743</xdr:rowOff>
    </xdr:to>
    <xdr:sp macro="" textlink="">
      <xdr:nvSpPr>
        <xdr:cNvPr id="89974" name="Line 420">
          <a:extLst>
            <a:ext uri="{FF2B5EF4-FFF2-40B4-BE49-F238E27FC236}">
              <a16:creationId xmlns:a16="http://schemas.microsoft.com/office/drawing/2014/main" id="{7D20938C-8FA8-567B-8FE5-4C229FEB5AD9}"/>
            </a:ext>
          </a:extLst>
        </xdr:cNvPr>
        <xdr:cNvSpPr>
          <a:spLocks noChangeShapeType="1"/>
        </xdr:cNvSpPr>
      </xdr:nvSpPr>
      <xdr:spPr bwMode="auto">
        <a:xfrm>
          <a:off x="495300" y="73230921"/>
          <a:ext cx="11157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398</xdr:row>
      <xdr:rowOff>130629</xdr:rowOff>
    </xdr:from>
    <xdr:to>
      <xdr:col>0</xdr:col>
      <xdr:colOff>495300</xdr:colOff>
      <xdr:row>399</xdr:row>
      <xdr:rowOff>27214</xdr:rowOff>
    </xdr:to>
    <xdr:sp macro="" textlink="">
      <xdr:nvSpPr>
        <xdr:cNvPr id="89975" name="Line 421">
          <a:extLst>
            <a:ext uri="{FF2B5EF4-FFF2-40B4-BE49-F238E27FC236}">
              <a16:creationId xmlns:a16="http://schemas.microsoft.com/office/drawing/2014/main" id="{847B7645-922D-3D24-6B86-07C9FA15892B}"/>
            </a:ext>
          </a:extLst>
        </xdr:cNvPr>
        <xdr:cNvSpPr>
          <a:spLocks noChangeShapeType="1"/>
        </xdr:cNvSpPr>
      </xdr:nvSpPr>
      <xdr:spPr bwMode="auto">
        <a:xfrm>
          <a:off x="495300" y="73241807"/>
          <a:ext cx="0" cy="734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617764</xdr:colOff>
      <xdr:row>398</xdr:row>
      <xdr:rowOff>111579</xdr:rowOff>
    </xdr:from>
    <xdr:to>
      <xdr:col>0</xdr:col>
      <xdr:colOff>617764</xdr:colOff>
      <xdr:row>399</xdr:row>
      <xdr:rowOff>46264</xdr:rowOff>
    </xdr:to>
    <xdr:sp macro="" textlink="">
      <xdr:nvSpPr>
        <xdr:cNvPr id="89976" name="Line 422">
          <a:extLst>
            <a:ext uri="{FF2B5EF4-FFF2-40B4-BE49-F238E27FC236}">
              <a16:creationId xmlns:a16="http://schemas.microsoft.com/office/drawing/2014/main" id="{4AD5CE62-726B-530B-4225-FD35B1156600}"/>
            </a:ext>
          </a:extLst>
        </xdr:cNvPr>
        <xdr:cNvSpPr>
          <a:spLocks noChangeShapeType="1"/>
        </xdr:cNvSpPr>
      </xdr:nvSpPr>
      <xdr:spPr bwMode="auto">
        <a:xfrm flipV="1">
          <a:off x="617764" y="73222757"/>
          <a:ext cx="0" cy="1115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396</xdr:row>
      <xdr:rowOff>65314</xdr:rowOff>
    </xdr:from>
    <xdr:to>
      <xdr:col>1</xdr:col>
      <xdr:colOff>29936</xdr:colOff>
      <xdr:row>396</xdr:row>
      <xdr:rowOff>65314</xdr:rowOff>
    </xdr:to>
    <xdr:sp macro="" textlink="">
      <xdr:nvSpPr>
        <xdr:cNvPr id="89977" name="Line 423">
          <a:extLst>
            <a:ext uri="{FF2B5EF4-FFF2-40B4-BE49-F238E27FC236}">
              <a16:creationId xmlns:a16="http://schemas.microsoft.com/office/drawing/2014/main" id="{53E6334F-B66A-5245-4B86-BFD1F99EE679}"/>
            </a:ext>
          </a:extLst>
        </xdr:cNvPr>
        <xdr:cNvSpPr>
          <a:spLocks noChangeShapeType="1"/>
        </xdr:cNvSpPr>
      </xdr:nvSpPr>
      <xdr:spPr bwMode="auto">
        <a:xfrm flipH="1">
          <a:off x="446314" y="72822707"/>
          <a:ext cx="2313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398</xdr:row>
      <xdr:rowOff>73479</xdr:rowOff>
    </xdr:from>
    <xdr:to>
      <xdr:col>1</xdr:col>
      <xdr:colOff>10886</xdr:colOff>
      <xdr:row>398</xdr:row>
      <xdr:rowOff>73479</xdr:rowOff>
    </xdr:to>
    <xdr:sp macro="" textlink="">
      <xdr:nvSpPr>
        <xdr:cNvPr id="89978" name="Line 424">
          <a:extLst>
            <a:ext uri="{FF2B5EF4-FFF2-40B4-BE49-F238E27FC236}">
              <a16:creationId xmlns:a16="http://schemas.microsoft.com/office/drawing/2014/main" id="{8500D0DE-1EF3-FC2F-9CC0-EAEC0BE230D0}"/>
            </a:ext>
          </a:extLst>
        </xdr:cNvPr>
        <xdr:cNvSpPr>
          <a:spLocks noChangeShapeType="1"/>
        </xdr:cNvSpPr>
      </xdr:nvSpPr>
      <xdr:spPr bwMode="auto">
        <a:xfrm>
          <a:off x="454479" y="73184657"/>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394</xdr:row>
      <xdr:rowOff>138793</xdr:rowOff>
    </xdr:from>
    <xdr:to>
      <xdr:col>1</xdr:col>
      <xdr:colOff>10886</xdr:colOff>
      <xdr:row>394</xdr:row>
      <xdr:rowOff>138793</xdr:rowOff>
    </xdr:to>
    <xdr:sp macro="" textlink="">
      <xdr:nvSpPr>
        <xdr:cNvPr id="89979" name="Line 425">
          <a:extLst>
            <a:ext uri="{FF2B5EF4-FFF2-40B4-BE49-F238E27FC236}">
              <a16:creationId xmlns:a16="http://schemas.microsoft.com/office/drawing/2014/main" id="{96B72962-9663-4BBF-0214-B33B92F7B0B5}"/>
            </a:ext>
          </a:extLst>
        </xdr:cNvPr>
        <xdr:cNvSpPr>
          <a:spLocks noChangeShapeType="1"/>
        </xdr:cNvSpPr>
      </xdr:nvSpPr>
      <xdr:spPr bwMode="auto">
        <a:xfrm>
          <a:off x="454479" y="72542400"/>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398</xdr:row>
      <xdr:rowOff>92529</xdr:rowOff>
    </xdr:from>
    <xdr:to>
      <xdr:col>1</xdr:col>
      <xdr:colOff>29936</xdr:colOff>
      <xdr:row>398</xdr:row>
      <xdr:rowOff>92529</xdr:rowOff>
    </xdr:to>
    <xdr:sp macro="" textlink="">
      <xdr:nvSpPr>
        <xdr:cNvPr id="89980" name="Line 426">
          <a:extLst>
            <a:ext uri="{FF2B5EF4-FFF2-40B4-BE49-F238E27FC236}">
              <a16:creationId xmlns:a16="http://schemas.microsoft.com/office/drawing/2014/main" id="{B3D963B7-9451-7CBB-B016-F51443EA1857}"/>
            </a:ext>
          </a:extLst>
        </xdr:cNvPr>
        <xdr:cNvSpPr>
          <a:spLocks noChangeShapeType="1"/>
        </xdr:cNvSpPr>
      </xdr:nvSpPr>
      <xdr:spPr bwMode="auto">
        <a:xfrm flipH="1">
          <a:off x="446314" y="73203707"/>
          <a:ext cx="2313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398</xdr:row>
      <xdr:rowOff>73479</xdr:rowOff>
    </xdr:from>
    <xdr:to>
      <xdr:col>1</xdr:col>
      <xdr:colOff>10886</xdr:colOff>
      <xdr:row>398</xdr:row>
      <xdr:rowOff>73479</xdr:rowOff>
    </xdr:to>
    <xdr:sp macro="" textlink="">
      <xdr:nvSpPr>
        <xdr:cNvPr id="89981" name="Line 427">
          <a:extLst>
            <a:ext uri="{FF2B5EF4-FFF2-40B4-BE49-F238E27FC236}">
              <a16:creationId xmlns:a16="http://schemas.microsoft.com/office/drawing/2014/main" id="{98AC995C-9DD4-DE0A-F35A-09B3172CA25E}"/>
            </a:ext>
          </a:extLst>
        </xdr:cNvPr>
        <xdr:cNvSpPr>
          <a:spLocks noChangeShapeType="1"/>
        </xdr:cNvSpPr>
      </xdr:nvSpPr>
      <xdr:spPr bwMode="auto">
        <a:xfrm>
          <a:off x="454479" y="73184657"/>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398</xdr:row>
      <xdr:rowOff>92529</xdr:rowOff>
    </xdr:from>
    <xdr:to>
      <xdr:col>0</xdr:col>
      <xdr:colOff>498021</xdr:colOff>
      <xdr:row>398</xdr:row>
      <xdr:rowOff>130629</xdr:rowOff>
    </xdr:to>
    <xdr:sp macro="" textlink="">
      <xdr:nvSpPr>
        <xdr:cNvPr id="89982" name="Line 428">
          <a:extLst>
            <a:ext uri="{FF2B5EF4-FFF2-40B4-BE49-F238E27FC236}">
              <a16:creationId xmlns:a16="http://schemas.microsoft.com/office/drawing/2014/main" id="{0F1D00CE-07DD-5C87-0B86-219972D76826}"/>
            </a:ext>
          </a:extLst>
        </xdr:cNvPr>
        <xdr:cNvSpPr>
          <a:spLocks noChangeShapeType="1"/>
        </xdr:cNvSpPr>
      </xdr:nvSpPr>
      <xdr:spPr bwMode="auto">
        <a:xfrm flipH="1" flipV="1">
          <a:off x="446314" y="73203707"/>
          <a:ext cx="51707"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617764</xdr:colOff>
      <xdr:row>398</xdr:row>
      <xdr:rowOff>92529</xdr:rowOff>
    </xdr:from>
    <xdr:to>
      <xdr:col>1</xdr:col>
      <xdr:colOff>10886</xdr:colOff>
      <xdr:row>398</xdr:row>
      <xdr:rowOff>130629</xdr:rowOff>
    </xdr:to>
    <xdr:sp macro="" textlink="">
      <xdr:nvSpPr>
        <xdr:cNvPr id="89983" name="Line 429">
          <a:extLst>
            <a:ext uri="{FF2B5EF4-FFF2-40B4-BE49-F238E27FC236}">
              <a16:creationId xmlns:a16="http://schemas.microsoft.com/office/drawing/2014/main" id="{0604B5FF-8A02-DB77-D145-BCA00DF9036C}"/>
            </a:ext>
          </a:extLst>
        </xdr:cNvPr>
        <xdr:cNvSpPr>
          <a:spLocks noChangeShapeType="1"/>
        </xdr:cNvSpPr>
      </xdr:nvSpPr>
      <xdr:spPr bwMode="auto">
        <a:xfrm flipV="1">
          <a:off x="617764" y="73203707"/>
          <a:ext cx="40822"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408</xdr:row>
      <xdr:rowOff>73479</xdr:rowOff>
    </xdr:from>
    <xdr:to>
      <xdr:col>0</xdr:col>
      <xdr:colOff>495300</xdr:colOff>
      <xdr:row>408</xdr:row>
      <xdr:rowOff>111579</xdr:rowOff>
    </xdr:to>
    <xdr:sp macro="" textlink="">
      <xdr:nvSpPr>
        <xdr:cNvPr id="89984" name="Line 430">
          <a:extLst>
            <a:ext uri="{FF2B5EF4-FFF2-40B4-BE49-F238E27FC236}">
              <a16:creationId xmlns:a16="http://schemas.microsoft.com/office/drawing/2014/main" id="{2E2BB6B5-4ADA-6DFA-5A8F-E612B35A0EFA}"/>
            </a:ext>
          </a:extLst>
        </xdr:cNvPr>
        <xdr:cNvSpPr>
          <a:spLocks noChangeShapeType="1"/>
        </xdr:cNvSpPr>
      </xdr:nvSpPr>
      <xdr:spPr bwMode="auto">
        <a:xfrm>
          <a:off x="476250" y="74953586"/>
          <a:ext cx="1905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408</xdr:row>
      <xdr:rowOff>73479</xdr:rowOff>
    </xdr:from>
    <xdr:to>
      <xdr:col>0</xdr:col>
      <xdr:colOff>476250</xdr:colOff>
      <xdr:row>408</xdr:row>
      <xdr:rowOff>73479</xdr:rowOff>
    </xdr:to>
    <xdr:sp macro="" textlink="">
      <xdr:nvSpPr>
        <xdr:cNvPr id="89985" name="Line 431">
          <a:extLst>
            <a:ext uri="{FF2B5EF4-FFF2-40B4-BE49-F238E27FC236}">
              <a16:creationId xmlns:a16="http://schemas.microsoft.com/office/drawing/2014/main" id="{50740D8F-08BD-2980-D00F-85E018F6D795}"/>
            </a:ext>
          </a:extLst>
        </xdr:cNvPr>
        <xdr:cNvSpPr>
          <a:spLocks noChangeShapeType="1"/>
        </xdr:cNvSpPr>
      </xdr:nvSpPr>
      <xdr:spPr bwMode="auto">
        <a:xfrm flipH="1">
          <a:off x="424543" y="74953586"/>
          <a:ext cx="517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388</xdr:row>
      <xdr:rowOff>138793</xdr:rowOff>
    </xdr:from>
    <xdr:to>
      <xdr:col>0</xdr:col>
      <xdr:colOff>628650</xdr:colOff>
      <xdr:row>389</xdr:row>
      <xdr:rowOff>103414</xdr:rowOff>
    </xdr:to>
    <xdr:sp macro="" textlink="">
      <xdr:nvSpPr>
        <xdr:cNvPr id="89986" name="Line 432">
          <a:extLst>
            <a:ext uri="{FF2B5EF4-FFF2-40B4-BE49-F238E27FC236}">
              <a16:creationId xmlns:a16="http://schemas.microsoft.com/office/drawing/2014/main" id="{0D9DB49E-38C6-0C22-650C-4DD794A0C586}"/>
            </a:ext>
          </a:extLst>
        </xdr:cNvPr>
        <xdr:cNvSpPr>
          <a:spLocks noChangeShapeType="1"/>
        </xdr:cNvSpPr>
      </xdr:nvSpPr>
      <xdr:spPr bwMode="auto">
        <a:xfrm flipV="1">
          <a:off x="628650" y="71481043"/>
          <a:ext cx="0" cy="1415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396</xdr:row>
      <xdr:rowOff>57150</xdr:rowOff>
    </xdr:from>
    <xdr:to>
      <xdr:col>0</xdr:col>
      <xdr:colOff>454479</xdr:colOff>
      <xdr:row>398</xdr:row>
      <xdr:rowOff>19050</xdr:rowOff>
    </xdr:to>
    <xdr:sp macro="" textlink="">
      <xdr:nvSpPr>
        <xdr:cNvPr id="89987" name="Line 433">
          <a:extLst>
            <a:ext uri="{FF2B5EF4-FFF2-40B4-BE49-F238E27FC236}">
              <a16:creationId xmlns:a16="http://schemas.microsoft.com/office/drawing/2014/main" id="{5E2BC906-C661-A714-5869-044F125C127C}"/>
            </a:ext>
          </a:extLst>
        </xdr:cNvPr>
        <xdr:cNvSpPr>
          <a:spLocks noChangeShapeType="1"/>
        </xdr:cNvSpPr>
      </xdr:nvSpPr>
      <xdr:spPr bwMode="auto">
        <a:xfrm flipV="1">
          <a:off x="454479" y="72814543"/>
          <a:ext cx="0" cy="31568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396</xdr:row>
      <xdr:rowOff>65314</xdr:rowOff>
    </xdr:from>
    <xdr:to>
      <xdr:col>0</xdr:col>
      <xdr:colOff>454479</xdr:colOff>
      <xdr:row>398</xdr:row>
      <xdr:rowOff>73479</xdr:rowOff>
    </xdr:to>
    <xdr:sp macro="" textlink="">
      <xdr:nvSpPr>
        <xdr:cNvPr id="89988" name="Line 434">
          <a:extLst>
            <a:ext uri="{FF2B5EF4-FFF2-40B4-BE49-F238E27FC236}">
              <a16:creationId xmlns:a16="http://schemas.microsoft.com/office/drawing/2014/main" id="{0085FB5A-4298-0CC4-0445-45286B75269F}"/>
            </a:ext>
          </a:extLst>
        </xdr:cNvPr>
        <xdr:cNvSpPr>
          <a:spLocks noChangeShapeType="1"/>
        </xdr:cNvSpPr>
      </xdr:nvSpPr>
      <xdr:spPr bwMode="auto">
        <a:xfrm>
          <a:off x="454479" y="72822707"/>
          <a:ext cx="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400</xdr:row>
      <xdr:rowOff>46264</xdr:rowOff>
    </xdr:from>
    <xdr:to>
      <xdr:col>0</xdr:col>
      <xdr:colOff>454479</xdr:colOff>
      <xdr:row>400</xdr:row>
      <xdr:rowOff>54429</xdr:rowOff>
    </xdr:to>
    <xdr:sp macro="" textlink="">
      <xdr:nvSpPr>
        <xdr:cNvPr id="89989" name="Line 435">
          <a:extLst>
            <a:ext uri="{FF2B5EF4-FFF2-40B4-BE49-F238E27FC236}">
              <a16:creationId xmlns:a16="http://schemas.microsoft.com/office/drawing/2014/main" id="{8411245D-DCB1-4718-DFCD-80444C3EBE40}"/>
            </a:ext>
          </a:extLst>
        </xdr:cNvPr>
        <xdr:cNvSpPr>
          <a:spLocks noChangeShapeType="1"/>
        </xdr:cNvSpPr>
      </xdr:nvSpPr>
      <xdr:spPr bwMode="auto">
        <a:xfrm>
          <a:off x="454479" y="73511229"/>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399</xdr:row>
      <xdr:rowOff>27214</xdr:rowOff>
    </xdr:from>
    <xdr:to>
      <xdr:col>0</xdr:col>
      <xdr:colOff>454479</xdr:colOff>
      <xdr:row>399</xdr:row>
      <xdr:rowOff>73479</xdr:rowOff>
    </xdr:to>
    <xdr:sp macro="" textlink="">
      <xdr:nvSpPr>
        <xdr:cNvPr id="89990" name="Line 436">
          <a:extLst>
            <a:ext uri="{FF2B5EF4-FFF2-40B4-BE49-F238E27FC236}">
              <a16:creationId xmlns:a16="http://schemas.microsoft.com/office/drawing/2014/main" id="{878328FB-52B5-62B8-BC35-E743D1B1877C}"/>
            </a:ext>
          </a:extLst>
        </xdr:cNvPr>
        <xdr:cNvSpPr>
          <a:spLocks noChangeShapeType="1"/>
        </xdr:cNvSpPr>
      </xdr:nvSpPr>
      <xdr:spPr bwMode="auto">
        <a:xfrm flipV="1">
          <a:off x="454479" y="73315286"/>
          <a:ext cx="0" cy="462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407</xdr:row>
      <xdr:rowOff>103414</xdr:rowOff>
    </xdr:from>
    <xdr:to>
      <xdr:col>0</xdr:col>
      <xdr:colOff>465364</xdr:colOff>
      <xdr:row>408</xdr:row>
      <xdr:rowOff>65314</xdr:rowOff>
    </xdr:to>
    <xdr:sp macro="" textlink="">
      <xdr:nvSpPr>
        <xdr:cNvPr id="89991" name="Line 437">
          <a:extLst>
            <a:ext uri="{FF2B5EF4-FFF2-40B4-BE49-F238E27FC236}">
              <a16:creationId xmlns:a16="http://schemas.microsoft.com/office/drawing/2014/main" id="{5BAE4393-F2DD-1E43-7FAE-007EF86976A4}"/>
            </a:ext>
          </a:extLst>
        </xdr:cNvPr>
        <xdr:cNvSpPr>
          <a:spLocks noChangeShapeType="1"/>
        </xdr:cNvSpPr>
      </xdr:nvSpPr>
      <xdr:spPr bwMode="auto">
        <a:xfrm>
          <a:off x="435429" y="74806629"/>
          <a:ext cx="29935" cy="13879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394</xdr:row>
      <xdr:rowOff>103414</xdr:rowOff>
    </xdr:from>
    <xdr:to>
      <xdr:col>1</xdr:col>
      <xdr:colOff>19050</xdr:colOff>
      <xdr:row>394</xdr:row>
      <xdr:rowOff>149679</xdr:rowOff>
    </xdr:to>
    <xdr:sp macro="" textlink="">
      <xdr:nvSpPr>
        <xdr:cNvPr id="89992" name="Line 438">
          <a:extLst>
            <a:ext uri="{FF2B5EF4-FFF2-40B4-BE49-F238E27FC236}">
              <a16:creationId xmlns:a16="http://schemas.microsoft.com/office/drawing/2014/main" id="{96E2E612-F9F5-6349-30D1-89CD4E50CB4A}"/>
            </a:ext>
          </a:extLst>
        </xdr:cNvPr>
        <xdr:cNvSpPr>
          <a:spLocks noChangeShapeType="1"/>
        </xdr:cNvSpPr>
      </xdr:nvSpPr>
      <xdr:spPr bwMode="auto">
        <a:xfrm flipV="1">
          <a:off x="666750" y="72507021"/>
          <a:ext cx="0" cy="4626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394</xdr:row>
      <xdr:rowOff>119743</xdr:rowOff>
    </xdr:from>
    <xdr:to>
      <xdr:col>0</xdr:col>
      <xdr:colOff>446314</xdr:colOff>
      <xdr:row>394</xdr:row>
      <xdr:rowOff>127907</xdr:rowOff>
    </xdr:to>
    <xdr:sp macro="" textlink="">
      <xdr:nvSpPr>
        <xdr:cNvPr id="89993" name="Line 439">
          <a:extLst>
            <a:ext uri="{FF2B5EF4-FFF2-40B4-BE49-F238E27FC236}">
              <a16:creationId xmlns:a16="http://schemas.microsoft.com/office/drawing/2014/main" id="{E2273F6A-3D9F-2F83-49B1-C9DB1050838D}"/>
            </a:ext>
          </a:extLst>
        </xdr:cNvPr>
        <xdr:cNvSpPr>
          <a:spLocks noChangeShapeType="1"/>
        </xdr:cNvSpPr>
      </xdr:nvSpPr>
      <xdr:spPr bwMode="auto">
        <a:xfrm>
          <a:off x="446314" y="72523350"/>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393</xdr:row>
      <xdr:rowOff>119743</xdr:rowOff>
    </xdr:from>
    <xdr:to>
      <xdr:col>1</xdr:col>
      <xdr:colOff>29936</xdr:colOff>
      <xdr:row>393</xdr:row>
      <xdr:rowOff>119743</xdr:rowOff>
    </xdr:to>
    <xdr:sp macro="" textlink="">
      <xdr:nvSpPr>
        <xdr:cNvPr id="89994" name="Line 440">
          <a:extLst>
            <a:ext uri="{FF2B5EF4-FFF2-40B4-BE49-F238E27FC236}">
              <a16:creationId xmlns:a16="http://schemas.microsoft.com/office/drawing/2014/main" id="{7D53D364-7EFF-28D5-5719-3B66703E68F0}"/>
            </a:ext>
          </a:extLst>
        </xdr:cNvPr>
        <xdr:cNvSpPr>
          <a:spLocks noChangeShapeType="1"/>
        </xdr:cNvSpPr>
      </xdr:nvSpPr>
      <xdr:spPr bwMode="auto">
        <a:xfrm flipH="1">
          <a:off x="446314" y="72346457"/>
          <a:ext cx="2313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394</xdr:row>
      <xdr:rowOff>8164</xdr:rowOff>
    </xdr:from>
    <xdr:to>
      <xdr:col>0</xdr:col>
      <xdr:colOff>457200</xdr:colOff>
      <xdr:row>394</xdr:row>
      <xdr:rowOff>8164</xdr:rowOff>
    </xdr:to>
    <xdr:sp macro="" textlink="">
      <xdr:nvSpPr>
        <xdr:cNvPr id="89995" name="Line 441">
          <a:extLst>
            <a:ext uri="{FF2B5EF4-FFF2-40B4-BE49-F238E27FC236}">
              <a16:creationId xmlns:a16="http://schemas.microsoft.com/office/drawing/2014/main" id="{A214E0DB-5D97-0C6F-E797-97AF2997C587}"/>
            </a:ext>
          </a:extLst>
        </xdr:cNvPr>
        <xdr:cNvSpPr>
          <a:spLocks noChangeShapeType="1"/>
        </xdr:cNvSpPr>
      </xdr:nvSpPr>
      <xdr:spPr bwMode="auto">
        <a:xfrm>
          <a:off x="446314" y="72411771"/>
          <a:ext cx="1088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394</xdr:row>
      <xdr:rowOff>38100</xdr:rowOff>
    </xdr:from>
    <xdr:to>
      <xdr:col>0</xdr:col>
      <xdr:colOff>628650</xdr:colOff>
      <xdr:row>394</xdr:row>
      <xdr:rowOff>103414</xdr:rowOff>
    </xdr:to>
    <xdr:sp macro="" textlink="">
      <xdr:nvSpPr>
        <xdr:cNvPr id="89996" name="Line 442">
          <a:extLst>
            <a:ext uri="{FF2B5EF4-FFF2-40B4-BE49-F238E27FC236}">
              <a16:creationId xmlns:a16="http://schemas.microsoft.com/office/drawing/2014/main" id="{4C0293EE-CCA9-1481-19A2-5FD770695048}"/>
            </a:ext>
          </a:extLst>
        </xdr:cNvPr>
        <xdr:cNvSpPr>
          <a:spLocks noChangeShapeType="1"/>
        </xdr:cNvSpPr>
      </xdr:nvSpPr>
      <xdr:spPr bwMode="auto">
        <a:xfrm>
          <a:off x="628650" y="72441707"/>
          <a:ext cx="0" cy="653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487136</xdr:colOff>
      <xdr:row>394</xdr:row>
      <xdr:rowOff>27214</xdr:rowOff>
    </xdr:from>
    <xdr:to>
      <xdr:col>0</xdr:col>
      <xdr:colOff>487136</xdr:colOff>
      <xdr:row>394</xdr:row>
      <xdr:rowOff>119743</xdr:rowOff>
    </xdr:to>
    <xdr:sp macro="" textlink="">
      <xdr:nvSpPr>
        <xdr:cNvPr id="89997" name="Line 443">
          <a:extLst>
            <a:ext uri="{FF2B5EF4-FFF2-40B4-BE49-F238E27FC236}">
              <a16:creationId xmlns:a16="http://schemas.microsoft.com/office/drawing/2014/main" id="{054D5D30-F6BC-C946-FB83-374AB801CB51}"/>
            </a:ext>
          </a:extLst>
        </xdr:cNvPr>
        <xdr:cNvSpPr>
          <a:spLocks noChangeShapeType="1"/>
        </xdr:cNvSpPr>
      </xdr:nvSpPr>
      <xdr:spPr bwMode="auto">
        <a:xfrm flipV="1">
          <a:off x="487136" y="72430821"/>
          <a:ext cx="0" cy="9252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393</xdr:row>
      <xdr:rowOff>111579</xdr:rowOff>
    </xdr:from>
    <xdr:to>
      <xdr:col>0</xdr:col>
      <xdr:colOff>446314</xdr:colOff>
      <xdr:row>394</xdr:row>
      <xdr:rowOff>19050</xdr:rowOff>
    </xdr:to>
    <xdr:sp macro="" textlink="">
      <xdr:nvSpPr>
        <xdr:cNvPr id="89998" name="Line 444">
          <a:extLst>
            <a:ext uri="{FF2B5EF4-FFF2-40B4-BE49-F238E27FC236}">
              <a16:creationId xmlns:a16="http://schemas.microsoft.com/office/drawing/2014/main" id="{27818723-9B5D-96EB-C1D4-CB98AA945606}"/>
            </a:ext>
          </a:extLst>
        </xdr:cNvPr>
        <xdr:cNvSpPr>
          <a:spLocks noChangeShapeType="1"/>
        </xdr:cNvSpPr>
      </xdr:nvSpPr>
      <xdr:spPr bwMode="auto">
        <a:xfrm flipV="1">
          <a:off x="446314" y="72338293"/>
          <a:ext cx="0" cy="843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393</xdr:row>
      <xdr:rowOff>119743</xdr:rowOff>
    </xdr:from>
    <xdr:to>
      <xdr:col>1</xdr:col>
      <xdr:colOff>19050</xdr:colOff>
      <xdr:row>394</xdr:row>
      <xdr:rowOff>0</xdr:rowOff>
    </xdr:to>
    <xdr:sp macro="" textlink="">
      <xdr:nvSpPr>
        <xdr:cNvPr id="89999" name="Line 445">
          <a:extLst>
            <a:ext uri="{FF2B5EF4-FFF2-40B4-BE49-F238E27FC236}">
              <a16:creationId xmlns:a16="http://schemas.microsoft.com/office/drawing/2014/main" id="{80824A6D-C22A-2508-E942-03DFD2236D7C}"/>
            </a:ext>
          </a:extLst>
        </xdr:cNvPr>
        <xdr:cNvSpPr>
          <a:spLocks noChangeShapeType="1"/>
        </xdr:cNvSpPr>
      </xdr:nvSpPr>
      <xdr:spPr bwMode="auto">
        <a:xfrm>
          <a:off x="666750" y="72346457"/>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394</xdr:row>
      <xdr:rowOff>8164</xdr:rowOff>
    </xdr:from>
    <xdr:to>
      <xdr:col>1</xdr:col>
      <xdr:colOff>29936</xdr:colOff>
      <xdr:row>394</xdr:row>
      <xdr:rowOff>8164</xdr:rowOff>
    </xdr:to>
    <xdr:sp macro="" textlink="">
      <xdr:nvSpPr>
        <xdr:cNvPr id="90000" name="Line 446">
          <a:extLst>
            <a:ext uri="{FF2B5EF4-FFF2-40B4-BE49-F238E27FC236}">
              <a16:creationId xmlns:a16="http://schemas.microsoft.com/office/drawing/2014/main" id="{AFEA0934-9D8F-689A-73A2-5C084AE3E8FC}"/>
            </a:ext>
          </a:extLst>
        </xdr:cNvPr>
        <xdr:cNvSpPr>
          <a:spLocks noChangeShapeType="1"/>
        </xdr:cNvSpPr>
      </xdr:nvSpPr>
      <xdr:spPr bwMode="auto">
        <a:xfrm flipH="1">
          <a:off x="647700" y="72411771"/>
          <a:ext cx="299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389</xdr:row>
      <xdr:rowOff>111579</xdr:rowOff>
    </xdr:from>
    <xdr:to>
      <xdr:col>1</xdr:col>
      <xdr:colOff>19050</xdr:colOff>
      <xdr:row>390</xdr:row>
      <xdr:rowOff>38100</xdr:rowOff>
    </xdr:to>
    <xdr:sp macro="" textlink="">
      <xdr:nvSpPr>
        <xdr:cNvPr id="90001" name="Line 447">
          <a:extLst>
            <a:ext uri="{FF2B5EF4-FFF2-40B4-BE49-F238E27FC236}">
              <a16:creationId xmlns:a16="http://schemas.microsoft.com/office/drawing/2014/main" id="{0BB79014-E264-728B-646C-4EBF53C6A932}"/>
            </a:ext>
          </a:extLst>
        </xdr:cNvPr>
        <xdr:cNvSpPr>
          <a:spLocks noChangeShapeType="1"/>
        </xdr:cNvSpPr>
      </xdr:nvSpPr>
      <xdr:spPr bwMode="auto">
        <a:xfrm flipV="1">
          <a:off x="666750" y="71630721"/>
          <a:ext cx="0" cy="1034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388</xdr:row>
      <xdr:rowOff>111579</xdr:rowOff>
    </xdr:from>
    <xdr:to>
      <xdr:col>0</xdr:col>
      <xdr:colOff>454479</xdr:colOff>
      <xdr:row>389</xdr:row>
      <xdr:rowOff>27214</xdr:rowOff>
    </xdr:to>
    <xdr:sp macro="" textlink="">
      <xdr:nvSpPr>
        <xdr:cNvPr id="90002" name="Line 448">
          <a:extLst>
            <a:ext uri="{FF2B5EF4-FFF2-40B4-BE49-F238E27FC236}">
              <a16:creationId xmlns:a16="http://schemas.microsoft.com/office/drawing/2014/main" id="{C7781DD3-463D-EF66-154A-F415B2CF6742}"/>
            </a:ext>
          </a:extLst>
        </xdr:cNvPr>
        <xdr:cNvSpPr>
          <a:spLocks noChangeShapeType="1"/>
        </xdr:cNvSpPr>
      </xdr:nvSpPr>
      <xdr:spPr bwMode="auto">
        <a:xfrm flipV="1">
          <a:off x="446314" y="71453829"/>
          <a:ext cx="8165" cy="92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388</xdr:row>
      <xdr:rowOff>111579</xdr:rowOff>
    </xdr:from>
    <xdr:to>
      <xdr:col>0</xdr:col>
      <xdr:colOff>424543</xdr:colOff>
      <xdr:row>389</xdr:row>
      <xdr:rowOff>27214</xdr:rowOff>
    </xdr:to>
    <xdr:sp macro="" textlink="">
      <xdr:nvSpPr>
        <xdr:cNvPr id="90003" name="Line 449">
          <a:extLst>
            <a:ext uri="{FF2B5EF4-FFF2-40B4-BE49-F238E27FC236}">
              <a16:creationId xmlns:a16="http://schemas.microsoft.com/office/drawing/2014/main" id="{0E4FF648-8B1C-F0FF-2ECE-82FDEEA605B9}"/>
            </a:ext>
          </a:extLst>
        </xdr:cNvPr>
        <xdr:cNvSpPr>
          <a:spLocks noChangeShapeType="1"/>
        </xdr:cNvSpPr>
      </xdr:nvSpPr>
      <xdr:spPr bwMode="auto">
        <a:xfrm flipV="1">
          <a:off x="424543" y="71453829"/>
          <a:ext cx="0" cy="92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405493</xdr:colOff>
      <xdr:row>406</xdr:row>
      <xdr:rowOff>65314</xdr:rowOff>
    </xdr:from>
    <xdr:to>
      <xdr:col>0</xdr:col>
      <xdr:colOff>405493</xdr:colOff>
      <xdr:row>407</xdr:row>
      <xdr:rowOff>92529</xdr:rowOff>
    </xdr:to>
    <xdr:sp macro="" textlink="">
      <xdr:nvSpPr>
        <xdr:cNvPr id="90004" name="Line 450">
          <a:extLst>
            <a:ext uri="{FF2B5EF4-FFF2-40B4-BE49-F238E27FC236}">
              <a16:creationId xmlns:a16="http://schemas.microsoft.com/office/drawing/2014/main" id="{DAFA51CA-906F-FDCF-E05A-CC5E10419FBB}"/>
            </a:ext>
          </a:extLst>
        </xdr:cNvPr>
        <xdr:cNvSpPr>
          <a:spLocks noChangeShapeType="1"/>
        </xdr:cNvSpPr>
      </xdr:nvSpPr>
      <xdr:spPr bwMode="auto">
        <a:xfrm>
          <a:off x="405493" y="74591636"/>
          <a:ext cx="0" cy="20410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408</xdr:row>
      <xdr:rowOff>130629</xdr:rowOff>
    </xdr:from>
    <xdr:to>
      <xdr:col>0</xdr:col>
      <xdr:colOff>446314</xdr:colOff>
      <xdr:row>408</xdr:row>
      <xdr:rowOff>138793</xdr:rowOff>
    </xdr:to>
    <xdr:sp macro="" textlink="">
      <xdr:nvSpPr>
        <xdr:cNvPr id="90005" name="Line 451">
          <a:extLst>
            <a:ext uri="{FF2B5EF4-FFF2-40B4-BE49-F238E27FC236}">
              <a16:creationId xmlns:a16="http://schemas.microsoft.com/office/drawing/2014/main" id="{3ACC83EB-678E-F3BF-5EE3-9202244D7E18}"/>
            </a:ext>
          </a:extLst>
        </xdr:cNvPr>
        <xdr:cNvSpPr>
          <a:spLocks noChangeShapeType="1"/>
        </xdr:cNvSpPr>
      </xdr:nvSpPr>
      <xdr:spPr bwMode="auto">
        <a:xfrm>
          <a:off x="435429" y="75010736"/>
          <a:ext cx="10885"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390</xdr:row>
      <xdr:rowOff>84364</xdr:rowOff>
    </xdr:from>
    <xdr:to>
      <xdr:col>1</xdr:col>
      <xdr:colOff>10886</xdr:colOff>
      <xdr:row>390</xdr:row>
      <xdr:rowOff>84364</xdr:rowOff>
    </xdr:to>
    <xdr:sp macro="" textlink="">
      <xdr:nvSpPr>
        <xdr:cNvPr id="90006" name="Line 452">
          <a:extLst>
            <a:ext uri="{FF2B5EF4-FFF2-40B4-BE49-F238E27FC236}">
              <a16:creationId xmlns:a16="http://schemas.microsoft.com/office/drawing/2014/main" id="{C143EDF0-8094-6F64-796C-ECA84B6A7662}"/>
            </a:ext>
          </a:extLst>
        </xdr:cNvPr>
        <xdr:cNvSpPr>
          <a:spLocks noChangeShapeType="1"/>
        </xdr:cNvSpPr>
      </xdr:nvSpPr>
      <xdr:spPr bwMode="auto">
        <a:xfrm>
          <a:off x="454479" y="71780400"/>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389</xdr:row>
      <xdr:rowOff>119743</xdr:rowOff>
    </xdr:from>
    <xdr:to>
      <xdr:col>1</xdr:col>
      <xdr:colOff>29936</xdr:colOff>
      <xdr:row>389</xdr:row>
      <xdr:rowOff>119743</xdr:rowOff>
    </xdr:to>
    <xdr:sp macro="" textlink="">
      <xdr:nvSpPr>
        <xdr:cNvPr id="90007" name="Line 453">
          <a:extLst>
            <a:ext uri="{FF2B5EF4-FFF2-40B4-BE49-F238E27FC236}">
              <a16:creationId xmlns:a16="http://schemas.microsoft.com/office/drawing/2014/main" id="{D19C340A-6E67-55DE-DD74-C4232F60DD8F}"/>
            </a:ext>
          </a:extLst>
        </xdr:cNvPr>
        <xdr:cNvSpPr>
          <a:spLocks noChangeShapeType="1"/>
        </xdr:cNvSpPr>
      </xdr:nvSpPr>
      <xdr:spPr bwMode="auto">
        <a:xfrm flipH="1">
          <a:off x="446314" y="71638886"/>
          <a:ext cx="2313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390</xdr:row>
      <xdr:rowOff>27214</xdr:rowOff>
    </xdr:from>
    <xdr:to>
      <xdr:col>1</xdr:col>
      <xdr:colOff>10886</xdr:colOff>
      <xdr:row>390</xdr:row>
      <xdr:rowOff>27214</xdr:rowOff>
    </xdr:to>
    <xdr:sp macro="" textlink="">
      <xdr:nvSpPr>
        <xdr:cNvPr id="90008" name="Line 454">
          <a:extLst>
            <a:ext uri="{FF2B5EF4-FFF2-40B4-BE49-F238E27FC236}">
              <a16:creationId xmlns:a16="http://schemas.microsoft.com/office/drawing/2014/main" id="{1310AEE4-7056-278E-9EF4-98DAB318077D}"/>
            </a:ext>
          </a:extLst>
        </xdr:cNvPr>
        <xdr:cNvSpPr>
          <a:spLocks noChangeShapeType="1"/>
        </xdr:cNvSpPr>
      </xdr:nvSpPr>
      <xdr:spPr bwMode="auto">
        <a:xfrm>
          <a:off x="454479" y="71723250"/>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390</xdr:row>
      <xdr:rowOff>57150</xdr:rowOff>
    </xdr:from>
    <xdr:to>
      <xdr:col>1</xdr:col>
      <xdr:colOff>29936</xdr:colOff>
      <xdr:row>390</xdr:row>
      <xdr:rowOff>57150</xdr:rowOff>
    </xdr:to>
    <xdr:sp macro="" textlink="">
      <xdr:nvSpPr>
        <xdr:cNvPr id="90009" name="Line 455">
          <a:extLst>
            <a:ext uri="{FF2B5EF4-FFF2-40B4-BE49-F238E27FC236}">
              <a16:creationId xmlns:a16="http://schemas.microsoft.com/office/drawing/2014/main" id="{FD2175BD-1C77-CE96-5CB8-4CEC23781BB3}"/>
            </a:ext>
          </a:extLst>
        </xdr:cNvPr>
        <xdr:cNvSpPr>
          <a:spLocks noChangeShapeType="1"/>
        </xdr:cNvSpPr>
      </xdr:nvSpPr>
      <xdr:spPr bwMode="auto">
        <a:xfrm flipH="1">
          <a:off x="446314" y="71753186"/>
          <a:ext cx="2313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389</xdr:row>
      <xdr:rowOff>111579</xdr:rowOff>
    </xdr:from>
    <xdr:to>
      <xdr:col>0</xdr:col>
      <xdr:colOff>446314</xdr:colOff>
      <xdr:row>390</xdr:row>
      <xdr:rowOff>38100</xdr:rowOff>
    </xdr:to>
    <xdr:sp macro="" textlink="">
      <xdr:nvSpPr>
        <xdr:cNvPr id="90010" name="Line 456">
          <a:extLst>
            <a:ext uri="{FF2B5EF4-FFF2-40B4-BE49-F238E27FC236}">
              <a16:creationId xmlns:a16="http://schemas.microsoft.com/office/drawing/2014/main" id="{C61F92D9-607A-EE51-2DE0-A6630FEF5ED8}"/>
            </a:ext>
          </a:extLst>
        </xdr:cNvPr>
        <xdr:cNvSpPr>
          <a:spLocks noChangeShapeType="1"/>
        </xdr:cNvSpPr>
      </xdr:nvSpPr>
      <xdr:spPr bwMode="auto">
        <a:xfrm flipV="1">
          <a:off x="446314" y="71630721"/>
          <a:ext cx="0" cy="1034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390</xdr:row>
      <xdr:rowOff>65314</xdr:rowOff>
    </xdr:from>
    <xdr:to>
      <xdr:col>0</xdr:col>
      <xdr:colOff>446314</xdr:colOff>
      <xdr:row>390</xdr:row>
      <xdr:rowOff>73479</xdr:rowOff>
    </xdr:to>
    <xdr:sp macro="" textlink="">
      <xdr:nvSpPr>
        <xdr:cNvPr id="90011" name="Line 457">
          <a:extLst>
            <a:ext uri="{FF2B5EF4-FFF2-40B4-BE49-F238E27FC236}">
              <a16:creationId xmlns:a16="http://schemas.microsoft.com/office/drawing/2014/main" id="{2BC130A5-CCA2-1B52-4640-73EA0E122F12}"/>
            </a:ext>
          </a:extLst>
        </xdr:cNvPr>
        <xdr:cNvSpPr>
          <a:spLocks noChangeShapeType="1"/>
        </xdr:cNvSpPr>
      </xdr:nvSpPr>
      <xdr:spPr bwMode="auto">
        <a:xfrm>
          <a:off x="446314" y="71761350"/>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390</xdr:row>
      <xdr:rowOff>57150</xdr:rowOff>
    </xdr:from>
    <xdr:to>
      <xdr:col>1</xdr:col>
      <xdr:colOff>19050</xdr:colOff>
      <xdr:row>390</xdr:row>
      <xdr:rowOff>95250</xdr:rowOff>
    </xdr:to>
    <xdr:sp macro="" textlink="">
      <xdr:nvSpPr>
        <xdr:cNvPr id="90012" name="Line 458">
          <a:extLst>
            <a:ext uri="{FF2B5EF4-FFF2-40B4-BE49-F238E27FC236}">
              <a16:creationId xmlns:a16="http://schemas.microsoft.com/office/drawing/2014/main" id="{54823DAC-221A-401B-D826-A92BFADBCC9B}"/>
            </a:ext>
          </a:extLst>
        </xdr:cNvPr>
        <xdr:cNvSpPr>
          <a:spLocks noChangeShapeType="1"/>
        </xdr:cNvSpPr>
      </xdr:nvSpPr>
      <xdr:spPr bwMode="auto">
        <a:xfrm flipV="1">
          <a:off x="666750" y="71753186"/>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10886</xdr:colOff>
      <xdr:row>390</xdr:row>
      <xdr:rowOff>27214</xdr:rowOff>
    </xdr:from>
    <xdr:to>
      <xdr:col>1</xdr:col>
      <xdr:colOff>29936</xdr:colOff>
      <xdr:row>390</xdr:row>
      <xdr:rowOff>65314</xdr:rowOff>
    </xdr:to>
    <xdr:sp macro="" textlink="">
      <xdr:nvSpPr>
        <xdr:cNvPr id="90013" name="Line 459">
          <a:extLst>
            <a:ext uri="{FF2B5EF4-FFF2-40B4-BE49-F238E27FC236}">
              <a16:creationId xmlns:a16="http://schemas.microsoft.com/office/drawing/2014/main" id="{F53A2B99-4A93-0F1F-DEDA-7405FDB0E55B}"/>
            </a:ext>
          </a:extLst>
        </xdr:cNvPr>
        <xdr:cNvSpPr>
          <a:spLocks noChangeShapeType="1"/>
        </xdr:cNvSpPr>
      </xdr:nvSpPr>
      <xdr:spPr bwMode="auto">
        <a:xfrm flipH="1" flipV="1">
          <a:off x="658586" y="71723250"/>
          <a:ext cx="1905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390</xdr:row>
      <xdr:rowOff>38100</xdr:rowOff>
    </xdr:from>
    <xdr:to>
      <xdr:col>0</xdr:col>
      <xdr:colOff>454479</xdr:colOff>
      <xdr:row>390</xdr:row>
      <xdr:rowOff>57150</xdr:rowOff>
    </xdr:to>
    <xdr:sp macro="" textlink="">
      <xdr:nvSpPr>
        <xdr:cNvPr id="90014" name="Line 460">
          <a:extLst>
            <a:ext uri="{FF2B5EF4-FFF2-40B4-BE49-F238E27FC236}">
              <a16:creationId xmlns:a16="http://schemas.microsoft.com/office/drawing/2014/main" id="{5AAE6D25-C395-3E9E-2131-7504B5FFB4B9}"/>
            </a:ext>
          </a:extLst>
        </xdr:cNvPr>
        <xdr:cNvSpPr>
          <a:spLocks noChangeShapeType="1"/>
        </xdr:cNvSpPr>
      </xdr:nvSpPr>
      <xdr:spPr bwMode="auto">
        <a:xfrm>
          <a:off x="454479" y="71734136"/>
          <a:ext cx="0" cy="19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387</xdr:row>
      <xdr:rowOff>65314</xdr:rowOff>
    </xdr:from>
    <xdr:to>
      <xdr:col>0</xdr:col>
      <xdr:colOff>628650</xdr:colOff>
      <xdr:row>387</xdr:row>
      <xdr:rowOff>65314</xdr:rowOff>
    </xdr:to>
    <xdr:sp macro="" textlink="">
      <xdr:nvSpPr>
        <xdr:cNvPr id="90015" name="Line 461">
          <a:extLst>
            <a:ext uri="{FF2B5EF4-FFF2-40B4-BE49-F238E27FC236}">
              <a16:creationId xmlns:a16="http://schemas.microsoft.com/office/drawing/2014/main" id="{DBDE4B19-10F7-675E-BD21-66AF4FA0BED3}"/>
            </a:ext>
          </a:extLst>
        </xdr:cNvPr>
        <xdr:cNvSpPr>
          <a:spLocks noChangeShapeType="1"/>
        </xdr:cNvSpPr>
      </xdr:nvSpPr>
      <xdr:spPr bwMode="auto">
        <a:xfrm>
          <a:off x="476250" y="71230671"/>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388</xdr:row>
      <xdr:rowOff>27214</xdr:rowOff>
    </xdr:from>
    <xdr:to>
      <xdr:col>1</xdr:col>
      <xdr:colOff>10886</xdr:colOff>
      <xdr:row>388</xdr:row>
      <xdr:rowOff>27214</xdr:rowOff>
    </xdr:to>
    <xdr:sp macro="" textlink="">
      <xdr:nvSpPr>
        <xdr:cNvPr id="90016" name="Line 462">
          <a:extLst>
            <a:ext uri="{FF2B5EF4-FFF2-40B4-BE49-F238E27FC236}">
              <a16:creationId xmlns:a16="http://schemas.microsoft.com/office/drawing/2014/main" id="{F2374696-462C-CD26-C8BC-ABC1C681B7EC}"/>
            </a:ext>
          </a:extLst>
        </xdr:cNvPr>
        <xdr:cNvSpPr>
          <a:spLocks noChangeShapeType="1"/>
        </xdr:cNvSpPr>
      </xdr:nvSpPr>
      <xdr:spPr bwMode="auto">
        <a:xfrm flipH="1">
          <a:off x="454479" y="71369464"/>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387</xdr:row>
      <xdr:rowOff>92529</xdr:rowOff>
    </xdr:from>
    <xdr:to>
      <xdr:col>1</xdr:col>
      <xdr:colOff>0</xdr:colOff>
      <xdr:row>387</xdr:row>
      <xdr:rowOff>92529</xdr:rowOff>
    </xdr:to>
    <xdr:sp macro="" textlink="">
      <xdr:nvSpPr>
        <xdr:cNvPr id="90017" name="Line 463">
          <a:extLst>
            <a:ext uri="{FF2B5EF4-FFF2-40B4-BE49-F238E27FC236}">
              <a16:creationId xmlns:a16="http://schemas.microsoft.com/office/drawing/2014/main" id="{90B5C9AB-2D23-5360-354B-3E3129E0B0BA}"/>
            </a:ext>
          </a:extLst>
        </xdr:cNvPr>
        <xdr:cNvSpPr>
          <a:spLocks noChangeShapeType="1"/>
        </xdr:cNvSpPr>
      </xdr:nvSpPr>
      <xdr:spPr bwMode="auto">
        <a:xfrm>
          <a:off x="465364" y="71257886"/>
          <a:ext cx="1823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387</xdr:row>
      <xdr:rowOff>111579</xdr:rowOff>
    </xdr:from>
    <xdr:to>
      <xdr:col>1</xdr:col>
      <xdr:colOff>10886</xdr:colOff>
      <xdr:row>387</xdr:row>
      <xdr:rowOff>111579</xdr:rowOff>
    </xdr:to>
    <xdr:sp macro="" textlink="">
      <xdr:nvSpPr>
        <xdr:cNvPr id="90018" name="Line 464">
          <a:extLst>
            <a:ext uri="{FF2B5EF4-FFF2-40B4-BE49-F238E27FC236}">
              <a16:creationId xmlns:a16="http://schemas.microsoft.com/office/drawing/2014/main" id="{347EC6A6-5F48-9C3F-414A-4B33071B7A2D}"/>
            </a:ext>
          </a:extLst>
        </xdr:cNvPr>
        <xdr:cNvSpPr>
          <a:spLocks noChangeShapeType="1"/>
        </xdr:cNvSpPr>
      </xdr:nvSpPr>
      <xdr:spPr bwMode="auto">
        <a:xfrm flipH="1">
          <a:off x="454479" y="71276936"/>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387</xdr:row>
      <xdr:rowOff>138793</xdr:rowOff>
    </xdr:from>
    <xdr:to>
      <xdr:col>0</xdr:col>
      <xdr:colOff>465364</xdr:colOff>
      <xdr:row>387</xdr:row>
      <xdr:rowOff>138793</xdr:rowOff>
    </xdr:to>
    <xdr:sp macro="" textlink="">
      <xdr:nvSpPr>
        <xdr:cNvPr id="90019" name="Line 465">
          <a:extLst>
            <a:ext uri="{FF2B5EF4-FFF2-40B4-BE49-F238E27FC236}">
              <a16:creationId xmlns:a16="http://schemas.microsoft.com/office/drawing/2014/main" id="{33DEB33D-F94C-CAC2-078C-63A40083C8AA}"/>
            </a:ext>
          </a:extLst>
        </xdr:cNvPr>
        <xdr:cNvSpPr>
          <a:spLocks noChangeShapeType="1"/>
        </xdr:cNvSpPr>
      </xdr:nvSpPr>
      <xdr:spPr bwMode="auto">
        <a:xfrm flipH="1">
          <a:off x="454479" y="71304150"/>
          <a:ext cx="1088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388</xdr:row>
      <xdr:rowOff>130629</xdr:rowOff>
    </xdr:from>
    <xdr:to>
      <xdr:col>0</xdr:col>
      <xdr:colOff>465364</xdr:colOff>
      <xdr:row>388</xdr:row>
      <xdr:rowOff>130629</xdr:rowOff>
    </xdr:to>
    <xdr:sp macro="" textlink="">
      <xdr:nvSpPr>
        <xdr:cNvPr id="90020" name="Line 466">
          <a:extLst>
            <a:ext uri="{FF2B5EF4-FFF2-40B4-BE49-F238E27FC236}">
              <a16:creationId xmlns:a16="http://schemas.microsoft.com/office/drawing/2014/main" id="{2C779E9C-EB0A-2AAC-3FDB-E5A3D2C7A859}"/>
            </a:ext>
          </a:extLst>
        </xdr:cNvPr>
        <xdr:cNvSpPr>
          <a:spLocks noChangeShapeType="1"/>
        </xdr:cNvSpPr>
      </xdr:nvSpPr>
      <xdr:spPr bwMode="auto">
        <a:xfrm>
          <a:off x="465364" y="7147287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506186</xdr:colOff>
      <xdr:row>408</xdr:row>
      <xdr:rowOff>119743</xdr:rowOff>
    </xdr:from>
    <xdr:to>
      <xdr:col>0</xdr:col>
      <xdr:colOff>517071</xdr:colOff>
      <xdr:row>408</xdr:row>
      <xdr:rowOff>127907</xdr:rowOff>
    </xdr:to>
    <xdr:sp macro="" textlink="">
      <xdr:nvSpPr>
        <xdr:cNvPr id="90021" name="Line 467">
          <a:extLst>
            <a:ext uri="{FF2B5EF4-FFF2-40B4-BE49-F238E27FC236}">
              <a16:creationId xmlns:a16="http://schemas.microsoft.com/office/drawing/2014/main" id="{B42FF43B-968E-E690-8CC2-3E1F1E1A554C}"/>
            </a:ext>
          </a:extLst>
        </xdr:cNvPr>
        <xdr:cNvSpPr>
          <a:spLocks noChangeShapeType="1"/>
        </xdr:cNvSpPr>
      </xdr:nvSpPr>
      <xdr:spPr bwMode="auto">
        <a:xfrm>
          <a:off x="506186" y="74999850"/>
          <a:ext cx="10885"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10886</xdr:colOff>
      <xdr:row>388</xdr:row>
      <xdr:rowOff>27214</xdr:rowOff>
    </xdr:from>
    <xdr:to>
      <xdr:col>1</xdr:col>
      <xdr:colOff>10886</xdr:colOff>
      <xdr:row>388</xdr:row>
      <xdr:rowOff>138793</xdr:rowOff>
    </xdr:to>
    <xdr:sp macro="" textlink="">
      <xdr:nvSpPr>
        <xdr:cNvPr id="90022" name="Line 468">
          <a:extLst>
            <a:ext uri="{FF2B5EF4-FFF2-40B4-BE49-F238E27FC236}">
              <a16:creationId xmlns:a16="http://schemas.microsoft.com/office/drawing/2014/main" id="{3CAA9A32-A7E2-5F10-F853-10DFBB119DBB}"/>
            </a:ext>
          </a:extLst>
        </xdr:cNvPr>
        <xdr:cNvSpPr>
          <a:spLocks noChangeShapeType="1"/>
        </xdr:cNvSpPr>
      </xdr:nvSpPr>
      <xdr:spPr bwMode="auto">
        <a:xfrm flipV="1">
          <a:off x="658586" y="71369464"/>
          <a:ext cx="0" cy="1115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388</xdr:row>
      <xdr:rowOff>38100</xdr:rowOff>
    </xdr:from>
    <xdr:to>
      <xdr:col>0</xdr:col>
      <xdr:colOff>454479</xdr:colOff>
      <xdr:row>388</xdr:row>
      <xdr:rowOff>122464</xdr:rowOff>
    </xdr:to>
    <xdr:sp macro="" textlink="">
      <xdr:nvSpPr>
        <xdr:cNvPr id="90023" name="Line 469">
          <a:extLst>
            <a:ext uri="{FF2B5EF4-FFF2-40B4-BE49-F238E27FC236}">
              <a16:creationId xmlns:a16="http://schemas.microsoft.com/office/drawing/2014/main" id="{B8F3E1AB-144A-A4CD-21C8-90E3FE5A5E75}"/>
            </a:ext>
          </a:extLst>
        </xdr:cNvPr>
        <xdr:cNvSpPr>
          <a:spLocks noChangeShapeType="1"/>
        </xdr:cNvSpPr>
      </xdr:nvSpPr>
      <xdr:spPr bwMode="auto">
        <a:xfrm>
          <a:off x="454479" y="71380350"/>
          <a:ext cx="0" cy="843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387</xdr:row>
      <xdr:rowOff>111579</xdr:rowOff>
    </xdr:from>
    <xdr:to>
      <xdr:col>0</xdr:col>
      <xdr:colOff>465364</xdr:colOff>
      <xdr:row>387</xdr:row>
      <xdr:rowOff>138793</xdr:rowOff>
    </xdr:to>
    <xdr:sp macro="" textlink="">
      <xdr:nvSpPr>
        <xdr:cNvPr id="90024" name="Line 470">
          <a:extLst>
            <a:ext uri="{FF2B5EF4-FFF2-40B4-BE49-F238E27FC236}">
              <a16:creationId xmlns:a16="http://schemas.microsoft.com/office/drawing/2014/main" id="{630D5443-7993-0BB0-AA8D-2652EEEAB016}"/>
            </a:ext>
          </a:extLst>
        </xdr:cNvPr>
        <xdr:cNvSpPr>
          <a:spLocks noChangeShapeType="1"/>
        </xdr:cNvSpPr>
      </xdr:nvSpPr>
      <xdr:spPr bwMode="auto">
        <a:xfrm flipV="1">
          <a:off x="454479" y="71276936"/>
          <a:ext cx="10885"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388</xdr:row>
      <xdr:rowOff>130629</xdr:rowOff>
    </xdr:from>
    <xdr:to>
      <xdr:col>1</xdr:col>
      <xdr:colOff>0</xdr:colOff>
      <xdr:row>388</xdr:row>
      <xdr:rowOff>130629</xdr:rowOff>
    </xdr:to>
    <xdr:sp macro="" textlink="">
      <xdr:nvSpPr>
        <xdr:cNvPr id="90025" name="Line 471">
          <a:extLst>
            <a:ext uri="{FF2B5EF4-FFF2-40B4-BE49-F238E27FC236}">
              <a16:creationId xmlns:a16="http://schemas.microsoft.com/office/drawing/2014/main" id="{D1CE8F3E-B9A4-273C-0A25-EC6BBF33CF9F}"/>
            </a:ext>
          </a:extLst>
        </xdr:cNvPr>
        <xdr:cNvSpPr>
          <a:spLocks noChangeShapeType="1"/>
        </xdr:cNvSpPr>
      </xdr:nvSpPr>
      <xdr:spPr bwMode="auto">
        <a:xfrm>
          <a:off x="647700" y="71472879"/>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387</xdr:row>
      <xdr:rowOff>73479</xdr:rowOff>
    </xdr:from>
    <xdr:to>
      <xdr:col>0</xdr:col>
      <xdr:colOff>454479</xdr:colOff>
      <xdr:row>387</xdr:row>
      <xdr:rowOff>100693</xdr:rowOff>
    </xdr:to>
    <xdr:sp macro="" textlink="">
      <xdr:nvSpPr>
        <xdr:cNvPr id="90026" name="Line 472">
          <a:extLst>
            <a:ext uri="{FF2B5EF4-FFF2-40B4-BE49-F238E27FC236}">
              <a16:creationId xmlns:a16="http://schemas.microsoft.com/office/drawing/2014/main" id="{B754C5C3-92B5-BA10-9F9D-0BAE4DFDD2B3}"/>
            </a:ext>
          </a:extLst>
        </xdr:cNvPr>
        <xdr:cNvSpPr>
          <a:spLocks noChangeShapeType="1"/>
        </xdr:cNvSpPr>
      </xdr:nvSpPr>
      <xdr:spPr bwMode="auto">
        <a:xfrm flipV="1">
          <a:off x="454479" y="712388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10886</xdr:colOff>
      <xdr:row>387</xdr:row>
      <xdr:rowOff>84364</xdr:rowOff>
    </xdr:from>
    <xdr:to>
      <xdr:col>1</xdr:col>
      <xdr:colOff>10886</xdr:colOff>
      <xdr:row>387</xdr:row>
      <xdr:rowOff>84364</xdr:rowOff>
    </xdr:to>
    <xdr:sp macro="" textlink="">
      <xdr:nvSpPr>
        <xdr:cNvPr id="90027" name="Line 473">
          <a:extLst>
            <a:ext uri="{FF2B5EF4-FFF2-40B4-BE49-F238E27FC236}">
              <a16:creationId xmlns:a16="http://schemas.microsoft.com/office/drawing/2014/main" id="{BB71B2E8-0559-A6B9-B953-DDED6133DA38}"/>
            </a:ext>
          </a:extLst>
        </xdr:cNvPr>
        <xdr:cNvSpPr>
          <a:spLocks noChangeShapeType="1"/>
        </xdr:cNvSpPr>
      </xdr:nvSpPr>
      <xdr:spPr bwMode="auto">
        <a:xfrm>
          <a:off x="658586" y="71249721"/>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387</xdr:row>
      <xdr:rowOff>119743</xdr:rowOff>
    </xdr:from>
    <xdr:to>
      <xdr:col>1</xdr:col>
      <xdr:colOff>10886</xdr:colOff>
      <xdr:row>387</xdr:row>
      <xdr:rowOff>119743</xdr:rowOff>
    </xdr:to>
    <xdr:sp macro="" textlink="">
      <xdr:nvSpPr>
        <xdr:cNvPr id="90028" name="Line 474">
          <a:extLst>
            <a:ext uri="{FF2B5EF4-FFF2-40B4-BE49-F238E27FC236}">
              <a16:creationId xmlns:a16="http://schemas.microsoft.com/office/drawing/2014/main" id="{2C7FDBE1-EAA1-F949-CDFE-784308F81CE8}"/>
            </a:ext>
          </a:extLst>
        </xdr:cNvPr>
        <xdr:cNvSpPr>
          <a:spLocks noChangeShapeType="1"/>
        </xdr:cNvSpPr>
      </xdr:nvSpPr>
      <xdr:spPr bwMode="auto">
        <a:xfrm flipH="1">
          <a:off x="454479" y="71285100"/>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387</xdr:row>
      <xdr:rowOff>138793</xdr:rowOff>
    </xdr:from>
    <xdr:to>
      <xdr:col>1</xdr:col>
      <xdr:colOff>0</xdr:colOff>
      <xdr:row>387</xdr:row>
      <xdr:rowOff>138793</xdr:rowOff>
    </xdr:to>
    <xdr:sp macro="" textlink="">
      <xdr:nvSpPr>
        <xdr:cNvPr id="90029" name="Line 475">
          <a:extLst>
            <a:ext uri="{FF2B5EF4-FFF2-40B4-BE49-F238E27FC236}">
              <a16:creationId xmlns:a16="http://schemas.microsoft.com/office/drawing/2014/main" id="{D514C8CC-0470-2727-9E84-191AAD3C7AED}"/>
            </a:ext>
          </a:extLst>
        </xdr:cNvPr>
        <xdr:cNvSpPr>
          <a:spLocks noChangeShapeType="1"/>
        </xdr:cNvSpPr>
      </xdr:nvSpPr>
      <xdr:spPr bwMode="auto">
        <a:xfrm>
          <a:off x="465364" y="71304150"/>
          <a:ext cx="1823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387</xdr:row>
      <xdr:rowOff>149679</xdr:rowOff>
    </xdr:from>
    <xdr:to>
      <xdr:col>1</xdr:col>
      <xdr:colOff>10886</xdr:colOff>
      <xdr:row>387</xdr:row>
      <xdr:rowOff>149679</xdr:rowOff>
    </xdr:to>
    <xdr:sp macro="" textlink="">
      <xdr:nvSpPr>
        <xdr:cNvPr id="90030" name="Line 476">
          <a:extLst>
            <a:ext uri="{FF2B5EF4-FFF2-40B4-BE49-F238E27FC236}">
              <a16:creationId xmlns:a16="http://schemas.microsoft.com/office/drawing/2014/main" id="{6A5E1305-3B55-2530-0BF1-9C63BFE275DF}"/>
            </a:ext>
          </a:extLst>
        </xdr:cNvPr>
        <xdr:cNvSpPr>
          <a:spLocks noChangeShapeType="1"/>
        </xdr:cNvSpPr>
      </xdr:nvSpPr>
      <xdr:spPr bwMode="auto">
        <a:xfrm flipH="1">
          <a:off x="454479" y="71315036"/>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388</xdr:row>
      <xdr:rowOff>8164</xdr:rowOff>
    </xdr:from>
    <xdr:to>
      <xdr:col>1</xdr:col>
      <xdr:colOff>0</xdr:colOff>
      <xdr:row>388</xdr:row>
      <xdr:rowOff>8164</xdr:rowOff>
    </xdr:to>
    <xdr:sp macro="" textlink="">
      <xdr:nvSpPr>
        <xdr:cNvPr id="90031" name="Line 477">
          <a:extLst>
            <a:ext uri="{FF2B5EF4-FFF2-40B4-BE49-F238E27FC236}">
              <a16:creationId xmlns:a16="http://schemas.microsoft.com/office/drawing/2014/main" id="{02088FEE-434F-81ED-CFEC-98870300B190}"/>
            </a:ext>
          </a:extLst>
        </xdr:cNvPr>
        <xdr:cNvSpPr>
          <a:spLocks noChangeShapeType="1"/>
        </xdr:cNvSpPr>
      </xdr:nvSpPr>
      <xdr:spPr bwMode="auto">
        <a:xfrm>
          <a:off x="465364" y="71350414"/>
          <a:ext cx="1823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388</xdr:row>
      <xdr:rowOff>19050</xdr:rowOff>
    </xdr:from>
    <xdr:to>
      <xdr:col>1</xdr:col>
      <xdr:colOff>10886</xdr:colOff>
      <xdr:row>388</xdr:row>
      <xdr:rowOff>19050</xdr:rowOff>
    </xdr:to>
    <xdr:sp macro="" textlink="">
      <xdr:nvSpPr>
        <xdr:cNvPr id="90032" name="Line 478">
          <a:extLst>
            <a:ext uri="{FF2B5EF4-FFF2-40B4-BE49-F238E27FC236}">
              <a16:creationId xmlns:a16="http://schemas.microsoft.com/office/drawing/2014/main" id="{AD7361E2-1461-76C3-B903-72DF53BBF5FC}"/>
            </a:ext>
          </a:extLst>
        </xdr:cNvPr>
        <xdr:cNvSpPr>
          <a:spLocks noChangeShapeType="1"/>
        </xdr:cNvSpPr>
      </xdr:nvSpPr>
      <xdr:spPr bwMode="auto">
        <a:xfrm flipH="1">
          <a:off x="454479" y="71361300"/>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387</xdr:row>
      <xdr:rowOff>84364</xdr:rowOff>
    </xdr:from>
    <xdr:to>
      <xdr:col>0</xdr:col>
      <xdr:colOff>465364</xdr:colOff>
      <xdr:row>387</xdr:row>
      <xdr:rowOff>111579</xdr:rowOff>
    </xdr:to>
    <xdr:sp macro="" textlink="">
      <xdr:nvSpPr>
        <xdr:cNvPr id="90033" name="Line 479">
          <a:extLst>
            <a:ext uri="{FF2B5EF4-FFF2-40B4-BE49-F238E27FC236}">
              <a16:creationId xmlns:a16="http://schemas.microsoft.com/office/drawing/2014/main" id="{2D206BFA-EB9D-B747-4ACC-A31F0B656BB1}"/>
            </a:ext>
          </a:extLst>
        </xdr:cNvPr>
        <xdr:cNvSpPr>
          <a:spLocks noChangeShapeType="1"/>
        </xdr:cNvSpPr>
      </xdr:nvSpPr>
      <xdr:spPr bwMode="auto">
        <a:xfrm flipV="1">
          <a:off x="454479" y="71249721"/>
          <a:ext cx="10885"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387</xdr:row>
      <xdr:rowOff>111579</xdr:rowOff>
    </xdr:from>
    <xdr:to>
      <xdr:col>0</xdr:col>
      <xdr:colOff>465364</xdr:colOff>
      <xdr:row>387</xdr:row>
      <xdr:rowOff>111579</xdr:rowOff>
    </xdr:to>
    <xdr:sp macro="" textlink="">
      <xdr:nvSpPr>
        <xdr:cNvPr id="90034" name="Line 480">
          <a:extLst>
            <a:ext uri="{FF2B5EF4-FFF2-40B4-BE49-F238E27FC236}">
              <a16:creationId xmlns:a16="http://schemas.microsoft.com/office/drawing/2014/main" id="{B8FF65C4-7A16-301F-4FBC-7C5DC92BBDBC}"/>
            </a:ext>
          </a:extLst>
        </xdr:cNvPr>
        <xdr:cNvSpPr>
          <a:spLocks noChangeShapeType="1"/>
        </xdr:cNvSpPr>
      </xdr:nvSpPr>
      <xdr:spPr bwMode="auto">
        <a:xfrm flipH="1">
          <a:off x="454479" y="71276936"/>
          <a:ext cx="1088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636814</xdr:colOff>
      <xdr:row>405</xdr:row>
      <xdr:rowOff>84364</xdr:rowOff>
    </xdr:from>
    <xdr:to>
      <xdr:col>0</xdr:col>
      <xdr:colOff>636814</xdr:colOff>
      <xdr:row>405</xdr:row>
      <xdr:rowOff>92529</xdr:rowOff>
    </xdr:to>
    <xdr:sp macro="" textlink="">
      <xdr:nvSpPr>
        <xdr:cNvPr id="90035" name="Line 481">
          <a:extLst>
            <a:ext uri="{FF2B5EF4-FFF2-40B4-BE49-F238E27FC236}">
              <a16:creationId xmlns:a16="http://schemas.microsoft.com/office/drawing/2014/main" id="{D9FF394B-52FC-10E8-07DF-18B9438D0D97}"/>
            </a:ext>
          </a:extLst>
        </xdr:cNvPr>
        <xdr:cNvSpPr>
          <a:spLocks noChangeShapeType="1"/>
        </xdr:cNvSpPr>
      </xdr:nvSpPr>
      <xdr:spPr bwMode="auto">
        <a:xfrm>
          <a:off x="636814" y="74433793"/>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389</xdr:row>
      <xdr:rowOff>19050</xdr:rowOff>
    </xdr:from>
    <xdr:to>
      <xdr:col>0</xdr:col>
      <xdr:colOff>446314</xdr:colOff>
      <xdr:row>389</xdr:row>
      <xdr:rowOff>111579</xdr:rowOff>
    </xdr:to>
    <xdr:sp macro="" textlink="">
      <xdr:nvSpPr>
        <xdr:cNvPr id="90036" name="Line 482">
          <a:extLst>
            <a:ext uri="{FF2B5EF4-FFF2-40B4-BE49-F238E27FC236}">
              <a16:creationId xmlns:a16="http://schemas.microsoft.com/office/drawing/2014/main" id="{25B3227A-EFC5-F5A1-5A94-E240FAE2C151}"/>
            </a:ext>
          </a:extLst>
        </xdr:cNvPr>
        <xdr:cNvSpPr>
          <a:spLocks noChangeShapeType="1"/>
        </xdr:cNvSpPr>
      </xdr:nvSpPr>
      <xdr:spPr bwMode="auto">
        <a:xfrm flipV="1">
          <a:off x="446314" y="71538193"/>
          <a:ext cx="0" cy="92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401</xdr:row>
      <xdr:rowOff>0</xdr:rowOff>
    </xdr:from>
    <xdr:to>
      <xdr:col>0</xdr:col>
      <xdr:colOff>446314</xdr:colOff>
      <xdr:row>405</xdr:row>
      <xdr:rowOff>46264</xdr:rowOff>
    </xdr:to>
    <xdr:sp macro="" textlink="">
      <xdr:nvSpPr>
        <xdr:cNvPr id="90037" name="Line 483">
          <a:extLst>
            <a:ext uri="{FF2B5EF4-FFF2-40B4-BE49-F238E27FC236}">
              <a16:creationId xmlns:a16="http://schemas.microsoft.com/office/drawing/2014/main" id="{E8640E68-3580-7052-BB8B-904D130F5FB8}"/>
            </a:ext>
          </a:extLst>
        </xdr:cNvPr>
        <xdr:cNvSpPr>
          <a:spLocks noChangeShapeType="1"/>
        </xdr:cNvSpPr>
      </xdr:nvSpPr>
      <xdr:spPr bwMode="auto">
        <a:xfrm>
          <a:off x="446314" y="73641857"/>
          <a:ext cx="0" cy="7538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636814</xdr:colOff>
      <xdr:row>405</xdr:row>
      <xdr:rowOff>92529</xdr:rowOff>
    </xdr:from>
    <xdr:to>
      <xdr:col>0</xdr:col>
      <xdr:colOff>636814</xdr:colOff>
      <xdr:row>405</xdr:row>
      <xdr:rowOff>100693</xdr:rowOff>
    </xdr:to>
    <xdr:sp macro="" textlink="">
      <xdr:nvSpPr>
        <xdr:cNvPr id="90038" name="Line 484">
          <a:extLst>
            <a:ext uri="{FF2B5EF4-FFF2-40B4-BE49-F238E27FC236}">
              <a16:creationId xmlns:a16="http://schemas.microsoft.com/office/drawing/2014/main" id="{39A9C159-D078-E143-D8EA-2A0DB342A703}"/>
            </a:ext>
          </a:extLst>
        </xdr:cNvPr>
        <xdr:cNvSpPr>
          <a:spLocks noChangeShapeType="1"/>
        </xdr:cNvSpPr>
      </xdr:nvSpPr>
      <xdr:spPr bwMode="auto">
        <a:xfrm>
          <a:off x="636814" y="74441957"/>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636814</xdr:colOff>
      <xdr:row>382</xdr:row>
      <xdr:rowOff>38100</xdr:rowOff>
    </xdr:from>
    <xdr:to>
      <xdr:col>0</xdr:col>
      <xdr:colOff>636814</xdr:colOff>
      <xdr:row>387</xdr:row>
      <xdr:rowOff>57150</xdr:rowOff>
    </xdr:to>
    <xdr:sp macro="" textlink="">
      <xdr:nvSpPr>
        <xdr:cNvPr id="90039" name="Line 485">
          <a:extLst>
            <a:ext uri="{FF2B5EF4-FFF2-40B4-BE49-F238E27FC236}">
              <a16:creationId xmlns:a16="http://schemas.microsoft.com/office/drawing/2014/main" id="{1C27F833-4E80-004F-50CA-9956543BAE52}"/>
            </a:ext>
          </a:extLst>
        </xdr:cNvPr>
        <xdr:cNvSpPr>
          <a:spLocks noChangeShapeType="1"/>
        </xdr:cNvSpPr>
      </xdr:nvSpPr>
      <xdr:spPr bwMode="auto">
        <a:xfrm flipV="1">
          <a:off x="636814" y="70318993"/>
          <a:ext cx="0" cy="9035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382</xdr:row>
      <xdr:rowOff>57150</xdr:rowOff>
    </xdr:from>
    <xdr:to>
      <xdr:col>0</xdr:col>
      <xdr:colOff>476250</xdr:colOff>
      <xdr:row>387</xdr:row>
      <xdr:rowOff>57150</xdr:rowOff>
    </xdr:to>
    <xdr:sp macro="" textlink="">
      <xdr:nvSpPr>
        <xdr:cNvPr id="90040" name="Line 486">
          <a:extLst>
            <a:ext uri="{FF2B5EF4-FFF2-40B4-BE49-F238E27FC236}">
              <a16:creationId xmlns:a16="http://schemas.microsoft.com/office/drawing/2014/main" id="{08260F74-808B-065E-C8AC-99B302EEB98B}"/>
            </a:ext>
          </a:extLst>
        </xdr:cNvPr>
        <xdr:cNvSpPr>
          <a:spLocks noChangeShapeType="1"/>
        </xdr:cNvSpPr>
      </xdr:nvSpPr>
      <xdr:spPr bwMode="auto">
        <a:xfrm>
          <a:off x="476250" y="70338043"/>
          <a:ext cx="0" cy="8844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405</xdr:row>
      <xdr:rowOff>103414</xdr:rowOff>
    </xdr:from>
    <xdr:to>
      <xdr:col>0</xdr:col>
      <xdr:colOff>628650</xdr:colOff>
      <xdr:row>405</xdr:row>
      <xdr:rowOff>111579</xdr:rowOff>
    </xdr:to>
    <xdr:sp macro="" textlink="">
      <xdr:nvSpPr>
        <xdr:cNvPr id="90041" name="Line 487">
          <a:extLst>
            <a:ext uri="{FF2B5EF4-FFF2-40B4-BE49-F238E27FC236}">
              <a16:creationId xmlns:a16="http://schemas.microsoft.com/office/drawing/2014/main" id="{500D798B-D092-B5AF-BE65-4CC85848F3BD}"/>
            </a:ext>
          </a:extLst>
        </xdr:cNvPr>
        <xdr:cNvSpPr>
          <a:spLocks noChangeShapeType="1"/>
        </xdr:cNvSpPr>
      </xdr:nvSpPr>
      <xdr:spPr bwMode="auto">
        <a:xfrm>
          <a:off x="628650" y="74452843"/>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405</xdr:row>
      <xdr:rowOff>46264</xdr:rowOff>
    </xdr:from>
    <xdr:to>
      <xdr:col>1</xdr:col>
      <xdr:colOff>19050</xdr:colOff>
      <xdr:row>405</xdr:row>
      <xdr:rowOff>92529</xdr:rowOff>
    </xdr:to>
    <xdr:sp macro="" textlink="">
      <xdr:nvSpPr>
        <xdr:cNvPr id="90042" name="Line 488">
          <a:extLst>
            <a:ext uri="{FF2B5EF4-FFF2-40B4-BE49-F238E27FC236}">
              <a16:creationId xmlns:a16="http://schemas.microsoft.com/office/drawing/2014/main" id="{25D47FF4-1D81-6845-11A9-5FB5BB27590C}"/>
            </a:ext>
          </a:extLst>
        </xdr:cNvPr>
        <xdr:cNvSpPr>
          <a:spLocks noChangeShapeType="1"/>
        </xdr:cNvSpPr>
      </xdr:nvSpPr>
      <xdr:spPr bwMode="auto">
        <a:xfrm flipV="1">
          <a:off x="666750" y="74395693"/>
          <a:ext cx="0" cy="462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399</xdr:row>
      <xdr:rowOff>65314</xdr:rowOff>
    </xdr:from>
    <xdr:to>
      <xdr:col>1</xdr:col>
      <xdr:colOff>19050</xdr:colOff>
      <xdr:row>400</xdr:row>
      <xdr:rowOff>46264</xdr:rowOff>
    </xdr:to>
    <xdr:sp macro="" textlink="">
      <xdr:nvSpPr>
        <xdr:cNvPr id="90043" name="Line 489">
          <a:extLst>
            <a:ext uri="{FF2B5EF4-FFF2-40B4-BE49-F238E27FC236}">
              <a16:creationId xmlns:a16="http://schemas.microsoft.com/office/drawing/2014/main" id="{BB5571CA-5EA4-6B0B-8B3B-86DD4E0020A3}"/>
            </a:ext>
          </a:extLst>
        </xdr:cNvPr>
        <xdr:cNvSpPr>
          <a:spLocks noChangeShapeType="1"/>
        </xdr:cNvSpPr>
      </xdr:nvSpPr>
      <xdr:spPr bwMode="auto">
        <a:xfrm flipV="1">
          <a:off x="666750" y="73353386"/>
          <a:ext cx="0" cy="15784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413657</xdr:colOff>
      <xdr:row>394</xdr:row>
      <xdr:rowOff>149679</xdr:rowOff>
    </xdr:from>
    <xdr:to>
      <xdr:col>0</xdr:col>
      <xdr:colOff>413657</xdr:colOff>
      <xdr:row>405</xdr:row>
      <xdr:rowOff>111579</xdr:rowOff>
    </xdr:to>
    <xdr:sp macro="" textlink="">
      <xdr:nvSpPr>
        <xdr:cNvPr id="90044" name="Line 490">
          <a:extLst>
            <a:ext uri="{FF2B5EF4-FFF2-40B4-BE49-F238E27FC236}">
              <a16:creationId xmlns:a16="http://schemas.microsoft.com/office/drawing/2014/main" id="{CDA7B6DE-576B-901A-4231-3BED0A9D9856}"/>
            </a:ext>
          </a:extLst>
        </xdr:cNvPr>
        <xdr:cNvSpPr>
          <a:spLocks noChangeShapeType="1"/>
        </xdr:cNvSpPr>
      </xdr:nvSpPr>
      <xdr:spPr bwMode="auto">
        <a:xfrm>
          <a:off x="413657" y="72553286"/>
          <a:ext cx="0" cy="19077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390</xdr:row>
      <xdr:rowOff>73479</xdr:rowOff>
    </xdr:from>
    <xdr:to>
      <xdr:col>1</xdr:col>
      <xdr:colOff>19050</xdr:colOff>
      <xdr:row>393</xdr:row>
      <xdr:rowOff>119743</xdr:rowOff>
    </xdr:to>
    <xdr:sp macro="" textlink="">
      <xdr:nvSpPr>
        <xdr:cNvPr id="90045" name="Line 491">
          <a:extLst>
            <a:ext uri="{FF2B5EF4-FFF2-40B4-BE49-F238E27FC236}">
              <a16:creationId xmlns:a16="http://schemas.microsoft.com/office/drawing/2014/main" id="{23402777-93BF-6EE0-6293-E30E7AB5166D}"/>
            </a:ext>
          </a:extLst>
        </xdr:cNvPr>
        <xdr:cNvSpPr>
          <a:spLocks noChangeShapeType="1"/>
        </xdr:cNvSpPr>
      </xdr:nvSpPr>
      <xdr:spPr bwMode="auto">
        <a:xfrm flipV="1">
          <a:off x="666750" y="71769514"/>
          <a:ext cx="0" cy="57694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386</xdr:row>
      <xdr:rowOff>103414</xdr:rowOff>
    </xdr:from>
    <xdr:to>
      <xdr:col>0</xdr:col>
      <xdr:colOff>476250</xdr:colOff>
      <xdr:row>387</xdr:row>
      <xdr:rowOff>84364</xdr:rowOff>
    </xdr:to>
    <xdr:sp macro="" textlink="">
      <xdr:nvSpPr>
        <xdr:cNvPr id="90046" name="Line 492">
          <a:extLst>
            <a:ext uri="{FF2B5EF4-FFF2-40B4-BE49-F238E27FC236}">
              <a16:creationId xmlns:a16="http://schemas.microsoft.com/office/drawing/2014/main" id="{C2E59536-5FCB-6046-ADC5-CAB4693463CF}"/>
            </a:ext>
          </a:extLst>
        </xdr:cNvPr>
        <xdr:cNvSpPr>
          <a:spLocks noChangeShapeType="1"/>
        </xdr:cNvSpPr>
      </xdr:nvSpPr>
      <xdr:spPr bwMode="auto">
        <a:xfrm flipV="1">
          <a:off x="465364" y="71091879"/>
          <a:ext cx="10886" cy="15784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386</xdr:row>
      <xdr:rowOff>111579</xdr:rowOff>
    </xdr:from>
    <xdr:to>
      <xdr:col>0</xdr:col>
      <xdr:colOff>454479</xdr:colOff>
      <xdr:row>387</xdr:row>
      <xdr:rowOff>65314</xdr:rowOff>
    </xdr:to>
    <xdr:sp macro="" textlink="">
      <xdr:nvSpPr>
        <xdr:cNvPr id="90047" name="Line 493">
          <a:extLst>
            <a:ext uri="{FF2B5EF4-FFF2-40B4-BE49-F238E27FC236}">
              <a16:creationId xmlns:a16="http://schemas.microsoft.com/office/drawing/2014/main" id="{9AC8C60D-B955-CB23-3AF5-11A7D06C580B}"/>
            </a:ext>
          </a:extLst>
        </xdr:cNvPr>
        <xdr:cNvSpPr>
          <a:spLocks noChangeShapeType="1"/>
        </xdr:cNvSpPr>
      </xdr:nvSpPr>
      <xdr:spPr bwMode="auto">
        <a:xfrm flipH="1">
          <a:off x="424543" y="71100043"/>
          <a:ext cx="29936" cy="1306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385</xdr:row>
      <xdr:rowOff>57150</xdr:rowOff>
    </xdr:from>
    <xdr:to>
      <xdr:col>0</xdr:col>
      <xdr:colOff>454479</xdr:colOff>
      <xdr:row>386</xdr:row>
      <xdr:rowOff>111579</xdr:rowOff>
    </xdr:to>
    <xdr:sp macro="" textlink="">
      <xdr:nvSpPr>
        <xdr:cNvPr id="90048" name="Line 494">
          <a:extLst>
            <a:ext uri="{FF2B5EF4-FFF2-40B4-BE49-F238E27FC236}">
              <a16:creationId xmlns:a16="http://schemas.microsoft.com/office/drawing/2014/main" id="{04D1AEE4-1DD3-7653-0A28-6736EB4AAD84}"/>
            </a:ext>
          </a:extLst>
        </xdr:cNvPr>
        <xdr:cNvSpPr>
          <a:spLocks noChangeShapeType="1"/>
        </xdr:cNvSpPr>
      </xdr:nvSpPr>
      <xdr:spPr bwMode="auto">
        <a:xfrm flipV="1">
          <a:off x="454479" y="70868721"/>
          <a:ext cx="0" cy="23132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386</xdr:row>
      <xdr:rowOff>65314</xdr:rowOff>
    </xdr:from>
    <xdr:to>
      <xdr:col>0</xdr:col>
      <xdr:colOff>454479</xdr:colOff>
      <xdr:row>386</xdr:row>
      <xdr:rowOff>111579</xdr:rowOff>
    </xdr:to>
    <xdr:sp macro="" textlink="">
      <xdr:nvSpPr>
        <xdr:cNvPr id="90049" name="Line 495">
          <a:extLst>
            <a:ext uri="{FF2B5EF4-FFF2-40B4-BE49-F238E27FC236}">
              <a16:creationId xmlns:a16="http://schemas.microsoft.com/office/drawing/2014/main" id="{CDCEADEB-E0A4-845F-2879-B72A9E38A02F}"/>
            </a:ext>
          </a:extLst>
        </xdr:cNvPr>
        <xdr:cNvSpPr>
          <a:spLocks noChangeShapeType="1"/>
        </xdr:cNvSpPr>
      </xdr:nvSpPr>
      <xdr:spPr bwMode="auto">
        <a:xfrm flipV="1">
          <a:off x="454479" y="71053779"/>
          <a:ext cx="0" cy="462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389</xdr:row>
      <xdr:rowOff>111579</xdr:rowOff>
    </xdr:from>
    <xdr:to>
      <xdr:col>0</xdr:col>
      <xdr:colOff>446314</xdr:colOff>
      <xdr:row>405</xdr:row>
      <xdr:rowOff>119743</xdr:rowOff>
    </xdr:to>
    <xdr:sp macro="" textlink="">
      <xdr:nvSpPr>
        <xdr:cNvPr id="90050" name="Line 496">
          <a:extLst>
            <a:ext uri="{FF2B5EF4-FFF2-40B4-BE49-F238E27FC236}">
              <a16:creationId xmlns:a16="http://schemas.microsoft.com/office/drawing/2014/main" id="{AACBBE82-83B8-0634-D5B7-AD1F56D58E87}"/>
            </a:ext>
          </a:extLst>
        </xdr:cNvPr>
        <xdr:cNvSpPr>
          <a:spLocks noChangeShapeType="1"/>
        </xdr:cNvSpPr>
      </xdr:nvSpPr>
      <xdr:spPr bwMode="auto">
        <a:xfrm flipV="1">
          <a:off x="446314" y="71630721"/>
          <a:ext cx="0" cy="2838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389</xdr:row>
      <xdr:rowOff>103414</xdr:rowOff>
    </xdr:from>
    <xdr:to>
      <xdr:col>1</xdr:col>
      <xdr:colOff>19050</xdr:colOff>
      <xdr:row>389</xdr:row>
      <xdr:rowOff>111579</xdr:rowOff>
    </xdr:to>
    <xdr:sp macro="" textlink="">
      <xdr:nvSpPr>
        <xdr:cNvPr id="90051" name="Line 497">
          <a:extLst>
            <a:ext uri="{FF2B5EF4-FFF2-40B4-BE49-F238E27FC236}">
              <a16:creationId xmlns:a16="http://schemas.microsoft.com/office/drawing/2014/main" id="{B36708B3-F938-FE84-C783-96AA03774EFE}"/>
            </a:ext>
          </a:extLst>
        </xdr:cNvPr>
        <xdr:cNvSpPr>
          <a:spLocks noChangeShapeType="1"/>
        </xdr:cNvSpPr>
      </xdr:nvSpPr>
      <xdr:spPr bwMode="auto">
        <a:xfrm>
          <a:off x="666750" y="71622557"/>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389</xdr:row>
      <xdr:rowOff>92529</xdr:rowOff>
    </xdr:from>
    <xdr:to>
      <xdr:col>0</xdr:col>
      <xdr:colOff>446314</xdr:colOff>
      <xdr:row>389</xdr:row>
      <xdr:rowOff>130629</xdr:rowOff>
    </xdr:to>
    <xdr:sp macro="" textlink="">
      <xdr:nvSpPr>
        <xdr:cNvPr id="90052" name="Line 498">
          <a:extLst>
            <a:ext uri="{FF2B5EF4-FFF2-40B4-BE49-F238E27FC236}">
              <a16:creationId xmlns:a16="http://schemas.microsoft.com/office/drawing/2014/main" id="{F7D73BF0-818B-AE62-9889-2C0053039AAE}"/>
            </a:ext>
          </a:extLst>
        </xdr:cNvPr>
        <xdr:cNvSpPr>
          <a:spLocks noChangeShapeType="1"/>
        </xdr:cNvSpPr>
      </xdr:nvSpPr>
      <xdr:spPr bwMode="auto">
        <a:xfrm flipV="1">
          <a:off x="446314" y="71611671"/>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389</xdr:row>
      <xdr:rowOff>103414</xdr:rowOff>
    </xdr:from>
    <xdr:to>
      <xdr:col>1</xdr:col>
      <xdr:colOff>10886</xdr:colOff>
      <xdr:row>389</xdr:row>
      <xdr:rowOff>103414</xdr:rowOff>
    </xdr:to>
    <xdr:sp macro="" textlink="">
      <xdr:nvSpPr>
        <xdr:cNvPr id="90053" name="Line 499">
          <a:extLst>
            <a:ext uri="{FF2B5EF4-FFF2-40B4-BE49-F238E27FC236}">
              <a16:creationId xmlns:a16="http://schemas.microsoft.com/office/drawing/2014/main" id="{34EADDC7-2B4A-0433-418A-23793912DDDF}"/>
            </a:ext>
          </a:extLst>
        </xdr:cNvPr>
        <xdr:cNvSpPr>
          <a:spLocks noChangeShapeType="1"/>
        </xdr:cNvSpPr>
      </xdr:nvSpPr>
      <xdr:spPr bwMode="auto">
        <a:xfrm>
          <a:off x="454479" y="71622557"/>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389</xdr:row>
      <xdr:rowOff>130629</xdr:rowOff>
    </xdr:from>
    <xdr:to>
      <xdr:col>0</xdr:col>
      <xdr:colOff>446314</xdr:colOff>
      <xdr:row>390</xdr:row>
      <xdr:rowOff>27214</xdr:rowOff>
    </xdr:to>
    <xdr:sp macro="" textlink="">
      <xdr:nvSpPr>
        <xdr:cNvPr id="90054" name="Line 500">
          <a:extLst>
            <a:ext uri="{FF2B5EF4-FFF2-40B4-BE49-F238E27FC236}">
              <a16:creationId xmlns:a16="http://schemas.microsoft.com/office/drawing/2014/main" id="{3688DF4F-C634-B42F-C1B2-1B536DFFFD98}"/>
            </a:ext>
          </a:extLst>
        </xdr:cNvPr>
        <xdr:cNvSpPr>
          <a:spLocks noChangeShapeType="1"/>
        </xdr:cNvSpPr>
      </xdr:nvSpPr>
      <xdr:spPr bwMode="auto">
        <a:xfrm>
          <a:off x="446314" y="71649771"/>
          <a:ext cx="0" cy="734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389</xdr:row>
      <xdr:rowOff>103414</xdr:rowOff>
    </xdr:from>
    <xdr:to>
      <xdr:col>0</xdr:col>
      <xdr:colOff>446314</xdr:colOff>
      <xdr:row>389</xdr:row>
      <xdr:rowOff>111579</xdr:rowOff>
    </xdr:to>
    <xdr:sp macro="" textlink="">
      <xdr:nvSpPr>
        <xdr:cNvPr id="90055" name="Line 501">
          <a:extLst>
            <a:ext uri="{FF2B5EF4-FFF2-40B4-BE49-F238E27FC236}">
              <a16:creationId xmlns:a16="http://schemas.microsoft.com/office/drawing/2014/main" id="{3C3A501A-DDF9-CA6D-5853-84515C822278}"/>
            </a:ext>
          </a:extLst>
        </xdr:cNvPr>
        <xdr:cNvSpPr>
          <a:spLocks noChangeShapeType="1"/>
        </xdr:cNvSpPr>
      </xdr:nvSpPr>
      <xdr:spPr bwMode="auto">
        <a:xfrm>
          <a:off x="446314" y="71622557"/>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412</xdr:row>
      <xdr:rowOff>73479</xdr:rowOff>
    </xdr:from>
    <xdr:to>
      <xdr:col>0</xdr:col>
      <xdr:colOff>465364</xdr:colOff>
      <xdr:row>412</xdr:row>
      <xdr:rowOff>73479</xdr:rowOff>
    </xdr:to>
    <xdr:sp macro="" textlink="">
      <xdr:nvSpPr>
        <xdr:cNvPr id="90056" name="Line 502">
          <a:extLst>
            <a:ext uri="{FF2B5EF4-FFF2-40B4-BE49-F238E27FC236}">
              <a16:creationId xmlns:a16="http://schemas.microsoft.com/office/drawing/2014/main" id="{B8B51B92-BF7D-3E8F-B5E6-6CDACCA1DA58}"/>
            </a:ext>
          </a:extLst>
        </xdr:cNvPr>
        <xdr:cNvSpPr>
          <a:spLocks noChangeShapeType="1"/>
        </xdr:cNvSpPr>
      </xdr:nvSpPr>
      <xdr:spPr bwMode="auto">
        <a:xfrm>
          <a:off x="435429" y="75661157"/>
          <a:ext cx="299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412</xdr:row>
      <xdr:rowOff>73479</xdr:rowOff>
    </xdr:from>
    <xdr:to>
      <xdr:col>0</xdr:col>
      <xdr:colOff>639536</xdr:colOff>
      <xdr:row>412</xdr:row>
      <xdr:rowOff>73479</xdr:rowOff>
    </xdr:to>
    <xdr:sp macro="" textlink="">
      <xdr:nvSpPr>
        <xdr:cNvPr id="90057" name="Line 503">
          <a:extLst>
            <a:ext uri="{FF2B5EF4-FFF2-40B4-BE49-F238E27FC236}">
              <a16:creationId xmlns:a16="http://schemas.microsoft.com/office/drawing/2014/main" id="{0451ABA6-D67F-B110-BF01-C0CFFAD92565}"/>
            </a:ext>
          </a:extLst>
        </xdr:cNvPr>
        <xdr:cNvSpPr>
          <a:spLocks noChangeShapeType="1"/>
        </xdr:cNvSpPr>
      </xdr:nvSpPr>
      <xdr:spPr bwMode="auto">
        <a:xfrm>
          <a:off x="446314" y="75661157"/>
          <a:ext cx="1932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412</xdr:row>
      <xdr:rowOff>73479</xdr:rowOff>
    </xdr:from>
    <xdr:to>
      <xdr:col>1</xdr:col>
      <xdr:colOff>29936</xdr:colOff>
      <xdr:row>412</xdr:row>
      <xdr:rowOff>73479</xdr:rowOff>
    </xdr:to>
    <xdr:sp macro="" textlink="">
      <xdr:nvSpPr>
        <xdr:cNvPr id="90058" name="Line 504">
          <a:extLst>
            <a:ext uri="{FF2B5EF4-FFF2-40B4-BE49-F238E27FC236}">
              <a16:creationId xmlns:a16="http://schemas.microsoft.com/office/drawing/2014/main" id="{2F565180-036C-704B-3E67-70052A461235}"/>
            </a:ext>
          </a:extLst>
        </xdr:cNvPr>
        <xdr:cNvSpPr>
          <a:spLocks noChangeShapeType="1"/>
        </xdr:cNvSpPr>
      </xdr:nvSpPr>
      <xdr:spPr bwMode="auto">
        <a:xfrm>
          <a:off x="647700" y="75661157"/>
          <a:ext cx="299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412</xdr:row>
      <xdr:rowOff>73479</xdr:rowOff>
    </xdr:from>
    <xdr:to>
      <xdr:col>1</xdr:col>
      <xdr:colOff>0</xdr:colOff>
      <xdr:row>412</xdr:row>
      <xdr:rowOff>73479</xdr:rowOff>
    </xdr:to>
    <xdr:sp macro="" textlink="">
      <xdr:nvSpPr>
        <xdr:cNvPr id="90059" name="Line 505">
          <a:extLst>
            <a:ext uri="{FF2B5EF4-FFF2-40B4-BE49-F238E27FC236}">
              <a16:creationId xmlns:a16="http://schemas.microsoft.com/office/drawing/2014/main" id="{03AC78C3-FFDF-4A79-DC9F-8F230BA2B9AC}"/>
            </a:ext>
          </a:extLst>
        </xdr:cNvPr>
        <xdr:cNvSpPr>
          <a:spLocks noChangeShapeType="1"/>
        </xdr:cNvSpPr>
      </xdr:nvSpPr>
      <xdr:spPr bwMode="auto">
        <a:xfrm>
          <a:off x="647700" y="75661157"/>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636814</xdr:colOff>
      <xdr:row>412</xdr:row>
      <xdr:rowOff>73479</xdr:rowOff>
    </xdr:from>
    <xdr:to>
      <xdr:col>1</xdr:col>
      <xdr:colOff>29936</xdr:colOff>
      <xdr:row>412</xdr:row>
      <xdr:rowOff>73479</xdr:rowOff>
    </xdr:to>
    <xdr:sp macro="" textlink="">
      <xdr:nvSpPr>
        <xdr:cNvPr id="90060" name="Line 506">
          <a:extLst>
            <a:ext uri="{FF2B5EF4-FFF2-40B4-BE49-F238E27FC236}">
              <a16:creationId xmlns:a16="http://schemas.microsoft.com/office/drawing/2014/main" id="{3EE67A25-69AE-B77A-C14B-7848300F57DF}"/>
            </a:ext>
          </a:extLst>
        </xdr:cNvPr>
        <xdr:cNvSpPr>
          <a:spLocks noChangeShapeType="1"/>
        </xdr:cNvSpPr>
      </xdr:nvSpPr>
      <xdr:spPr bwMode="auto">
        <a:xfrm flipH="1">
          <a:off x="636814" y="75661157"/>
          <a:ext cx="408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412</xdr:row>
      <xdr:rowOff>73479</xdr:rowOff>
    </xdr:from>
    <xdr:to>
      <xdr:col>0</xdr:col>
      <xdr:colOff>465364</xdr:colOff>
      <xdr:row>412</xdr:row>
      <xdr:rowOff>73479</xdr:rowOff>
    </xdr:to>
    <xdr:sp macro="" textlink="">
      <xdr:nvSpPr>
        <xdr:cNvPr id="90061" name="Line 507">
          <a:extLst>
            <a:ext uri="{FF2B5EF4-FFF2-40B4-BE49-F238E27FC236}">
              <a16:creationId xmlns:a16="http://schemas.microsoft.com/office/drawing/2014/main" id="{0B732E9B-7A23-C054-54F4-E5D8AE113F26}"/>
            </a:ext>
          </a:extLst>
        </xdr:cNvPr>
        <xdr:cNvSpPr>
          <a:spLocks noChangeShapeType="1"/>
        </xdr:cNvSpPr>
      </xdr:nvSpPr>
      <xdr:spPr bwMode="auto">
        <a:xfrm>
          <a:off x="446314" y="75661157"/>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412</xdr:row>
      <xdr:rowOff>73479</xdr:rowOff>
    </xdr:from>
    <xdr:to>
      <xdr:col>1</xdr:col>
      <xdr:colOff>40821</xdr:colOff>
      <xdr:row>412</xdr:row>
      <xdr:rowOff>73479</xdr:rowOff>
    </xdr:to>
    <xdr:sp macro="" textlink="">
      <xdr:nvSpPr>
        <xdr:cNvPr id="90062" name="Line 508">
          <a:extLst>
            <a:ext uri="{FF2B5EF4-FFF2-40B4-BE49-F238E27FC236}">
              <a16:creationId xmlns:a16="http://schemas.microsoft.com/office/drawing/2014/main" id="{7B0C986E-8225-7422-732B-5733885A2B90}"/>
            </a:ext>
          </a:extLst>
        </xdr:cNvPr>
        <xdr:cNvSpPr>
          <a:spLocks noChangeShapeType="1"/>
        </xdr:cNvSpPr>
      </xdr:nvSpPr>
      <xdr:spPr bwMode="auto">
        <a:xfrm flipH="1">
          <a:off x="424543" y="75661157"/>
          <a:ext cx="2639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413</xdr:row>
      <xdr:rowOff>130629</xdr:rowOff>
    </xdr:from>
    <xdr:to>
      <xdr:col>0</xdr:col>
      <xdr:colOff>606879</xdr:colOff>
      <xdr:row>413</xdr:row>
      <xdr:rowOff>130629</xdr:rowOff>
    </xdr:to>
    <xdr:sp macro="" textlink="">
      <xdr:nvSpPr>
        <xdr:cNvPr id="90063" name="Line 509">
          <a:extLst>
            <a:ext uri="{FF2B5EF4-FFF2-40B4-BE49-F238E27FC236}">
              <a16:creationId xmlns:a16="http://schemas.microsoft.com/office/drawing/2014/main" id="{01CFF468-988F-C404-A641-E664649309A0}"/>
            </a:ext>
          </a:extLst>
        </xdr:cNvPr>
        <xdr:cNvSpPr>
          <a:spLocks noChangeShapeType="1"/>
        </xdr:cNvSpPr>
      </xdr:nvSpPr>
      <xdr:spPr bwMode="auto">
        <a:xfrm>
          <a:off x="495300" y="75895200"/>
          <a:ext cx="11157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413</xdr:row>
      <xdr:rowOff>38100</xdr:rowOff>
    </xdr:from>
    <xdr:to>
      <xdr:col>0</xdr:col>
      <xdr:colOff>476250</xdr:colOff>
      <xdr:row>413</xdr:row>
      <xdr:rowOff>111579</xdr:rowOff>
    </xdr:to>
    <xdr:sp macro="" textlink="">
      <xdr:nvSpPr>
        <xdr:cNvPr id="90064" name="Line 510">
          <a:extLst>
            <a:ext uri="{FF2B5EF4-FFF2-40B4-BE49-F238E27FC236}">
              <a16:creationId xmlns:a16="http://schemas.microsoft.com/office/drawing/2014/main" id="{97FE74EB-74E3-2A4E-9E62-A18DBBF10024}"/>
            </a:ext>
          </a:extLst>
        </xdr:cNvPr>
        <xdr:cNvSpPr>
          <a:spLocks noChangeShapeType="1"/>
        </xdr:cNvSpPr>
      </xdr:nvSpPr>
      <xdr:spPr bwMode="auto">
        <a:xfrm flipH="1" flipV="1">
          <a:off x="424543" y="75802671"/>
          <a:ext cx="51707" cy="734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413</xdr:row>
      <xdr:rowOff>38100</xdr:rowOff>
    </xdr:from>
    <xdr:to>
      <xdr:col>1</xdr:col>
      <xdr:colOff>29936</xdr:colOff>
      <xdr:row>413</xdr:row>
      <xdr:rowOff>111579</xdr:rowOff>
    </xdr:to>
    <xdr:sp macro="" textlink="">
      <xdr:nvSpPr>
        <xdr:cNvPr id="90065" name="Line 511">
          <a:extLst>
            <a:ext uri="{FF2B5EF4-FFF2-40B4-BE49-F238E27FC236}">
              <a16:creationId xmlns:a16="http://schemas.microsoft.com/office/drawing/2014/main" id="{B6276144-3643-F435-783A-3E3CB1738785}"/>
            </a:ext>
          </a:extLst>
        </xdr:cNvPr>
        <xdr:cNvSpPr>
          <a:spLocks noChangeShapeType="1"/>
        </xdr:cNvSpPr>
      </xdr:nvSpPr>
      <xdr:spPr bwMode="auto">
        <a:xfrm flipV="1">
          <a:off x="647700" y="75802671"/>
          <a:ext cx="29936" cy="734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412</xdr:row>
      <xdr:rowOff>103414</xdr:rowOff>
    </xdr:from>
    <xdr:to>
      <xdr:col>1</xdr:col>
      <xdr:colOff>40821</xdr:colOff>
      <xdr:row>412</xdr:row>
      <xdr:rowOff>103414</xdr:rowOff>
    </xdr:to>
    <xdr:sp macro="" textlink="">
      <xdr:nvSpPr>
        <xdr:cNvPr id="90066" name="Line 512">
          <a:extLst>
            <a:ext uri="{FF2B5EF4-FFF2-40B4-BE49-F238E27FC236}">
              <a16:creationId xmlns:a16="http://schemas.microsoft.com/office/drawing/2014/main" id="{B8E90F79-5528-CE89-8691-66C1946EE281}"/>
            </a:ext>
          </a:extLst>
        </xdr:cNvPr>
        <xdr:cNvSpPr>
          <a:spLocks noChangeShapeType="1"/>
        </xdr:cNvSpPr>
      </xdr:nvSpPr>
      <xdr:spPr bwMode="auto">
        <a:xfrm flipH="1">
          <a:off x="424543" y="75691093"/>
          <a:ext cx="2639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435429</xdr:colOff>
      <xdr:row>412</xdr:row>
      <xdr:rowOff>73479</xdr:rowOff>
    </xdr:from>
    <xdr:to>
      <xdr:col>1</xdr:col>
      <xdr:colOff>29936</xdr:colOff>
      <xdr:row>412</xdr:row>
      <xdr:rowOff>73479</xdr:rowOff>
    </xdr:to>
    <xdr:sp macro="" textlink="">
      <xdr:nvSpPr>
        <xdr:cNvPr id="90067" name="Line 513">
          <a:extLst>
            <a:ext uri="{FF2B5EF4-FFF2-40B4-BE49-F238E27FC236}">
              <a16:creationId xmlns:a16="http://schemas.microsoft.com/office/drawing/2014/main" id="{3467F42E-7B91-D139-B370-1F4803AE579B}"/>
            </a:ext>
          </a:extLst>
        </xdr:cNvPr>
        <xdr:cNvSpPr>
          <a:spLocks noChangeShapeType="1"/>
        </xdr:cNvSpPr>
      </xdr:nvSpPr>
      <xdr:spPr bwMode="auto">
        <a:xfrm>
          <a:off x="435429" y="75661157"/>
          <a:ext cx="2422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394</xdr:row>
      <xdr:rowOff>130629</xdr:rowOff>
    </xdr:from>
    <xdr:to>
      <xdr:col>1</xdr:col>
      <xdr:colOff>19050</xdr:colOff>
      <xdr:row>396</xdr:row>
      <xdr:rowOff>65314</xdr:rowOff>
    </xdr:to>
    <xdr:sp macro="" textlink="">
      <xdr:nvSpPr>
        <xdr:cNvPr id="90068" name="Line 514">
          <a:extLst>
            <a:ext uri="{FF2B5EF4-FFF2-40B4-BE49-F238E27FC236}">
              <a16:creationId xmlns:a16="http://schemas.microsoft.com/office/drawing/2014/main" id="{51182EAB-8F3F-103E-359A-76CCBB2B45CE}"/>
            </a:ext>
          </a:extLst>
        </xdr:cNvPr>
        <xdr:cNvSpPr>
          <a:spLocks noChangeShapeType="1"/>
        </xdr:cNvSpPr>
      </xdr:nvSpPr>
      <xdr:spPr bwMode="auto">
        <a:xfrm flipV="1">
          <a:off x="666750" y="72534236"/>
          <a:ext cx="0" cy="2884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394</xdr:row>
      <xdr:rowOff>149679</xdr:rowOff>
    </xdr:from>
    <xdr:to>
      <xdr:col>0</xdr:col>
      <xdr:colOff>446314</xdr:colOff>
      <xdr:row>396</xdr:row>
      <xdr:rowOff>57150</xdr:rowOff>
    </xdr:to>
    <xdr:sp macro="" textlink="">
      <xdr:nvSpPr>
        <xdr:cNvPr id="90069" name="Line 515">
          <a:extLst>
            <a:ext uri="{FF2B5EF4-FFF2-40B4-BE49-F238E27FC236}">
              <a16:creationId xmlns:a16="http://schemas.microsoft.com/office/drawing/2014/main" id="{6CBABB43-345B-A5C0-B37B-C685532F2EFE}"/>
            </a:ext>
          </a:extLst>
        </xdr:cNvPr>
        <xdr:cNvSpPr>
          <a:spLocks noChangeShapeType="1"/>
        </xdr:cNvSpPr>
      </xdr:nvSpPr>
      <xdr:spPr bwMode="auto">
        <a:xfrm>
          <a:off x="446314" y="72553286"/>
          <a:ext cx="0" cy="26125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413657</xdr:colOff>
      <xdr:row>389</xdr:row>
      <xdr:rowOff>27214</xdr:rowOff>
    </xdr:from>
    <xdr:to>
      <xdr:col>0</xdr:col>
      <xdr:colOff>413657</xdr:colOff>
      <xdr:row>394</xdr:row>
      <xdr:rowOff>130629</xdr:rowOff>
    </xdr:to>
    <xdr:sp macro="" textlink="">
      <xdr:nvSpPr>
        <xdr:cNvPr id="90070" name="Line 516">
          <a:extLst>
            <a:ext uri="{FF2B5EF4-FFF2-40B4-BE49-F238E27FC236}">
              <a16:creationId xmlns:a16="http://schemas.microsoft.com/office/drawing/2014/main" id="{F3018C41-ADC2-F311-9FBF-A1DB4BD471C6}"/>
            </a:ext>
          </a:extLst>
        </xdr:cNvPr>
        <xdr:cNvSpPr>
          <a:spLocks noChangeShapeType="1"/>
        </xdr:cNvSpPr>
      </xdr:nvSpPr>
      <xdr:spPr bwMode="auto">
        <a:xfrm>
          <a:off x="413657" y="71546357"/>
          <a:ext cx="0" cy="9878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389</xdr:row>
      <xdr:rowOff>103414</xdr:rowOff>
    </xdr:from>
    <xdr:to>
      <xdr:col>0</xdr:col>
      <xdr:colOff>639536</xdr:colOff>
      <xdr:row>389</xdr:row>
      <xdr:rowOff>103414</xdr:rowOff>
    </xdr:to>
    <xdr:sp macro="" textlink="">
      <xdr:nvSpPr>
        <xdr:cNvPr id="90071" name="Freeform 517">
          <a:extLst>
            <a:ext uri="{FF2B5EF4-FFF2-40B4-BE49-F238E27FC236}">
              <a16:creationId xmlns:a16="http://schemas.microsoft.com/office/drawing/2014/main" id="{1829C9C0-CFC0-2DBF-01D2-ACEAE8926AF6}"/>
            </a:ext>
          </a:extLst>
        </xdr:cNvPr>
        <xdr:cNvSpPr>
          <a:spLocks/>
        </xdr:cNvSpPr>
      </xdr:nvSpPr>
      <xdr:spPr bwMode="auto">
        <a:xfrm>
          <a:off x="628650" y="71622557"/>
          <a:ext cx="10886" cy="0"/>
        </a:xfrm>
        <a:custGeom>
          <a:avLst/>
          <a:gdLst>
            <a:gd name="T0" fmla="*/ 0 w 3"/>
            <a:gd name="T1" fmla="*/ 0 h 3"/>
            <a:gd name="T2" fmla="*/ 0 w 3"/>
            <a:gd name="T3" fmla="*/ 0 h 3"/>
            <a:gd name="T4" fmla="*/ 3629 w 3"/>
            <a:gd name="T5" fmla="*/ 0 h 3"/>
            <a:gd name="T6" fmla="*/ 7257 w 3"/>
            <a:gd name="T7" fmla="*/ 1 h 3"/>
            <a:gd name="T8" fmla="*/ 0 60000 65536"/>
            <a:gd name="T9" fmla="*/ 0 60000 65536"/>
            <a:gd name="T10" fmla="*/ 0 60000 65536"/>
            <a:gd name="T11" fmla="*/ 0 60000 65536"/>
            <a:gd name="T12" fmla="*/ 0 w 3"/>
            <a:gd name="T13" fmla="*/ 0 h 3"/>
            <a:gd name="T14" fmla="*/ 3 w 3"/>
            <a:gd name="T15" fmla="*/ 0 h 3"/>
          </a:gdLst>
          <a:ahLst/>
          <a:cxnLst>
            <a:cxn ang="T8">
              <a:pos x="T0" y="T1"/>
            </a:cxn>
            <a:cxn ang="T9">
              <a:pos x="T2" y="T3"/>
            </a:cxn>
            <a:cxn ang="T10">
              <a:pos x="T4" y="T5"/>
            </a:cxn>
            <a:cxn ang="T11">
              <a:pos x="T6" y="T7"/>
            </a:cxn>
          </a:cxnLst>
          <a:rect l="T12" t="T13" r="T14" b="T15"/>
          <a:pathLst>
            <a:path w="3" h="3">
              <a:moveTo>
                <a:pt x="0" y="0"/>
              </a:moveTo>
              <a:lnTo>
                <a:pt x="0" y="1"/>
              </a:lnTo>
              <a:lnTo>
                <a:pt x="1" y="1"/>
              </a:lnTo>
              <a:lnTo>
                <a:pt x="2" y="2"/>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476250</xdr:colOff>
      <xdr:row>389</xdr:row>
      <xdr:rowOff>103414</xdr:rowOff>
    </xdr:from>
    <xdr:to>
      <xdr:col>0</xdr:col>
      <xdr:colOff>487136</xdr:colOff>
      <xdr:row>389</xdr:row>
      <xdr:rowOff>103414</xdr:rowOff>
    </xdr:to>
    <xdr:sp macro="" textlink="">
      <xdr:nvSpPr>
        <xdr:cNvPr id="90072" name="Freeform 518">
          <a:extLst>
            <a:ext uri="{FF2B5EF4-FFF2-40B4-BE49-F238E27FC236}">
              <a16:creationId xmlns:a16="http://schemas.microsoft.com/office/drawing/2014/main" id="{E26CDB92-463F-1F3B-83B7-06EE43BEA561}"/>
            </a:ext>
          </a:extLst>
        </xdr:cNvPr>
        <xdr:cNvSpPr>
          <a:spLocks/>
        </xdr:cNvSpPr>
      </xdr:nvSpPr>
      <xdr:spPr bwMode="auto">
        <a:xfrm>
          <a:off x="476250" y="71622557"/>
          <a:ext cx="10886" cy="0"/>
        </a:xfrm>
        <a:custGeom>
          <a:avLst/>
          <a:gdLst>
            <a:gd name="T0" fmla="*/ 0 w 4"/>
            <a:gd name="T1" fmla="*/ 1 h 3"/>
            <a:gd name="T2" fmla="*/ 0 w 4"/>
            <a:gd name="T3" fmla="*/ 1 h 3"/>
            <a:gd name="T4" fmla="*/ 2722 w 4"/>
            <a:gd name="T5" fmla="*/ 0 h 3"/>
            <a:gd name="T6" fmla="*/ 8165 w 4"/>
            <a:gd name="T7" fmla="*/ 0 h 3"/>
            <a:gd name="T8" fmla="*/ 8165 w 4"/>
            <a:gd name="T9" fmla="*/ 0 h 3"/>
            <a:gd name="T10" fmla="*/ 0 60000 65536"/>
            <a:gd name="T11" fmla="*/ 0 60000 65536"/>
            <a:gd name="T12" fmla="*/ 0 60000 65536"/>
            <a:gd name="T13" fmla="*/ 0 60000 65536"/>
            <a:gd name="T14" fmla="*/ 0 60000 65536"/>
            <a:gd name="T15" fmla="*/ 0 w 4"/>
            <a:gd name="T16" fmla="*/ 0 h 3"/>
            <a:gd name="T17" fmla="*/ 4 w 4"/>
            <a:gd name="T18" fmla="*/ 0 h 3"/>
          </a:gdLst>
          <a:ahLst/>
          <a:cxnLst>
            <a:cxn ang="T10">
              <a:pos x="T0" y="T1"/>
            </a:cxn>
            <a:cxn ang="T11">
              <a:pos x="T2" y="T3"/>
            </a:cxn>
            <a:cxn ang="T12">
              <a:pos x="T4" y="T5"/>
            </a:cxn>
            <a:cxn ang="T13">
              <a:pos x="T6" y="T7"/>
            </a:cxn>
            <a:cxn ang="T14">
              <a:pos x="T8" y="T9"/>
            </a:cxn>
          </a:cxnLst>
          <a:rect l="T15" t="T16" r="T17" b="T18"/>
          <a:pathLst>
            <a:path w="4" h="3">
              <a:moveTo>
                <a:pt x="0" y="2"/>
              </a:moveTo>
              <a:lnTo>
                <a:pt x="0" y="2"/>
              </a:lnTo>
              <a:lnTo>
                <a:pt x="1" y="1"/>
              </a:lnTo>
              <a:lnTo>
                <a:pt x="3" y="1"/>
              </a:lnTo>
              <a:lnTo>
                <a:pt x="3" y="0"/>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628650</xdr:colOff>
      <xdr:row>388</xdr:row>
      <xdr:rowOff>130629</xdr:rowOff>
    </xdr:from>
    <xdr:to>
      <xdr:col>1</xdr:col>
      <xdr:colOff>0</xdr:colOff>
      <xdr:row>388</xdr:row>
      <xdr:rowOff>138793</xdr:rowOff>
    </xdr:to>
    <xdr:sp macro="" textlink="">
      <xdr:nvSpPr>
        <xdr:cNvPr id="90073" name="Freeform 519">
          <a:extLst>
            <a:ext uri="{FF2B5EF4-FFF2-40B4-BE49-F238E27FC236}">
              <a16:creationId xmlns:a16="http://schemas.microsoft.com/office/drawing/2014/main" id="{C6D41411-9076-9C62-BD1F-E631F2EDED45}"/>
            </a:ext>
          </a:extLst>
        </xdr:cNvPr>
        <xdr:cNvSpPr>
          <a:spLocks/>
        </xdr:cNvSpPr>
      </xdr:nvSpPr>
      <xdr:spPr bwMode="auto">
        <a:xfrm>
          <a:off x="628650" y="71472879"/>
          <a:ext cx="19050" cy="8164"/>
        </a:xfrm>
        <a:custGeom>
          <a:avLst/>
          <a:gdLst>
            <a:gd name="T0" fmla="*/ 17145 w 10"/>
            <a:gd name="T1" fmla="*/ 0 h 5"/>
            <a:gd name="T2" fmla="*/ 11430 w 10"/>
            <a:gd name="T3" fmla="*/ 0 h 5"/>
            <a:gd name="T4" fmla="*/ 9525 w 10"/>
            <a:gd name="T5" fmla="*/ 1633 h 5"/>
            <a:gd name="T6" fmla="*/ 3810 w 10"/>
            <a:gd name="T7" fmla="*/ 3266 h 5"/>
            <a:gd name="T8" fmla="*/ 1905 w 10"/>
            <a:gd name="T9" fmla="*/ 3266 h 5"/>
            <a:gd name="T10" fmla="*/ 0 w 10"/>
            <a:gd name="T11" fmla="*/ 6531 h 5"/>
            <a:gd name="T12" fmla="*/ 0 60000 65536"/>
            <a:gd name="T13" fmla="*/ 0 60000 65536"/>
            <a:gd name="T14" fmla="*/ 0 60000 65536"/>
            <a:gd name="T15" fmla="*/ 0 60000 65536"/>
            <a:gd name="T16" fmla="*/ 0 60000 65536"/>
            <a:gd name="T17" fmla="*/ 0 60000 65536"/>
            <a:gd name="T18" fmla="*/ 0 w 10"/>
            <a:gd name="T19" fmla="*/ 0 h 5"/>
            <a:gd name="T20" fmla="*/ 10 w 10"/>
            <a:gd name="T21" fmla="*/ 5 h 5"/>
          </a:gdLst>
          <a:ahLst/>
          <a:cxnLst>
            <a:cxn ang="T12">
              <a:pos x="T0" y="T1"/>
            </a:cxn>
            <a:cxn ang="T13">
              <a:pos x="T2" y="T3"/>
            </a:cxn>
            <a:cxn ang="T14">
              <a:pos x="T4" y="T5"/>
            </a:cxn>
            <a:cxn ang="T15">
              <a:pos x="T6" y="T7"/>
            </a:cxn>
            <a:cxn ang="T16">
              <a:pos x="T8" y="T9"/>
            </a:cxn>
            <a:cxn ang="T17">
              <a:pos x="T10" y="T11"/>
            </a:cxn>
          </a:cxnLst>
          <a:rect l="T18" t="T19" r="T20" b="T21"/>
          <a:pathLst>
            <a:path w="10" h="5">
              <a:moveTo>
                <a:pt x="9" y="0"/>
              </a:moveTo>
              <a:lnTo>
                <a:pt x="6" y="0"/>
              </a:lnTo>
              <a:lnTo>
                <a:pt x="5" y="1"/>
              </a:lnTo>
              <a:lnTo>
                <a:pt x="2" y="2"/>
              </a:lnTo>
              <a:lnTo>
                <a:pt x="1" y="2"/>
              </a:lnTo>
              <a:lnTo>
                <a:pt x="0" y="4"/>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628650</xdr:colOff>
      <xdr:row>388</xdr:row>
      <xdr:rowOff>138793</xdr:rowOff>
    </xdr:from>
    <xdr:to>
      <xdr:col>0</xdr:col>
      <xdr:colOff>628650</xdr:colOff>
      <xdr:row>388</xdr:row>
      <xdr:rowOff>146957</xdr:rowOff>
    </xdr:to>
    <xdr:sp macro="" textlink="">
      <xdr:nvSpPr>
        <xdr:cNvPr id="90074" name="Freeform 520">
          <a:extLst>
            <a:ext uri="{FF2B5EF4-FFF2-40B4-BE49-F238E27FC236}">
              <a16:creationId xmlns:a16="http://schemas.microsoft.com/office/drawing/2014/main" id="{BB0E87E1-3707-847F-2000-455B437498A5}"/>
            </a:ext>
          </a:extLst>
        </xdr:cNvPr>
        <xdr:cNvSpPr>
          <a:spLocks/>
        </xdr:cNvSpPr>
      </xdr:nvSpPr>
      <xdr:spPr bwMode="auto">
        <a:xfrm>
          <a:off x="628650" y="71481043"/>
          <a:ext cx="0" cy="8164"/>
        </a:xfrm>
        <a:custGeom>
          <a:avLst/>
          <a:gdLst>
            <a:gd name="T0" fmla="*/ 1 w 2"/>
            <a:gd name="T1" fmla="*/ 0 h 4"/>
            <a:gd name="T2" fmla="*/ 0 w 2"/>
            <a:gd name="T3" fmla="*/ 4082 h 4"/>
            <a:gd name="T4" fmla="*/ 0 w 2"/>
            <a:gd name="T5" fmla="*/ 6123 h 4"/>
            <a:gd name="T6" fmla="*/ 0 60000 65536"/>
            <a:gd name="T7" fmla="*/ 0 60000 65536"/>
            <a:gd name="T8" fmla="*/ 0 60000 65536"/>
            <a:gd name="T9" fmla="*/ 0 w 2"/>
            <a:gd name="T10" fmla="*/ 0 h 4"/>
            <a:gd name="T11" fmla="*/ 0 w 2"/>
            <a:gd name="T12" fmla="*/ 4 h 4"/>
          </a:gdLst>
          <a:ahLst/>
          <a:cxnLst>
            <a:cxn ang="T6">
              <a:pos x="T0" y="T1"/>
            </a:cxn>
            <a:cxn ang="T7">
              <a:pos x="T2" y="T3"/>
            </a:cxn>
            <a:cxn ang="T8">
              <a:pos x="T4" y="T5"/>
            </a:cxn>
          </a:cxnLst>
          <a:rect l="T9" t="T10" r="T11" b="T12"/>
          <a:pathLst>
            <a:path w="2" h="4">
              <a:moveTo>
                <a:pt x="1" y="0"/>
              </a:moveTo>
              <a:lnTo>
                <a:pt x="0" y="2"/>
              </a:lnTo>
              <a:lnTo>
                <a:pt x="0" y="3"/>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628650</xdr:colOff>
      <xdr:row>394</xdr:row>
      <xdr:rowOff>8164</xdr:rowOff>
    </xdr:from>
    <xdr:to>
      <xdr:col>1</xdr:col>
      <xdr:colOff>10886</xdr:colOff>
      <xdr:row>394</xdr:row>
      <xdr:rowOff>19050</xdr:rowOff>
    </xdr:to>
    <xdr:sp macro="" textlink="">
      <xdr:nvSpPr>
        <xdr:cNvPr id="90075" name="Freeform 521">
          <a:extLst>
            <a:ext uri="{FF2B5EF4-FFF2-40B4-BE49-F238E27FC236}">
              <a16:creationId xmlns:a16="http://schemas.microsoft.com/office/drawing/2014/main" id="{F3516D09-2B9B-74AF-C99F-A513B183EC44}"/>
            </a:ext>
          </a:extLst>
        </xdr:cNvPr>
        <xdr:cNvSpPr>
          <a:spLocks/>
        </xdr:cNvSpPr>
      </xdr:nvSpPr>
      <xdr:spPr bwMode="auto">
        <a:xfrm>
          <a:off x="628650" y="72411771"/>
          <a:ext cx="29936" cy="10886"/>
        </a:xfrm>
        <a:custGeom>
          <a:avLst/>
          <a:gdLst>
            <a:gd name="T0" fmla="*/ 28360 w 19"/>
            <a:gd name="T1" fmla="*/ 0 h 9"/>
            <a:gd name="T2" fmla="*/ 22058 w 19"/>
            <a:gd name="T3" fmla="*/ 0 h 9"/>
            <a:gd name="T4" fmla="*/ 14180 w 19"/>
            <a:gd name="T5" fmla="*/ 1210 h 9"/>
            <a:gd name="T6" fmla="*/ 7878 w 19"/>
            <a:gd name="T7" fmla="*/ 3629 h 9"/>
            <a:gd name="T8" fmla="*/ 4727 w 19"/>
            <a:gd name="T9" fmla="*/ 7257 h 9"/>
            <a:gd name="T10" fmla="*/ 0 w 19"/>
            <a:gd name="T11" fmla="*/ 9676 h 9"/>
            <a:gd name="T12" fmla="*/ 0 60000 65536"/>
            <a:gd name="T13" fmla="*/ 0 60000 65536"/>
            <a:gd name="T14" fmla="*/ 0 60000 65536"/>
            <a:gd name="T15" fmla="*/ 0 60000 65536"/>
            <a:gd name="T16" fmla="*/ 0 60000 65536"/>
            <a:gd name="T17" fmla="*/ 0 60000 65536"/>
            <a:gd name="T18" fmla="*/ 0 w 19"/>
            <a:gd name="T19" fmla="*/ 0 h 9"/>
            <a:gd name="T20" fmla="*/ 19 w 19"/>
            <a:gd name="T21" fmla="*/ 9 h 9"/>
          </a:gdLst>
          <a:ahLst/>
          <a:cxnLst>
            <a:cxn ang="T12">
              <a:pos x="T0" y="T1"/>
            </a:cxn>
            <a:cxn ang="T13">
              <a:pos x="T2" y="T3"/>
            </a:cxn>
            <a:cxn ang="T14">
              <a:pos x="T4" y="T5"/>
            </a:cxn>
            <a:cxn ang="T15">
              <a:pos x="T6" y="T7"/>
            </a:cxn>
            <a:cxn ang="T16">
              <a:pos x="T8" y="T9"/>
            </a:cxn>
            <a:cxn ang="T17">
              <a:pos x="T10" y="T11"/>
            </a:cxn>
          </a:cxnLst>
          <a:rect l="T18" t="T19" r="T20" b="T21"/>
          <a:pathLst>
            <a:path w="19" h="9">
              <a:moveTo>
                <a:pt x="18" y="0"/>
              </a:moveTo>
              <a:lnTo>
                <a:pt x="14" y="0"/>
              </a:lnTo>
              <a:lnTo>
                <a:pt x="9" y="1"/>
              </a:lnTo>
              <a:lnTo>
                <a:pt x="5" y="3"/>
              </a:lnTo>
              <a:lnTo>
                <a:pt x="3" y="6"/>
              </a:lnTo>
              <a:lnTo>
                <a:pt x="0" y="8"/>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628650</xdr:colOff>
      <xdr:row>394</xdr:row>
      <xdr:rowOff>19050</xdr:rowOff>
    </xdr:from>
    <xdr:to>
      <xdr:col>0</xdr:col>
      <xdr:colOff>639536</xdr:colOff>
      <xdr:row>394</xdr:row>
      <xdr:rowOff>38100</xdr:rowOff>
    </xdr:to>
    <xdr:sp macro="" textlink="">
      <xdr:nvSpPr>
        <xdr:cNvPr id="90076" name="Freeform 522">
          <a:extLst>
            <a:ext uri="{FF2B5EF4-FFF2-40B4-BE49-F238E27FC236}">
              <a16:creationId xmlns:a16="http://schemas.microsoft.com/office/drawing/2014/main" id="{C655EF89-FC7F-657E-0581-657873A246C3}"/>
            </a:ext>
          </a:extLst>
        </xdr:cNvPr>
        <xdr:cNvSpPr>
          <a:spLocks/>
        </xdr:cNvSpPr>
      </xdr:nvSpPr>
      <xdr:spPr bwMode="auto">
        <a:xfrm>
          <a:off x="628650" y="72422657"/>
          <a:ext cx="10886" cy="19050"/>
        </a:xfrm>
        <a:custGeom>
          <a:avLst/>
          <a:gdLst>
            <a:gd name="T0" fmla="*/ 7257 w 3"/>
            <a:gd name="T1" fmla="*/ 0 h 8"/>
            <a:gd name="T2" fmla="*/ 3629 w 3"/>
            <a:gd name="T3" fmla="*/ 7144 h 8"/>
            <a:gd name="T4" fmla="*/ 0 w 3"/>
            <a:gd name="T5" fmla="*/ 16669 h 8"/>
            <a:gd name="T6" fmla="*/ 0 60000 65536"/>
            <a:gd name="T7" fmla="*/ 0 60000 65536"/>
            <a:gd name="T8" fmla="*/ 0 60000 65536"/>
            <a:gd name="T9" fmla="*/ 0 w 3"/>
            <a:gd name="T10" fmla="*/ 0 h 8"/>
            <a:gd name="T11" fmla="*/ 3 w 3"/>
            <a:gd name="T12" fmla="*/ 8 h 8"/>
          </a:gdLst>
          <a:ahLst/>
          <a:cxnLst>
            <a:cxn ang="T6">
              <a:pos x="T0" y="T1"/>
            </a:cxn>
            <a:cxn ang="T7">
              <a:pos x="T2" y="T3"/>
            </a:cxn>
            <a:cxn ang="T8">
              <a:pos x="T4" y="T5"/>
            </a:cxn>
          </a:cxnLst>
          <a:rect l="T9" t="T10" r="T11" b="T12"/>
          <a:pathLst>
            <a:path w="3" h="8">
              <a:moveTo>
                <a:pt x="2" y="0"/>
              </a:moveTo>
              <a:lnTo>
                <a:pt x="1" y="3"/>
              </a:lnTo>
              <a:lnTo>
                <a:pt x="0" y="7"/>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476250</xdr:colOff>
      <xdr:row>388</xdr:row>
      <xdr:rowOff>130629</xdr:rowOff>
    </xdr:from>
    <xdr:to>
      <xdr:col>0</xdr:col>
      <xdr:colOff>487136</xdr:colOff>
      <xdr:row>388</xdr:row>
      <xdr:rowOff>149679</xdr:rowOff>
    </xdr:to>
    <xdr:sp macro="" textlink="">
      <xdr:nvSpPr>
        <xdr:cNvPr id="90077" name="Freeform 523">
          <a:extLst>
            <a:ext uri="{FF2B5EF4-FFF2-40B4-BE49-F238E27FC236}">
              <a16:creationId xmlns:a16="http://schemas.microsoft.com/office/drawing/2014/main" id="{A753C4A3-4F70-58CC-9458-B8463C50CB46}"/>
            </a:ext>
          </a:extLst>
        </xdr:cNvPr>
        <xdr:cNvSpPr>
          <a:spLocks/>
        </xdr:cNvSpPr>
      </xdr:nvSpPr>
      <xdr:spPr bwMode="auto">
        <a:xfrm>
          <a:off x="476250" y="71472879"/>
          <a:ext cx="10886" cy="19050"/>
        </a:xfrm>
        <a:custGeom>
          <a:avLst/>
          <a:gdLst>
            <a:gd name="T0" fmla="*/ 9331 w 7"/>
            <a:gd name="T1" fmla="*/ 16329 h 7"/>
            <a:gd name="T2" fmla="*/ 9331 w 7"/>
            <a:gd name="T3" fmla="*/ 13607 h 7"/>
            <a:gd name="T4" fmla="*/ 6221 w 7"/>
            <a:gd name="T5" fmla="*/ 8164 h 7"/>
            <a:gd name="T6" fmla="*/ 4665 w 7"/>
            <a:gd name="T7" fmla="*/ 2721 h 7"/>
            <a:gd name="T8" fmla="*/ 1555 w 7"/>
            <a:gd name="T9" fmla="*/ 2721 h 7"/>
            <a:gd name="T10" fmla="*/ 0 w 7"/>
            <a:gd name="T11" fmla="*/ 0 h 7"/>
            <a:gd name="T12" fmla="*/ 0 60000 65536"/>
            <a:gd name="T13" fmla="*/ 0 60000 65536"/>
            <a:gd name="T14" fmla="*/ 0 60000 65536"/>
            <a:gd name="T15" fmla="*/ 0 60000 65536"/>
            <a:gd name="T16" fmla="*/ 0 60000 65536"/>
            <a:gd name="T17" fmla="*/ 0 60000 65536"/>
            <a:gd name="T18" fmla="*/ 0 w 7"/>
            <a:gd name="T19" fmla="*/ 0 h 7"/>
            <a:gd name="T20" fmla="*/ 7 w 7"/>
            <a:gd name="T21" fmla="*/ 7 h 7"/>
          </a:gdLst>
          <a:ahLst/>
          <a:cxnLst>
            <a:cxn ang="T12">
              <a:pos x="T0" y="T1"/>
            </a:cxn>
            <a:cxn ang="T13">
              <a:pos x="T2" y="T3"/>
            </a:cxn>
            <a:cxn ang="T14">
              <a:pos x="T4" y="T5"/>
            </a:cxn>
            <a:cxn ang="T15">
              <a:pos x="T6" y="T7"/>
            </a:cxn>
            <a:cxn ang="T16">
              <a:pos x="T8" y="T9"/>
            </a:cxn>
            <a:cxn ang="T17">
              <a:pos x="T10" y="T11"/>
            </a:cxn>
          </a:cxnLst>
          <a:rect l="T18" t="T19" r="T20" b="T21"/>
          <a:pathLst>
            <a:path w="7" h="7">
              <a:moveTo>
                <a:pt x="6" y="6"/>
              </a:moveTo>
              <a:lnTo>
                <a:pt x="6" y="5"/>
              </a:lnTo>
              <a:lnTo>
                <a:pt x="4" y="3"/>
              </a:lnTo>
              <a:lnTo>
                <a:pt x="3" y="1"/>
              </a:lnTo>
              <a:lnTo>
                <a:pt x="1" y="1"/>
              </a:lnTo>
              <a:lnTo>
                <a:pt x="0" y="0"/>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465364</xdr:colOff>
      <xdr:row>388</xdr:row>
      <xdr:rowOff>130629</xdr:rowOff>
    </xdr:from>
    <xdr:to>
      <xdr:col>0</xdr:col>
      <xdr:colOff>476250</xdr:colOff>
      <xdr:row>388</xdr:row>
      <xdr:rowOff>138793</xdr:rowOff>
    </xdr:to>
    <xdr:sp macro="" textlink="">
      <xdr:nvSpPr>
        <xdr:cNvPr id="90078" name="Freeform 524">
          <a:extLst>
            <a:ext uri="{FF2B5EF4-FFF2-40B4-BE49-F238E27FC236}">
              <a16:creationId xmlns:a16="http://schemas.microsoft.com/office/drawing/2014/main" id="{D8B847F5-F40E-EA09-FB6E-F80A36714EA9}"/>
            </a:ext>
          </a:extLst>
        </xdr:cNvPr>
        <xdr:cNvSpPr>
          <a:spLocks/>
        </xdr:cNvSpPr>
      </xdr:nvSpPr>
      <xdr:spPr bwMode="auto">
        <a:xfrm>
          <a:off x="465364" y="71472879"/>
          <a:ext cx="10886" cy="8164"/>
        </a:xfrm>
        <a:custGeom>
          <a:avLst/>
          <a:gdLst>
            <a:gd name="T0" fmla="*/ 9072 w 6"/>
            <a:gd name="T1" fmla="*/ 4082 h 2"/>
            <a:gd name="T2" fmla="*/ 3629 w 6"/>
            <a:gd name="T3" fmla="*/ 0 h 2"/>
            <a:gd name="T4" fmla="*/ 0 w 6"/>
            <a:gd name="T5" fmla="*/ 0 h 2"/>
            <a:gd name="T6" fmla="*/ 0 60000 65536"/>
            <a:gd name="T7" fmla="*/ 0 60000 65536"/>
            <a:gd name="T8" fmla="*/ 0 60000 65536"/>
            <a:gd name="T9" fmla="*/ 0 w 6"/>
            <a:gd name="T10" fmla="*/ 0 h 2"/>
            <a:gd name="T11" fmla="*/ 6 w 6"/>
            <a:gd name="T12" fmla="*/ 2 h 2"/>
          </a:gdLst>
          <a:ahLst/>
          <a:cxnLst>
            <a:cxn ang="T6">
              <a:pos x="T0" y="T1"/>
            </a:cxn>
            <a:cxn ang="T7">
              <a:pos x="T2" y="T3"/>
            </a:cxn>
            <a:cxn ang="T8">
              <a:pos x="T4" y="T5"/>
            </a:cxn>
          </a:cxnLst>
          <a:rect l="T9" t="T10" r="T11" b="T12"/>
          <a:pathLst>
            <a:path w="6" h="2">
              <a:moveTo>
                <a:pt x="5" y="1"/>
              </a:moveTo>
              <a:lnTo>
                <a:pt x="2" y="0"/>
              </a:lnTo>
              <a:lnTo>
                <a:pt x="0" y="0"/>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465364</xdr:colOff>
      <xdr:row>394</xdr:row>
      <xdr:rowOff>8164</xdr:rowOff>
    </xdr:from>
    <xdr:to>
      <xdr:col>0</xdr:col>
      <xdr:colOff>484414</xdr:colOff>
      <xdr:row>394</xdr:row>
      <xdr:rowOff>35379</xdr:rowOff>
    </xdr:to>
    <xdr:sp macro="" textlink="">
      <xdr:nvSpPr>
        <xdr:cNvPr id="90079" name="Freeform 525">
          <a:extLst>
            <a:ext uri="{FF2B5EF4-FFF2-40B4-BE49-F238E27FC236}">
              <a16:creationId xmlns:a16="http://schemas.microsoft.com/office/drawing/2014/main" id="{6C2129C8-D69E-2BF4-60BB-0DA58A20303B}"/>
            </a:ext>
          </a:extLst>
        </xdr:cNvPr>
        <xdr:cNvSpPr>
          <a:spLocks/>
        </xdr:cNvSpPr>
      </xdr:nvSpPr>
      <xdr:spPr bwMode="auto">
        <a:xfrm>
          <a:off x="465364" y="72411771"/>
          <a:ext cx="19050" cy="27215"/>
        </a:xfrm>
        <a:custGeom>
          <a:avLst/>
          <a:gdLst>
            <a:gd name="T0" fmla="*/ 17585 w 13"/>
            <a:gd name="T1" fmla="*/ 25401 h 15"/>
            <a:gd name="T2" fmla="*/ 17585 w 13"/>
            <a:gd name="T3" fmla="*/ 18143 h 15"/>
            <a:gd name="T4" fmla="*/ 13188 w 13"/>
            <a:gd name="T5" fmla="*/ 12700 h 15"/>
            <a:gd name="T6" fmla="*/ 10258 w 13"/>
            <a:gd name="T7" fmla="*/ 9072 h 15"/>
            <a:gd name="T8" fmla="*/ 5862 w 13"/>
            <a:gd name="T9" fmla="*/ 3629 h 15"/>
            <a:gd name="T10" fmla="*/ 0 w 13"/>
            <a:gd name="T11" fmla="*/ 0 h 15"/>
            <a:gd name="T12" fmla="*/ 0 60000 65536"/>
            <a:gd name="T13" fmla="*/ 0 60000 65536"/>
            <a:gd name="T14" fmla="*/ 0 60000 65536"/>
            <a:gd name="T15" fmla="*/ 0 60000 65536"/>
            <a:gd name="T16" fmla="*/ 0 60000 65536"/>
            <a:gd name="T17" fmla="*/ 0 60000 65536"/>
            <a:gd name="T18" fmla="*/ 0 w 13"/>
            <a:gd name="T19" fmla="*/ 0 h 15"/>
            <a:gd name="T20" fmla="*/ 13 w 13"/>
            <a:gd name="T21" fmla="*/ 15 h 15"/>
          </a:gdLst>
          <a:ahLst/>
          <a:cxnLst>
            <a:cxn ang="T12">
              <a:pos x="T0" y="T1"/>
            </a:cxn>
            <a:cxn ang="T13">
              <a:pos x="T2" y="T3"/>
            </a:cxn>
            <a:cxn ang="T14">
              <a:pos x="T4" y="T5"/>
            </a:cxn>
            <a:cxn ang="T15">
              <a:pos x="T6" y="T7"/>
            </a:cxn>
            <a:cxn ang="T16">
              <a:pos x="T8" y="T9"/>
            </a:cxn>
            <a:cxn ang="T17">
              <a:pos x="T10" y="T11"/>
            </a:cxn>
          </a:cxnLst>
          <a:rect l="T18" t="T19" r="T20" b="T21"/>
          <a:pathLst>
            <a:path w="13" h="15">
              <a:moveTo>
                <a:pt x="12" y="14"/>
              </a:moveTo>
              <a:lnTo>
                <a:pt x="12" y="10"/>
              </a:lnTo>
              <a:lnTo>
                <a:pt x="9" y="7"/>
              </a:lnTo>
              <a:lnTo>
                <a:pt x="7" y="5"/>
              </a:lnTo>
              <a:lnTo>
                <a:pt x="4" y="2"/>
              </a:lnTo>
              <a:lnTo>
                <a:pt x="0" y="0"/>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454479</xdr:colOff>
      <xdr:row>394</xdr:row>
      <xdr:rowOff>8164</xdr:rowOff>
    </xdr:from>
    <xdr:to>
      <xdr:col>0</xdr:col>
      <xdr:colOff>465364</xdr:colOff>
      <xdr:row>394</xdr:row>
      <xdr:rowOff>8164</xdr:rowOff>
    </xdr:to>
    <xdr:sp macro="" textlink="">
      <xdr:nvSpPr>
        <xdr:cNvPr id="90080" name="Freeform 526">
          <a:extLst>
            <a:ext uri="{FF2B5EF4-FFF2-40B4-BE49-F238E27FC236}">
              <a16:creationId xmlns:a16="http://schemas.microsoft.com/office/drawing/2014/main" id="{7F0AE711-D85E-1ED8-6938-A788F21F5700}"/>
            </a:ext>
          </a:extLst>
        </xdr:cNvPr>
        <xdr:cNvSpPr>
          <a:spLocks/>
        </xdr:cNvSpPr>
      </xdr:nvSpPr>
      <xdr:spPr bwMode="auto">
        <a:xfrm>
          <a:off x="454479" y="72411771"/>
          <a:ext cx="10885" cy="0"/>
        </a:xfrm>
        <a:custGeom>
          <a:avLst/>
          <a:gdLst>
            <a:gd name="T0" fmla="*/ 9797 w 10"/>
            <a:gd name="T1" fmla="*/ 1 h 2"/>
            <a:gd name="T2" fmla="*/ 5443 w 10"/>
            <a:gd name="T3" fmla="*/ 0 h 2"/>
            <a:gd name="T4" fmla="*/ 0 w 10"/>
            <a:gd name="T5" fmla="*/ 0 h 2"/>
            <a:gd name="T6" fmla="*/ 0 60000 65536"/>
            <a:gd name="T7" fmla="*/ 0 60000 65536"/>
            <a:gd name="T8" fmla="*/ 0 60000 65536"/>
            <a:gd name="T9" fmla="*/ 0 w 10"/>
            <a:gd name="T10" fmla="*/ 0 h 2"/>
            <a:gd name="T11" fmla="*/ 10 w 10"/>
            <a:gd name="T12" fmla="*/ 0 h 2"/>
          </a:gdLst>
          <a:ahLst/>
          <a:cxnLst>
            <a:cxn ang="T6">
              <a:pos x="T0" y="T1"/>
            </a:cxn>
            <a:cxn ang="T7">
              <a:pos x="T2" y="T3"/>
            </a:cxn>
            <a:cxn ang="T8">
              <a:pos x="T4" y="T5"/>
            </a:cxn>
          </a:cxnLst>
          <a:rect l="T9" t="T10" r="T11" b="T12"/>
          <a:pathLst>
            <a:path w="10" h="2">
              <a:moveTo>
                <a:pt x="9" y="1"/>
              </a:moveTo>
              <a:lnTo>
                <a:pt x="5" y="0"/>
              </a:lnTo>
              <a:lnTo>
                <a:pt x="0" y="0"/>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465364</xdr:colOff>
      <xdr:row>405</xdr:row>
      <xdr:rowOff>84364</xdr:rowOff>
    </xdr:from>
    <xdr:to>
      <xdr:col>0</xdr:col>
      <xdr:colOff>476250</xdr:colOff>
      <xdr:row>405</xdr:row>
      <xdr:rowOff>92529</xdr:rowOff>
    </xdr:to>
    <xdr:sp macro="" textlink="">
      <xdr:nvSpPr>
        <xdr:cNvPr id="90081" name="Freeform 527">
          <a:extLst>
            <a:ext uri="{FF2B5EF4-FFF2-40B4-BE49-F238E27FC236}">
              <a16:creationId xmlns:a16="http://schemas.microsoft.com/office/drawing/2014/main" id="{21585BA2-A115-DAC7-3F8C-2177ABDE6756}"/>
            </a:ext>
          </a:extLst>
        </xdr:cNvPr>
        <xdr:cNvSpPr>
          <a:spLocks/>
        </xdr:cNvSpPr>
      </xdr:nvSpPr>
      <xdr:spPr bwMode="auto">
        <a:xfrm>
          <a:off x="465364" y="74433793"/>
          <a:ext cx="10886" cy="8164"/>
        </a:xfrm>
        <a:custGeom>
          <a:avLst/>
          <a:gdLst>
            <a:gd name="T0" fmla="*/ 9072 w 6"/>
            <a:gd name="T1" fmla="*/ 7144 h 8"/>
            <a:gd name="T2" fmla="*/ 9072 w 6"/>
            <a:gd name="T3" fmla="*/ 6123 h 8"/>
            <a:gd name="T4" fmla="*/ 9072 w 6"/>
            <a:gd name="T5" fmla="*/ 4082 h 8"/>
            <a:gd name="T6" fmla="*/ 5443 w 6"/>
            <a:gd name="T7" fmla="*/ 3062 h 8"/>
            <a:gd name="T8" fmla="*/ 3629 w 6"/>
            <a:gd name="T9" fmla="*/ 2041 h 8"/>
            <a:gd name="T10" fmla="*/ 0 w 6"/>
            <a:gd name="T11" fmla="*/ 0 h 8"/>
            <a:gd name="T12" fmla="*/ 0 60000 65536"/>
            <a:gd name="T13" fmla="*/ 0 60000 65536"/>
            <a:gd name="T14" fmla="*/ 0 60000 65536"/>
            <a:gd name="T15" fmla="*/ 0 60000 65536"/>
            <a:gd name="T16" fmla="*/ 0 60000 65536"/>
            <a:gd name="T17" fmla="*/ 0 60000 65536"/>
            <a:gd name="T18" fmla="*/ 0 w 6"/>
            <a:gd name="T19" fmla="*/ 0 h 8"/>
            <a:gd name="T20" fmla="*/ 6 w 6"/>
            <a:gd name="T21" fmla="*/ 8 h 8"/>
          </a:gdLst>
          <a:ahLst/>
          <a:cxnLst>
            <a:cxn ang="T12">
              <a:pos x="T0" y="T1"/>
            </a:cxn>
            <a:cxn ang="T13">
              <a:pos x="T2" y="T3"/>
            </a:cxn>
            <a:cxn ang="T14">
              <a:pos x="T4" y="T5"/>
            </a:cxn>
            <a:cxn ang="T15">
              <a:pos x="T6" y="T7"/>
            </a:cxn>
            <a:cxn ang="T16">
              <a:pos x="T8" y="T9"/>
            </a:cxn>
            <a:cxn ang="T17">
              <a:pos x="T10" y="T11"/>
            </a:cxn>
          </a:cxnLst>
          <a:rect l="T18" t="T19" r="T20" b="T21"/>
          <a:pathLst>
            <a:path w="6" h="8">
              <a:moveTo>
                <a:pt x="5" y="7"/>
              </a:moveTo>
              <a:lnTo>
                <a:pt x="5" y="6"/>
              </a:lnTo>
              <a:lnTo>
                <a:pt x="5" y="4"/>
              </a:lnTo>
              <a:lnTo>
                <a:pt x="3" y="3"/>
              </a:lnTo>
              <a:lnTo>
                <a:pt x="2" y="2"/>
              </a:lnTo>
              <a:lnTo>
                <a:pt x="0" y="0"/>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465364</xdr:colOff>
      <xdr:row>405</xdr:row>
      <xdr:rowOff>84364</xdr:rowOff>
    </xdr:from>
    <xdr:to>
      <xdr:col>0</xdr:col>
      <xdr:colOff>465364</xdr:colOff>
      <xdr:row>405</xdr:row>
      <xdr:rowOff>84364</xdr:rowOff>
    </xdr:to>
    <xdr:sp macro="" textlink="">
      <xdr:nvSpPr>
        <xdr:cNvPr id="90082" name="Freeform 528">
          <a:extLst>
            <a:ext uri="{FF2B5EF4-FFF2-40B4-BE49-F238E27FC236}">
              <a16:creationId xmlns:a16="http://schemas.microsoft.com/office/drawing/2014/main" id="{A111F0BE-D8AD-0BAE-F459-334FA1B349E5}"/>
            </a:ext>
          </a:extLst>
        </xdr:cNvPr>
        <xdr:cNvSpPr>
          <a:spLocks/>
        </xdr:cNvSpPr>
      </xdr:nvSpPr>
      <xdr:spPr bwMode="auto">
        <a:xfrm>
          <a:off x="465364" y="74433793"/>
          <a:ext cx="0" cy="0"/>
        </a:xfrm>
        <a:custGeom>
          <a:avLst/>
          <a:gdLst>
            <a:gd name="T0" fmla="*/ 1 w 5"/>
            <a:gd name="T1" fmla="*/ 0 h 1"/>
            <a:gd name="T2" fmla="*/ 0 w 5"/>
            <a:gd name="T3" fmla="*/ 0 h 1"/>
            <a:gd name="T4" fmla="*/ 0 w 5"/>
            <a:gd name="T5" fmla="*/ 0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4" y="0"/>
              </a:moveTo>
              <a:lnTo>
                <a:pt x="2" y="0"/>
              </a:lnTo>
              <a:lnTo>
                <a:pt x="0" y="0"/>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617764</xdr:colOff>
      <xdr:row>413</xdr:row>
      <xdr:rowOff>111579</xdr:rowOff>
    </xdr:from>
    <xdr:to>
      <xdr:col>1</xdr:col>
      <xdr:colOff>0</xdr:colOff>
      <xdr:row>413</xdr:row>
      <xdr:rowOff>130629</xdr:rowOff>
    </xdr:to>
    <xdr:sp macro="" textlink="">
      <xdr:nvSpPr>
        <xdr:cNvPr id="90083" name="Freeform 529">
          <a:extLst>
            <a:ext uri="{FF2B5EF4-FFF2-40B4-BE49-F238E27FC236}">
              <a16:creationId xmlns:a16="http://schemas.microsoft.com/office/drawing/2014/main" id="{56C3C08E-FA76-A185-C756-1062EBE30276}"/>
            </a:ext>
          </a:extLst>
        </xdr:cNvPr>
        <xdr:cNvSpPr>
          <a:spLocks/>
        </xdr:cNvSpPr>
      </xdr:nvSpPr>
      <xdr:spPr bwMode="auto">
        <a:xfrm>
          <a:off x="617764" y="75876150"/>
          <a:ext cx="29936" cy="19050"/>
        </a:xfrm>
        <a:custGeom>
          <a:avLst/>
          <a:gdLst>
            <a:gd name="T0" fmla="*/ 0 w 21"/>
            <a:gd name="T1" fmla="*/ 16933 h 9"/>
            <a:gd name="T2" fmla="*/ 7128 w 21"/>
            <a:gd name="T3" fmla="*/ 16933 h 9"/>
            <a:gd name="T4" fmla="*/ 15681 w 21"/>
            <a:gd name="T5" fmla="*/ 12700 h 9"/>
            <a:gd name="T6" fmla="*/ 19957 w 21"/>
            <a:gd name="T7" fmla="*/ 8467 h 9"/>
            <a:gd name="T8" fmla="*/ 24234 w 21"/>
            <a:gd name="T9" fmla="*/ 4233 h 9"/>
            <a:gd name="T10" fmla="*/ 28510 w 21"/>
            <a:gd name="T11" fmla="*/ 0 h 9"/>
            <a:gd name="T12" fmla="*/ 0 60000 65536"/>
            <a:gd name="T13" fmla="*/ 0 60000 65536"/>
            <a:gd name="T14" fmla="*/ 0 60000 65536"/>
            <a:gd name="T15" fmla="*/ 0 60000 65536"/>
            <a:gd name="T16" fmla="*/ 0 60000 65536"/>
            <a:gd name="T17" fmla="*/ 0 60000 65536"/>
            <a:gd name="T18" fmla="*/ 0 w 21"/>
            <a:gd name="T19" fmla="*/ 0 h 9"/>
            <a:gd name="T20" fmla="*/ 21 w 21"/>
            <a:gd name="T21" fmla="*/ 9 h 9"/>
          </a:gdLst>
          <a:ahLst/>
          <a:cxnLst>
            <a:cxn ang="T12">
              <a:pos x="T0" y="T1"/>
            </a:cxn>
            <a:cxn ang="T13">
              <a:pos x="T2" y="T3"/>
            </a:cxn>
            <a:cxn ang="T14">
              <a:pos x="T4" y="T5"/>
            </a:cxn>
            <a:cxn ang="T15">
              <a:pos x="T6" y="T7"/>
            </a:cxn>
            <a:cxn ang="T16">
              <a:pos x="T8" y="T9"/>
            </a:cxn>
            <a:cxn ang="T17">
              <a:pos x="T10" y="T11"/>
            </a:cxn>
          </a:cxnLst>
          <a:rect l="T18" t="T19" r="T20" b="T21"/>
          <a:pathLst>
            <a:path w="21" h="9">
              <a:moveTo>
                <a:pt x="0" y="8"/>
              </a:moveTo>
              <a:lnTo>
                <a:pt x="5" y="8"/>
              </a:lnTo>
              <a:lnTo>
                <a:pt x="11" y="6"/>
              </a:lnTo>
              <a:lnTo>
                <a:pt x="14" y="4"/>
              </a:lnTo>
              <a:lnTo>
                <a:pt x="17" y="2"/>
              </a:lnTo>
              <a:lnTo>
                <a:pt x="20" y="0"/>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413</xdr:row>
      <xdr:rowOff>103414</xdr:rowOff>
    </xdr:from>
    <xdr:to>
      <xdr:col>1</xdr:col>
      <xdr:colOff>0</xdr:colOff>
      <xdr:row>413</xdr:row>
      <xdr:rowOff>111579</xdr:rowOff>
    </xdr:to>
    <xdr:sp macro="" textlink="">
      <xdr:nvSpPr>
        <xdr:cNvPr id="90084" name="Freeform 530">
          <a:extLst>
            <a:ext uri="{FF2B5EF4-FFF2-40B4-BE49-F238E27FC236}">
              <a16:creationId xmlns:a16="http://schemas.microsoft.com/office/drawing/2014/main" id="{EDED1774-4F2A-69D1-C1DE-E20BEF090A18}"/>
            </a:ext>
          </a:extLst>
        </xdr:cNvPr>
        <xdr:cNvSpPr>
          <a:spLocks/>
        </xdr:cNvSpPr>
      </xdr:nvSpPr>
      <xdr:spPr bwMode="auto">
        <a:xfrm>
          <a:off x="647700" y="75867986"/>
          <a:ext cx="0" cy="8164"/>
        </a:xfrm>
        <a:custGeom>
          <a:avLst/>
          <a:gdLst>
            <a:gd name="T0" fmla="*/ 0 w 2"/>
            <a:gd name="T1" fmla="*/ 6998 h 7"/>
            <a:gd name="T2" fmla="*/ 1 w 2"/>
            <a:gd name="T3" fmla="*/ 3499 h 7"/>
            <a:gd name="T4" fmla="*/ 1 w 2"/>
            <a:gd name="T5" fmla="*/ 0 h 7"/>
            <a:gd name="T6" fmla="*/ 0 60000 65536"/>
            <a:gd name="T7" fmla="*/ 0 60000 65536"/>
            <a:gd name="T8" fmla="*/ 0 60000 65536"/>
            <a:gd name="T9" fmla="*/ 0 w 2"/>
            <a:gd name="T10" fmla="*/ 0 h 7"/>
            <a:gd name="T11" fmla="*/ 0 w 2"/>
            <a:gd name="T12" fmla="*/ 7 h 7"/>
          </a:gdLst>
          <a:ahLst/>
          <a:cxnLst>
            <a:cxn ang="T6">
              <a:pos x="T0" y="T1"/>
            </a:cxn>
            <a:cxn ang="T7">
              <a:pos x="T2" y="T3"/>
            </a:cxn>
            <a:cxn ang="T8">
              <a:pos x="T4" y="T5"/>
            </a:cxn>
          </a:cxnLst>
          <a:rect l="T9" t="T10" r="T11" b="T12"/>
          <a:pathLst>
            <a:path w="2" h="7">
              <a:moveTo>
                <a:pt x="0" y="6"/>
              </a:moveTo>
              <a:lnTo>
                <a:pt x="1" y="3"/>
              </a:lnTo>
              <a:lnTo>
                <a:pt x="1" y="0"/>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465364</xdr:colOff>
      <xdr:row>413</xdr:row>
      <xdr:rowOff>103414</xdr:rowOff>
    </xdr:from>
    <xdr:to>
      <xdr:col>0</xdr:col>
      <xdr:colOff>484414</xdr:colOff>
      <xdr:row>413</xdr:row>
      <xdr:rowOff>130629</xdr:rowOff>
    </xdr:to>
    <xdr:sp macro="" textlink="">
      <xdr:nvSpPr>
        <xdr:cNvPr id="90085" name="Freeform 531">
          <a:extLst>
            <a:ext uri="{FF2B5EF4-FFF2-40B4-BE49-F238E27FC236}">
              <a16:creationId xmlns:a16="http://schemas.microsoft.com/office/drawing/2014/main" id="{8D61C083-7001-5F8E-6BCD-23F267669788}"/>
            </a:ext>
          </a:extLst>
        </xdr:cNvPr>
        <xdr:cNvSpPr>
          <a:spLocks/>
        </xdr:cNvSpPr>
      </xdr:nvSpPr>
      <xdr:spPr bwMode="auto">
        <a:xfrm>
          <a:off x="465364" y="75867986"/>
          <a:ext cx="19050" cy="27214"/>
        </a:xfrm>
        <a:custGeom>
          <a:avLst/>
          <a:gdLst>
            <a:gd name="T0" fmla="*/ 0 w 14"/>
            <a:gd name="T1" fmla="*/ 0 h 13"/>
            <a:gd name="T2" fmla="*/ 1361 w 14"/>
            <a:gd name="T3" fmla="*/ 6280 h 13"/>
            <a:gd name="T4" fmla="*/ 4082 w 14"/>
            <a:gd name="T5" fmla="*/ 12560 h 13"/>
            <a:gd name="T6" fmla="*/ 6804 w 14"/>
            <a:gd name="T7" fmla="*/ 16747 h 13"/>
            <a:gd name="T8" fmla="*/ 10886 w 14"/>
            <a:gd name="T9" fmla="*/ 20934 h 13"/>
            <a:gd name="T10" fmla="*/ 17689 w 14"/>
            <a:gd name="T11" fmla="*/ 25121 h 13"/>
            <a:gd name="T12" fmla="*/ 0 60000 65536"/>
            <a:gd name="T13" fmla="*/ 0 60000 65536"/>
            <a:gd name="T14" fmla="*/ 0 60000 65536"/>
            <a:gd name="T15" fmla="*/ 0 60000 65536"/>
            <a:gd name="T16" fmla="*/ 0 60000 65536"/>
            <a:gd name="T17" fmla="*/ 0 60000 65536"/>
            <a:gd name="T18" fmla="*/ 0 w 14"/>
            <a:gd name="T19" fmla="*/ 0 h 13"/>
            <a:gd name="T20" fmla="*/ 14 w 14"/>
            <a:gd name="T21" fmla="*/ 13 h 13"/>
          </a:gdLst>
          <a:ahLst/>
          <a:cxnLst>
            <a:cxn ang="T12">
              <a:pos x="T0" y="T1"/>
            </a:cxn>
            <a:cxn ang="T13">
              <a:pos x="T2" y="T3"/>
            </a:cxn>
            <a:cxn ang="T14">
              <a:pos x="T4" y="T5"/>
            </a:cxn>
            <a:cxn ang="T15">
              <a:pos x="T6" y="T7"/>
            </a:cxn>
            <a:cxn ang="T16">
              <a:pos x="T8" y="T9"/>
            </a:cxn>
            <a:cxn ang="T17">
              <a:pos x="T10" y="T11"/>
            </a:cxn>
          </a:cxnLst>
          <a:rect l="T18" t="T19" r="T20" b="T21"/>
          <a:pathLst>
            <a:path w="14" h="13">
              <a:moveTo>
                <a:pt x="0" y="0"/>
              </a:moveTo>
              <a:lnTo>
                <a:pt x="1" y="3"/>
              </a:lnTo>
              <a:lnTo>
                <a:pt x="3" y="6"/>
              </a:lnTo>
              <a:lnTo>
                <a:pt x="5" y="8"/>
              </a:lnTo>
              <a:lnTo>
                <a:pt x="8" y="10"/>
              </a:lnTo>
              <a:lnTo>
                <a:pt x="13" y="12"/>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487136</xdr:colOff>
      <xdr:row>413</xdr:row>
      <xdr:rowOff>119743</xdr:rowOff>
    </xdr:from>
    <xdr:to>
      <xdr:col>0</xdr:col>
      <xdr:colOff>498021</xdr:colOff>
      <xdr:row>413</xdr:row>
      <xdr:rowOff>127907</xdr:rowOff>
    </xdr:to>
    <xdr:sp macro="" textlink="">
      <xdr:nvSpPr>
        <xdr:cNvPr id="90086" name="Freeform 532">
          <a:extLst>
            <a:ext uri="{FF2B5EF4-FFF2-40B4-BE49-F238E27FC236}">
              <a16:creationId xmlns:a16="http://schemas.microsoft.com/office/drawing/2014/main" id="{0E7D79A0-2C94-B955-8DD8-13577A792FC0}"/>
            </a:ext>
          </a:extLst>
        </xdr:cNvPr>
        <xdr:cNvSpPr>
          <a:spLocks/>
        </xdr:cNvSpPr>
      </xdr:nvSpPr>
      <xdr:spPr bwMode="auto">
        <a:xfrm>
          <a:off x="487136" y="75884314"/>
          <a:ext cx="10885" cy="8165"/>
        </a:xfrm>
        <a:custGeom>
          <a:avLst/>
          <a:gdLst>
            <a:gd name="T0" fmla="*/ 0 w 9"/>
            <a:gd name="T1" fmla="*/ 0 h 3"/>
            <a:gd name="T2" fmla="*/ 4838 w 9"/>
            <a:gd name="T3" fmla="*/ 5443 h 3"/>
            <a:gd name="T4" fmla="*/ 9676 w 9"/>
            <a:gd name="T5" fmla="*/ 5443 h 3"/>
            <a:gd name="T6" fmla="*/ 0 60000 65536"/>
            <a:gd name="T7" fmla="*/ 0 60000 65536"/>
            <a:gd name="T8" fmla="*/ 0 60000 65536"/>
            <a:gd name="T9" fmla="*/ 0 w 9"/>
            <a:gd name="T10" fmla="*/ 0 h 3"/>
            <a:gd name="T11" fmla="*/ 9 w 9"/>
            <a:gd name="T12" fmla="*/ 3 h 3"/>
          </a:gdLst>
          <a:ahLst/>
          <a:cxnLst>
            <a:cxn ang="T6">
              <a:pos x="T0" y="T1"/>
            </a:cxn>
            <a:cxn ang="T7">
              <a:pos x="T2" y="T3"/>
            </a:cxn>
            <a:cxn ang="T8">
              <a:pos x="T4" y="T5"/>
            </a:cxn>
          </a:cxnLst>
          <a:rect l="T9" t="T10" r="T11" b="T12"/>
          <a:pathLst>
            <a:path w="9" h="3">
              <a:moveTo>
                <a:pt x="0" y="0"/>
              </a:moveTo>
              <a:lnTo>
                <a:pt x="4" y="2"/>
              </a:lnTo>
              <a:lnTo>
                <a:pt x="8" y="2"/>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10886</xdr:colOff>
      <xdr:row>396</xdr:row>
      <xdr:rowOff>73479</xdr:rowOff>
    </xdr:from>
    <xdr:to>
      <xdr:col>1</xdr:col>
      <xdr:colOff>10886</xdr:colOff>
      <xdr:row>398</xdr:row>
      <xdr:rowOff>73479</xdr:rowOff>
    </xdr:to>
    <xdr:sp macro="" textlink="">
      <xdr:nvSpPr>
        <xdr:cNvPr id="90087" name="Line 533">
          <a:extLst>
            <a:ext uri="{FF2B5EF4-FFF2-40B4-BE49-F238E27FC236}">
              <a16:creationId xmlns:a16="http://schemas.microsoft.com/office/drawing/2014/main" id="{8B5090FF-761A-1264-922A-39399C8C4F74}"/>
            </a:ext>
          </a:extLst>
        </xdr:cNvPr>
        <xdr:cNvSpPr>
          <a:spLocks noChangeShapeType="1"/>
        </xdr:cNvSpPr>
      </xdr:nvSpPr>
      <xdr:spPr bwMode="auto">
        <a:xfrm>
          <a:off x="658586" y="72830871"/>
          <a:ext cx="0" cy="35378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394</xdr:row>
      <xdr:rowOff>111579</xdr:rowOff>
    </xdr:from>
    <xdr:to>
      <xdr:col>1</xdr:col>
      <xdr:colOff>10886</xdr:colOff>
      <xdr:row>394</xdr:row>
      <xdr:rowOff>111579</xdr:rowOff>
    </xdr:to>
    <xdr:sp macro="" textlink="">
      <xdr:nvSpPr>
        <xdr:cNvPr id="90088" name="Line 534">
          <a:extLst>
            <a:ext uri="{FF2B5EF4-FFF2-40B4-BE49-F238E27FC236}">
              <a16:creationId xmlns:a16="http://schemas.microsoft.com/office/drawing/2014/main" id="{AE10994F-97F7-C86C-5C4A-5B6CDE373E32}"/>
            </a:ext>
          </a:extLst>
        </xdr:cNvPr>
        <xdr:cNvSpPr>
          <a:spLocks noChangeShapeType="1"/>
        </xdr:cNvSpPr>
      </xdr:nvSpPr>
      <xdr:spPr bwMode="auto">
        <a:xfrm>
          <a:off x="454479" y="72515186"/>
          <a:ext cx="20410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506186</xdr:colOff>
      <xdr:row>394</xdr:row>
      <xdr:rowOff>103414</xdr:rowOff>
    </xdr:from>
    <xdr:to>
      <xdr:col>0</xdr:col>
      <xdr:colOff>525236</xdr:colOff>
      <xdr:row>394</xdr:row>
      <xdr:rowOff>103414</xdr:rowOff>
    </xdr:to>
    <xdr:sp macro="" textlink="">
      <xdr:nvSpPr>
        <xdr:cNvPr id="90089" name="Line 535">
          <a:extLst>
            <a:ext uri="{FF2B5EF4-FFF2-40B4-BE49-F238E27FC236}">
              <a16:creationId xmlns:a16="http://schemas.microsoft.com/office/drawing/2014/main" id="{C6221C6D-DF46-A6A5-24BE-13EF7F3E7CA6}"/>
            </a:ext>
          </a:extLst>
        </xdr:cNvPr>
        <xdr:cNvSpPr>
          <a:spLocks noChangeShapeType="1"/>
        </xdr:cNvSpPr>
      </xdr:nvSpPr>
      <xdr:spPr bwMode="auto">
        <a:xfrm>
          <a:off x="506186" y="72507021"/>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506186</xdr:colOff>
      <xdr:row>394</xdr:row>
      <xdr:rowOff>84364</xdr:rowOff>
    </xdr:from>
    <xdr:to>
      <xdr:col>0</xdr:col>
      <xdr:colOff>506186</xdr:colOff>
      <xdr:row>394</xdr:row>
      <xdr:rowOff>122464</xdr:rowOff>
    </xdr:to>
    <xdr:sp macro="" textlink="">
      <xdr:nvSpPr>
        <xdr:cNvPr id="90090" name="Line 536">
          <a:extLst>
            <a:ext uri="{FF2B5EF4-FFF2-40B4-BE49-F238E27FC236}">
              <a16:creationId xmlns:a16="http://schemas.microsoft.com/office/drawing/2014/main" id="{43161718-FCBA-AAAE-00FB-428397E4B2A9}"/>
            </a:ext>
          </a:extLst>
        </xdr:cNvPr>
        <xdr:cNvSpPr>
          <a:spLocks noChangeShapeType="1"/>
        </xdr:cNvSpPr>
      </xdr:nvSpPr>
      <xdr:spPr bwMode="auto">
        <a:xfrm flipV="1">
          <a:off x="506186" y="72487971"/>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525236</xdr:colOff>
      <xdr:row>394</xdr:row>
      <xdr:rowOff>103414</xdr:rowOff>
    </xdr:from>
    <xdr:to>
      <xdr:col>0</xdr:col>
      <xdr:colOff>525236</xdr:colOff>
      <xdr:row>394</xdr:row>
      <xdr:rowOff>103414</xdr:rowOff>
    </xdr:to>
    <xdr:sp macro="" textlink="">
      <xdr:nvSpPr>
        <xdr:cNvPr id="90091" name="Line 537">
          <a:extLst>
            <a:ext uri="{FF2B5EF4-FFF2-40B4-BE49-F238E27FC236}">
              <a16:creationId xmlns:a16="http://schemas.microsoft.com/office/drawing/2014/main" id="{891B9F9A-0DC1-DAD2-C606-6F9E8AA71A33}"/>
            </a:ext>
          </a:extLst>
        </xdr:cNvPr>
        <xdr:cNvSpPr>
          <a:spLocks noChangeShapeType="1"/>
        </xdr:cNvSpPr>
      </xdr:nvSpPr>
      <xdr:spPr bwMode="auto">
        <a:xfrm>
          <a:off x="525236" y="72507021"/>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506186</xdr:colOff>
      <xdr:row>394</xdr:row>
      <xdr:rowOff>84364</xdr:rowOff>
    </xdr:from>
    <xdr:to>
      <xdr:col>0</xdr:col>
      <xdr:colOff>506186</xdr:colOff>
      <xdr:row>394</xdr:row>
      <xdr:rowOff>111579</xdr:rowOff>
    </xdr:to>
    <xdr:sp macro="" textlink="">
      <xdr:nvSpPr>
        <xdr:cNvPr id="90092" name="Line 538">
          <a:extLst>
            <a:ext uri="{FF2B5EF4-FFF2-40B4-BE49-F238E27FC236}">
              <a16:creationId xmlns:a16="http://schemas.microsoft.com/office/drawing/2014/main" id="{94D4F607-81F7-6942-6038-9217DAFF24BC}"/>
            </a:ext>
          </a:extLst>
        </xdr:cNvPr>
        <xdr:cNvSpPr>
          <a:spLocks noChangeShapeType="1"/>
        </xdr:cNvSpPr>
      </xdr:nvSpPr>
      <xdr:spPr bwMode="auto">
        <a:xfrm flipV="1">
          <a:off x="506186" y="7248797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525236</xdr:colOff>
      <xdr:row>394</xdr:row>
      <xdr:rowOff>84364</xdr:rowOff>
    </xdr:from>
    <xdr:to>
      <xdr:col>0</xdr:col>
      <xdr:colOff>525236</xdr:colOff>
      <xdr:row>394</xdr:row>
      <xdr:rowOff>111579</xdr:rowOff>
    </xdr:to>
    <xdr:sp macro="" textlink="">
      <xdr:nvSpPr>
        <xdr:cNvPr id="90093" name="Line 539">
          <a:extLst>
            <a:ext uri="{FF2B5EF4-FFF2-40B4-BE49-F238E27FC236}">
              <a16:creationId xmlns:a16="http://schemas.microsoft.com/office/drawing/2014/main" id="{CD1D1957-3B70-D7D3-AD72-F1D1524A047D}"/>
            </a:ext>
          </a:extLst>
        </xdr:cNvPr>
        <xdr:cNvSpPr>
          <a:spLocks noChangeShapeType="1"/>
        </xdr:cNvSpPr>
      </xdr:nvSpPr>
      <xdr:spPr bwMode="auto">
        <a:xfrm flipV="1">
          <a:off x="525236" y="7248797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506186</xdr:colOff>
      <xdr:row>394</xdr:row>
      <xdr:rowOff>92529</xdr:rowOff>
    </xdr:from>
    <xdr:to>
      <xdr:col>0</xdr:col>
      <xdr:colOff>525236</xdr:colOff>
      <xdr:row>394</xdr:row>
      <xdr:rowOff>92529</xdr:rowOff>
    </xdr:to>
    <xdr:sp macro="" textlink="">
      <xdr:nvSpPr>
        <xdr:cNvPr id="90094" name="Line 540">
          <a:extLst>
            <a:ext uri="{FF2B5EF4-FFF2-40B4-BE49-F238E27FC236}">
              <a16:creationId xmlns:a16="http://schemas.microsoft.com/office/drawing/2014/main" id="{E4CE8DB6-9158-8A94-5AEA-2167A7DD527D}"/>
            </a:ext>
          </a:extLst>
        </xdr:cNvPr>
        <xdr:cNvSpPr>
          <a:spLocks noChangeShapeType="1"/>
        </xdr:cNvSpPr>
      </xdr:nvSpPr>
      <xdr:spPr bwMode="auto">
        <a:xfrm>
          <a:off x="506186" y="72496136"/>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394</xdr:row>
      <xdr:rowOff>103414</xdr:rowOff>
    </xdr:from>
    <xdr:to>
      <xdr:col>0</xdr:col>
      <xdr:colOff>606879</xdr:colOff>
      <xdr:row>394</xdr:row>
      <xdr:rowOff>103414</xdr:rowOff>
    </xdr:to>
    <xdr:sp macro="" textlink="">
      <xdr:nvSpPr>
        <xdr:cNvPr id="90095" name="Line 541">
          <a:extLst>
            <a:ext uri="{FF2B5EF4-FFF2-40B4-BE49-F238E27FC236}">
              <a16:creationId xmlns:a16="http://schemas.microsoft.com/office/drawing/2014/main" id="{24F09836-B0CE-6133-FE4F-9F488A256C8A}"/>
            </a:ext>
          </a:extLst>
        </xdr:cNvPr>
        <xdr:cNvSpPr>
          <a:spLocks noChangeShapeType="1"/>
        </xdr:cNvSpPr>
      </xdr:nvSpPr>
      <xdr:spPr bwMode="auto">
        <a:xfrm>
          <a:off x="587829" y="72507021"/>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394</xdr:row>
      <xdr:rowOff>84364</xdr:rowOff>
    </xdr:from>
    <xdr:to>
      <xdr:col>0</xdr:col>
      <xdr:colOff>587829</xdr:colOff>
      <xdr:row>394</xdr:row>
      <xdr:rowOff>122464</xdr:rowOff>
    </xdr:to>
    <xdr:sp macro="" textlink="">
      <xdr:nvSpPr>
        <xdr:cNvPr id="90096" name="Line 542">
          <a:extLst>
            <a:ext uri="{FF2B5EF4-FFF2-40B4-BE49-F238E27FC236}">
              <a16:creationId xmlns:a16="http://schemas.microsoft.com/office/drawing/2014/main" id="{D3508C8E-F224-6633-FCC9-70015809A41A}"/>
            </a:ext>
          </a:extLst>
        </xdr:cNvPr>
        <xdr:cNvSpPr>
          <a:spLocks noChangeShapeType="1"/>
        </xdr:cNvSpPr>
      </xdr:nvSpPr>
      <xdr:spPr bwMode="auto">
        <a:xfrm flipV="1">
          <a:off x="587829" y="72487971"/>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606879</xdr:colOff>
      <xdr:row>394</xdr:row>
      <xdr:rowOff>103414</xdr:rowOff>
    </xdr:from>
    <xdr:to>
      <xdr:col>0</xdr:col>
      <xdr:colOff>606879</xdr:colOff>
      <xdr:row>394</xdr:row>
      <xdr:rowOff>103414</xdr:rowOff>
    </xdr:to>
    <xdr:sp macro="" textlink="">
      <xdr:nvSpPr>
        <xdr:cNvPr id="90097" name="Line 543">
          <a:extLst>
            <a:ext uri="{FF2B5EF4-FFF2-40B4-BE49-F238E27FC236}">
              <a16:creationId xmlns:a16="http://schemas.microsoft.com/office/drawing/2014/main" id="{E8353763-725B-250D-A79B-E08C2FAFCB00}"/>
            </a:ext>
          </a:extLst>
        </xdr:cNvPr>
        <xdr:cNvSpPr>
          <a:spLocks noChangeShapeType="1"/>
        </xdr:cNvSpPr>
      </xdr:nvSpPr>
      <xdr:spPr bwMode="auto">
        <a:xfrm>
          <a:off x="606879" y="72507021"/>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394</xdr:row>
      <xdr:rowOff>84364</xdr:rowOff>
    </xdr:from>
    <xdr:to>
      <xdr:col>0</xdr:col>
      <xdr:colOff>587829</xdr:colOff>
      <xdr:row>394</xdr:row>
      <xdr:rowOff>111579</xdr:rowOff>
    </xdr:to>
    <xdr:sp macro="" textlink="">
      <xdr:nvSpPr>
        <xdr:cNvPr id="90098" name="Line 544">
          <a:extLst>
            <a:ext uri="{FF2B5EF4-FFF2-40B4-BE49-F238E27FC236}">
              <a16:creationId xmlns:a16="http://schemas.microsoft.com/office/drawing/2014/main" id="{A1C9F571-6E44-9A69-FD00-9CEC82C5629B}"/>
            </a:ext>
          </a:extLst>
        </xdr:cNvPr>
        <xdr:cNvSpPr>
          <a:spLocks noChangeShapeType="1"/>
        </xdr:cNvSpPr>
      </xdr:nvSpPr>
      <xdr:spPr bwMode="auto">
        <a:xfrm flipV="1">
          <a:off x="587829" y="7248797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606879</xdr:colOff>
      <xdr:row>394</xdr:row>
      <xdr:rowOff>84364</xdr:rowOff>
    </xdr:from>
    <xdr:to>
      <xdr:col>0</xdr:col>
      <xdr:colOff>606879</xdr:colOff>
      <xdr:row>394</xdr:row>
      <xdr:rowOff>111579</xdr:rowOff>
    </xdr:to>
    <xdr:sp macro="" textlink="">
      <xdr:nvSpPr>
        <xdr:cNvPr id="90099" name="Line 545">
          <a:extLst>
            <a:ext uri="{FF2B5EF4-FFF2-40B4-BE49-F238E27FC236}">
              <a16:creationId xmlns:a16="http://schemas.microsoft.com/office/drawing/2014/main" id="{72544B1A-D606-958F-FC34-8D23D149F7D1}"/>
            </a:ext>
          </a:extLst>
        </xdr:cNvPr>
        <xdr:cNvSpPr>
          <a:spLocks noChangeShapeType="1"/>
        </xdr:cNvSpPr>
      </xdr:nvSpPr>
      <xdr:spPr bwMode="auto">
        <a:xfrm flipV="1">
          <a:off x="606879" y="7248797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394</xdr:row>
      <xdr:rowOff>92529</xdr:rowOff>
    </xdr:from>
    <xdr:to>
      <xdr:col>0</xdr:col>
      <xdr:colOff>606879</xdr:colOff>
      <xdr:row>394</xdr:row>
      <xdr:rowOff>92529</xdr:rowOff>
    </xdr:to>
    <xdr:sp macro="" textlink="">
      <xdr:nvSpPr>
        <xdr:cNvPr id="90100" name="Line 546">
          <a:extLst>
            <a:ext uri="{FF2B5EF4-FFF2-40B4-BE49-F238E27FC236}">
              <a16:creationId xmlns:a16="http://schemas.microsoft.com/office/drawing/2014/main" id="{D5CFEED7-F700-16F9-324E-90126D9F5E0A}"/>
            </a:ext>
          </a:extLst>
        </xdr:cNvPr>
        <xdr:cNvSpPr>
          <a:spLocks noChangeShapeType="1"/>
        </xdr:cNvSpPr>
      </xdr:nvSpPr>
      <xdr:spPr bwMode="auto">
        <a:xfrm>
          <a:off x="587829" y="72496136"/>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394</xdr:row>
      <xdr:rowOff>103414</xdr:rowOff>
    </xdr:from>
    <xdr:to>
      <xdr:col>1</xdr:col>
      <xdr:colOff>10886</xdr:colOff>
      <xdr:row>394</xdr:row>
      <xdr:rowOff>103414</xdr:rowOff>
    </xdr:to>
    <xdr:sp macro="" textlink="">
      <xdr:nvSpPr>
        <xdr:cNvPr id="90101" name="Line 547">
          <a:extLst>
            <a:ext uri="{FF2B5EF4-FFF2-40B4-BE49-F238E27FC236}">
              <a16:creationId xmlns:a16="http://schemas.microsoft.com/office/drawing/2014/main" id="{6742D942-6330-2466-F527-FDA8AEF53615}"/>
            </a:ext>
          </a:extLst>
        </xdr:cNvPr>
        <xdr:cNvSpPr>
          <a:spLocks noChangeShapeType="1"/>
        </xdr:cNvSpPr>
      </xdr:nvSpPr>
      <xdr:spPr bwMode="auto">
        <a:xfrm>
          <a:off x="647700" y="72507021"/>
          <a:ext cx="1088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636814</xdr:colOff>
      <xdr:row>394</xdr:row>
      <xdr:rowOff>84364</xdr:rowOff>
    </xdr:from>
    <xdr:to>
      <xdr:col>0</xdr:col>
      <xdr:colOff>636814</xdr:colOff>
      <xdr:row>394</xdr:row>
      <xdr:rowOff>122464</xdr:rowOff>
    </xdr:to>
    <xdr:sp macro="" textlink="">
      <xdr:nvSpPr>
        <xdr:cNvPr id="90102" name="Line 548">
          <a:extLst>
            <a:ext uri="{FF2B5EF4-FFF2-40B4-BE49-F238E27FC236}">
              <a16:creationId xmlns:a16="http://schemas.microsoft.com/office/drawing/2014/main" id="{5E929AB6-3BAE-0096-44B3-4E7CC1ECDB1A}"/>
            </a:ext>
          </a:extLst>
        </xdr:cNvPr>
        <xdr:cNvSpPr>
          <a:spLocks noChangeShapeType="1"/>
        </xdr:cNvSpPr>
      </xdr:nvSpPr>
      <xdr:spPr bwMode="auto">
        <a:xfrm flipV="1">
          <a:off x="636814" y="72487971"/>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394</xdr:row>
      <xdr:rowOff>103414</xdr:rowOff>
    </xdr:from>
    <xdr:to>
      <xdr:col>1</xdr:col>
      <xdr:colOff>19050</xdr:colOff>
      <xdr:row>394</xdr:row>
      <xdr:rowOff>103414</xdr:rowOff>
    </xdr:to>
    <xdr:sp macro="" textlink="">
      <xdr:nvSpPr>
        <xdr:cNvPr id="90103" name="Line 549">
          <a:extLst>
            <a:ext uri="{FF2B5EF4-FFF2-40B4-BE49-F238E27FC236}">
              <a16:creationId xmlns:a16="http://schemas.microsoft.com/office/drawing/2014/main" id="{36941F8E-4504-6DDB-3255-9B0AD3139F08}"/>
            </a:ext>
          </a:extLst>
        </xdr:cNvPr>
        <xdr:cNvSpPr>
          <a:spLocks noChangeShapeType="1"/>
        </xdr:cNvSpPr>
      </xdr:nvSpPr>
      <xdr:spPr bwMode="auto">
        <a:xfrm>
          <a:off x="666750" y="72507021"/>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394</xdr:row>
      <xdr:rowOff>84364</xdr:rowOff>
    </xdr:from>
    <xdr:to>
      <xdr:col>1</xdr:col>
      <xdr:colOff>0</xdr:colOff>
      <xdr:row>394</xdr:row>
      <xdr:rowOff>111579</xdr:rowOff>
    </xdr:to>
    <xdr:sp macro="" textlink="">
      <xdr:nvSpPr>
        <xdr:cNvPr id="90104" name="Line 550">
          <a:extLst>
            <a:ext uri="{FF2B5EF4-FFF2-40B4-BE49-F238E27FC236}">
              <a16:creationId xmlns:a16="http://schemas.microsoft.com/office/drawing/2014/main" id="{812C5D35-605E-3B16-47C0-72F2201E5421}"/>
            </a:ext>
          </a:extLst>
        </xdr:cNvPr>
        <xdr:cNvSpPr>
          <a:spLocks noChangeShapeType="1"/>
        </xdr:cNvSpPr>
      </xdr:nvSpPr>
      <xdr:spPr bwMode="auto">
        <a:xfrm flipV="1">
          <a:off x="647700" y="7248797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10886</xdr:colOff>
      <xdr:row>394</xdr:row>
      <xdr:rowOff>84364</xdr:rowOff>
    </xdr:from>
    <xdr:to>
      <xdr:col>1</xdr:col>
      <xdr:colOff>10886</xdr:colOff>
      <xdr:row>394</xdr:row>
      <xdr:rowOff>111579</xdr:rowOff>
    </xdr:to>
    <xdr:sp macro="" textlink="">
      <xdr:nvSpPr>
        <xdr:cNvPr id="90105" name="Line 551">
          <a:extLst>
            <a:ext uri="{FF2B5EF4-FFF2-40B4-BE49-F238E27FC236}">
              <a16:creationId xmlns:a16="http://schemas.microsoft.com/office/drawing/2014/main" id="{52D65375-44C7-5B70-A8CE-00000DE3F4BD}"/>
            </a:ext>
          </a:extLst>
        </xdr:cNvPr>
        <xdr:cNvSpPr>
          <a:spLocks noChangeShapeType="1"/>
        </xdr:cNvSpPr>
      </xdr:nvSpPr>
      <xdr:spPr bwMode="auto">
        <a:xfrm flipV="1">
          <a:off x="658586" y="7248797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394</xdr:row>
      <xdr:rowOff>92529</xdr:rowOff>
    </xdr:from>
    <xdr:to>
      <xdr:col>1</xdr:col>
      <xdr:colOff>10886</xdr:colOff>
      <xdr:row>394</xdr:row>
      <xdr:rowOff>92529</xdr:rowOff>
    </xdr:to>
    <xdr:sp macro="" textlink="">
      <xdr:nvSpPr>
        <xdr:cNvPr id="90106" name="Line 552">
          <a:extLst>
            <a:ext uri="{FF2B5EF4-FFF2-40B4-BE49-F238E27FC236}">
              <a16:creationId xmlns:a16="http://schemas.microsoft.com/office/drawing/2014/main" id="{B50B8080-141F-4A33-5C20-B06DAB206D56}"/>
            </a:ext>
          </a:extLst>
        </xdr:cNvPr>
        <xdr:cNvSpPr>
          <a:spLocks noChangeShapeType="1"/>
        </xdr:cNvSpPr>
      </xdr:nvSpPr>
      <xdr:spPr bwMode="auto">
        <a:xfrm>
          <a:off x="647700" y="72496136"/>
          <a:ext cx="1088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394</xdr:row>
      <xdr:rowOff>103414</xdr:rowOff>
    </xdr:from>
    <xdr:to>
      <xdr:col>0</xdr:col>
      <xdr:colOff>465364</xdr:colOff>
      <xdr:row>394</xdr:row>
      <xdr:rowOff>103414</xdr:rowOff>
    </xdr:to>
    <xdr:sp macro="" textlink="">
      <xdr:nvSpPr>
        <xdr:cNvPr id="90107" name="Line 553">
          <a:extLst>
            <a:ext uri="{FF2B5EF4-FFF2-40B4-BE49-F238E27FC236}">
              <a16:creationId xmlns:a16="http://schemas.microsoft.com/office/drawing/2014/main" id="{FCBF0F6F-26A6-282D-0249-5EAFE57BCBC1}"/>
            </a:ext>
          </a:extLst>
        </xdr:cNvPr>
        <xdr:cNvSpPr>
          <a:spLocks noChangeShapeType="1"/>
        </xdr:cNvSpPr>
      </xdr:nvSpPr>
      <xdr:spPr bwMode="auto">
        <a:xfrm>
          <a:off x="454479" y="72507021"/>
          <a:ext cx="1088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394</xdr:row>
      <xdr:rowOff>84364</xdr:rowOff>
    </xdr:from>
    <xdr:to>
      <xdr:col>0</xdr:col>
      <xdr:colOff>446314</xdr:colOff>
      <xdr:row>394</xdr:row>
      <xdr:rowOff>122464</xdr:rowOff>
    </xdr:to>
    <xdr:sp macro="" textlink="">
      <xdr:nvSpPr>
        <xdr:cNvPr id="90108" name="Line 554">
          <a:extLst>
            <a:ext uri="{FF2B5EF4-FFF2-40B4-BE49-F238E27FC236}">
              <a16:creationId xmlns:a16="http://schemas.microsoft.com/office/drawing/2014/main" id="{3DEBB1A1-39A0-15BB-E699-E97D11D50B16}"/>
            </a:ext>
          </a:extLst>
        </xdr:cNvPr>
        <xdr:cNvSpPr>
          <a:spLocks noChangeShapeType="1"/>
        </xdr:cNvSpPr>
      </xdr:nvSpPr>
      <xdr:spPr bwMode="auto">
        <a:xfrm flipV="1">
          <a:off x="446314" y="72487971"/>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394</xdr:row>
      <xdr:rowOff>103414</xdr:rowOff>
    </xdr:from>
    <xdr:to>
      <xdr:col>0</xdr:col>
      <xdr:colOff>476250</xdr:colOff>
      <xdr:row>394</xdr:row>
      <xdr:rowOff>103414</xdr:rowOff>
    </xdr:to>
    <xdr:sp macro="" textlink="">
      <xdr:nvSpPr>
        <xdr:cNvPr id="90109" name="Line 555">
          <a:extLst>
            <a:ext uri="{FF2B5EF4-FFF2-40B4-BE49-F238E27FC236}">
              <a16:creationId xmlns:a16="http://schemas.microsoft.com/office/drawing/2014/main" id="{BD450B94-C076-CB41-0376-750B33F818EB}"/>
            </a:ext>
          </a:extLst>
        </xdr:cNvPr>
        <xdr:cNvSpPr>
          <a:spLocks noChangeShapeType="1"/>
        </xdr:cNvSpPr>
      </xdr:nvSpPr>
      <xdr:spPr bwMode="auto">
        <a:xfrm>
          <a:off x="476250" y="72507021"/>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394</xdr:row>
      <xdr:rowOff>84364</xdr:rowOff>
    </xdr:from>
    <xdr:to>
      <xdr:col>0</xdr:col>
      <xdr:colOff>454479</xdr:colOff>
      <xdr:row>394</xdr:row>
      <xdr:rowOff>111579</xdr:rowOff>
    </xdr:to>
    <xdr:sp macro="" textlink="">
      <xdr:nvSpPr>
        <xdr:cNvPr id="90110" name="Line 556">
          <a:extLst>
            <a:ext uri="{FF2B5EF4-FFF2-40B4-BE49-F238E27FC236}">
              <a16:creationId xmlns:a16="http://schemas.microsoft.com/office/drawing/2014/main" id="{610F9DAF-32E4-B814-A34C-309624E68100}"/>
            </a:ext>
          </a:extLst>
        </xdr:cNvPr>
        <xdr:cNvSpPr>
          <a:spLocks noChangeShapeType="1"/>
        </xdr:cNvSpPr>
      </xdr:nvSpPr>
      <xdr:spPr bwMode="auto">
        <a:xfrm flipV="1">
          <a:off x="454479" y="7248797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394</xdr:row>
      <xdr:rowOff>84364</xdr:rowOff>
    </xdr:from>
    <xdr:to>
      <xdr:col>0</xdr:col>
      <xdr:colOff>465364</xdr:colOff>
      <xdr:row>394</xdr:row>
      <xdr:rowOff>111579</xdr:rowOff>
    </xdr:to>
    <xdr:sp macro="" textlink="">
      <xdr:nvSpPr>
        <xdr:cNvPr id="90111" name="Line 557">
          <a:extLst>
            <a:ext uri="{FF2B5EF4-FFF2-40B4-BE49-F238E27FC236}">
              <a16:creationId xmlns:a16="http://schemas.microsoft.com/office/drawing/2014/main" id="{FFB27D62-DA96-290F-D3DD-28AF3E6354B1}"/>
            </a:ext>
          </a:extLst>
        </xdr:cNvPr>
        <xdr:cNvSpPr>
          <a:spLocks noChangeShapeType="1"/>
        </xdr:cNvSpPr>
      </xdr:nvSpPr>
      <xdr:spPr bwMode="auto">
        <a:xfrm flipV="1">
          <a:off x="465364" y="7248797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394</xdr:row>
      <xdr:rowOff>92529</xdr:rowOff>
    </xdr:from>
    <xdr:to>
      <xdr:col>0</xdr:col>
      <xdr:colOff>465364</xdr:colOff>
      <xdr:row>394</xdr:row>
      <xdr:rowOff>92529</xdr:rowOff>
    </xdr:to>
    <xdr:sp macro="" textlink="">
      <xdr:nvSpPr>
        <xdr:cNvPr id="92160" name="Line 558">
          <a:extLst>
            <a:ext uri="{FF2B5EF4-FFF2-40B4-BE49-F238E27FC236}">
              <a16:creationId xmlns:a16="http://schemas.microsoft.com/office/drawing/2014/main" id="{8D58CCD1-4A1B-445B-FCE9-A9BF532EFD87}"/>
            </a:ext>
          </a:extLst>
        </xdr:cNvPr>
        <xdr:cNvSpPr>
          <a:spLocks noChangeShapeType="1"/>
        </xdr:cNvSpPr>
      </xdr:nvSpPr>
      <xdr:spPr bwMode="auto">
        <a:xfrm>
          <a:off x="454479" y="72496136"/>
          <a:ext cx="1088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506186</xdr:colOff>
      <xdr:row>389</xdr:row>
      <xdr:rowOff>92529</xdr:rowOff>
    </xdr:from>
    <xdr:to>
      <xdr:col>0</xdr:col>
      <xdr:colOff>525236</xdr:colOff>
      <xdr:row>389</xdr:row>
      <xdr:rowOff>92529</xdr:rowOff>
    </xdr:to>
    <xdr:sp macro="" textlink="">
      <xdr:nvSpPr>
        <xdr:cNvPr id="92161" name="Line 559">
          <a:extLst>
            <a:ext uri="{FF2B5EF4-FFF2-40B4-BE49-F238E27FC236}">
              <a16:creationId xmlns:a16="http://schemas.microsoft.com/office/drawing/2014/main" id="{BD1A3BA2-C454-D1CE-966D-543403B03D90}"/>
            </a:ext>
          </a:extLst>
        </xdr:cNvPr>
        <xdr:cNvSpPr>
          <a:spLocks noChangeShapeType="1"/>
        </xdr:cNvSpPr>
      </xdr:nvSpPr>
      <xdr:spPr bwMode="auto">
        <a:xfrm>
          <a:off x="506186" y="71611671"/>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506186</xdr:colOff>
      <xdr:row>389</xdr:row>
      <xdr:rowOff>73479</xdr:rowOff>
    </xdr:from>
    <xdr:to>
      <xdr:col>0</xdr:col>
      <xdr:colOff>506186</xdr:colOff>
      <xdr:row>389</xdr:row>
      <xdr:rowOff>100693</xdr:rowOff>
    </xdr:to>
    <xdr:sp macro="" textlink="">
      <xdr:nvSpPr>
        <xdr:cNvPr id="92162" name="Line 560">
          <a:extLst>
            <a:ext uri="{FF2B5EF4-FFF2-40B4-BE49-F238E27FC236}">
              <a16:creationId xmlns:a16="http://schemas.microsoft.com/office/drawing/2014/main" id="{49D51323-165B-CB30-79F6-8733FA9D579D}"/>
            </a:ext>
          </a:extLst>
        </xdr:cNvPr>
        <xdr:cNvSpPr>
          <a:spLocks noChangeShapeType="1"/>
        </xdr:cNvSpPr>
      </xdr:nvSpPr>
      <xdr:spPr bwMode="auto">
        <a:xfrm flipV="1">
          <a:off x="506186"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525236</xdr:colOff>
      <xdr:row>389</xdr:row>
      <xdr:rowOff>84364</xdr:rowOff>
    </xdr:from>
    <xdr:to>
      <xdr:col>0</xdr:col>
      <xdr:colOff>525236</xdr:colOff>
      <xdr:row>389</xdr:row>
      <xdr:rowOff>92529</xdr:rowOff>
    </xdr:to>
    <xdr:sp macro="" textlink="">
      <xdr:nvSpPr>
        <xdr:cNvPr id="92163" name="Line 561">
          <a:extLst>
            <a:ext uri="{FF2B5EF4-FFF2-40B4-BE49-F238E27FC236}">
              <a16:creationId xmlns:a16="http://schemas.microsoft.com/office/drawing/2014/main" id="{29916831-0AF0-FC14-A73A-0F367D51B3FA}"/>
            </a:ext>
          </a:extLst>
        </xdr:cNvPr>
        <xdr:cNvSpPr>
          <a:spLocks noChangeShapeType="1"/>
        </xdr:cNvSpPr>
      </xdr:nvSpPr>
      <xdr:spPr bwMode="auto">
        <a:xfrm>
          <a:off x="525236" y="71603507"/>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506186</xdr:colOff>
      <xdr:row>389</xdr:row>
      <xdr:rowOff>73479</xdr:rowOff>
    </xdr:from>
    <xdr:to>
      <xdr:col>0</xdr:col>
      <xdr:colOff>506186</xdr:colOff>
      <xdr:row>389</xdr:row>
      <xdr:rowOff>100693</xdr:rowOff>
    </xdr:to>
    <xdr:sp macro="" textlink="">
      <xdr:nvSpPr>
        <xdr:cNvPr id="92164" name="Line 562">
          <a:extLst>
            <a:ext uri="{FF2B5EF4-FFF2-40B4-BE49-F238E27FC236}">
              <a16:creationId xmlns:a16="http://schemas.microsoft.com/office/drawing/2014/main" id="{7F2690BF-3073-A1CD-2563-775AA8C30C16}"/>
            </a:ext>
          </a:extLst>
        </xdr:cNvPr>
        <xdr:cNvSpPr>
          <a:spLocks noChangeShapeType="1"/>
        </xdr:cNvSpPr>
      </xdr:nvSpPr>
      <xdr:spPr bwMode="auto">
        <a:xfrm flipV="1">
          <a:off x="506186"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525236</xdr:colOff>
      <xdr:row>389</xdr:row>
      <xdr:rowOff>73479</xdr:rowOff>
    </xdr:from>
    <xdr:to>
      <xdr:col>0</xdr:col>
      <xdr:colOff>525236</xdr:colOff>
      <xdr:row>389</xdr:row>
      <xdr:rowOff>100693</xdr:rowOff>
    </xdr:to>
    <xdr:sp macro="" textlink="">
      <xdr:nvSpPr>
        <xdr:cNvPr id="92165" name="Line 563">
          <a:extLst>
            <a:ext uri="{FF2B5EF4-FFF2-40B4-BE49-F238E27FC236}">
              <a16:creationId xmlns:a16="http://schemas.microsoft.com/office/drawing/2014/main" id="{DFE638FE-EC91-A28B-64CB-CD291D5A9077}"/>
            </a:ext>
          </a:extLst>
        </xdr:cNvPr>
        <xdr:cNvSpPr>
          <a:spLocks noChangeShapeType="1"/>
        </xdr:cNvSpPr>
      </xdr:nvSpPr>
      <xdr:spPr bwMode="auto">
        <a:xfrm flipV="1">
          <a:off x="525236"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506186</xdr:colOff>
      <xdr:row>389</xdr:row>
      <xdr:rowOff>73479</xdr:rowOff>
    </xdr:from>
    <xdr:to>
      <xdr:col>0</xdr:col>
      <xdr:colOff>525236</xdr:colOff>
      <xdr:row>389</xdr:row>
      <xdr:rowOff>73479</xdr:rowOff>
    </xdr:to>
    <xdr:sp macro="" textlink="">
      <xdr:nvSpPr>
        <xdr:cNvPr id="92166" name="Line 564">
          <a:extLst>
            <a:ext uri="{FF2B5EF4-FFF2-40B4-BE49-F238E27FC236}">
              <a16:creationId xmlns:a16="http://schemas.microsoft.com/office/drawing/2014/main" id="{948094F7-C347-A457-98E9-FC3AB7C13096}"/>
            </a:ext>
          </a:extLst>
        </xdr:cNvPr>
        <xdr:cNvSpPr>
          <a:spLocks noChangeShapeType="1"/>
        </xdr:cNvSpPr>
      </xdr:nvSpPr>
      <xdr:spPr bwMode="auto">
        <a:xfrm>
          <a:off x="506186" y="71592621"/>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389</xdr:row>
      <xdr:rowOff>92529</xdr:rowOff>
    </xdr:from>
    <xdr:to>
      <xdr:col>0</xdr:col>
      <xdr:colOff>606879</xdr:colOff>
      <xdr:row>389</xdr:row>
      <xdr:rowOff>92529</xdr:rowOff>
    </xdr:to>
    <xdr:sp macro="" textlink="">
      <xdr:nvSpPr>
        <xdr:cNvPr id="92167" name="Line 565">
          <a:extLst>
            <a:ext uri="{FF2B5EF4-FFF2-40B4-BE49-F238E27FC236}">
              <a16:creationId xmlns:a16="http://schemas.microsoft.com/office/drawing/2014/main" id="{C1E5D792-60CD-911C-9D3F-459D30CE4D72}"/>
            </a:ext>
          </a:extLst>
        </xdr:cNvPr>
        <xdr:cNvSpPr>
          <a:spLocks noChangeShapeType="1"/>
        </xdr:cNvSpPr>
      </xdr:nvSpPr>
      <xdr:spPr bwMode="auto">
        <a:xfrm>
          <a:off x="587829" y="71611671"/>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389</xdr:row>
      <xdr:rowOff>73479</xdr:rowOff>
    </xdr:from>
    <xdr:to>
      <xdr:col>0</xdr:col>
      <xdr:colOff>587829</xdr:colOff>
      <xdr:row>389</xdr:row>
      <xdr:rowOff>100693</xdr:rowOff>
    </xdr:to>
    <xdr:sp macro="" textlink="">
      <xdr:nvSpPr>
        <xdr:cNvPr id="92168" name="Line 566">
          <a:extLst>
            <a:ext uri="{FF2B5EF4-FFF2-40B4-BE49-F238E27FC236}">
              <a16:creationId xmlns:a16="http://schemas.microsoft.com/office/drawing/2014/main" id="{5B00FCBE-A00E-6511-1919-CFAF68A3A457}"/>
            </a:ext>
          </a:extLst>
        </xdr:cNvPr>
        <xdr:cNvSpPr>
          <a:spLocks noChangeShapeType="1"/>
        </xdr:cNvSpPr>
      </xdr:nvSpPr>
      <xdr:spPr bwMode="auto">
        <a:xfrm flipV="1">
          <a:off x="587829"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606879</xdr:colOff>
      <xdr:row>389</xdr:row>
      <xdr:rowOff>84364</xdr:rowOff>
    </xdr:from>
    <xdr:to>
      <xdr:col>0</xdr:col>
      <xdr:colOff>606879</xdr:colOff>
      <xdr:row>389</xdr:row>
      <xdr:rowOff>92529</xdr:rowOff>
    </xdr:to>
    <xdr:sp macro="" textlink="">
      <xdr:nvSpPr>
        <xdr:cNvPr id="92169" name="Line 567">
          <a:extLst>
            <a:ext uri="{FF2B5EF4-FFF2-40B4-BE49-F238E27FC236}">
              <a16:creationId xmlns:a16="http://schemas.microsoft.com/office/drawing/2014/main" id="{D4AA37EE-B7DA-D310-E721-59A4EAA9557C}"/>
            </a:ext>
          </a:extLst>
        </xdr:cNvPr>
        <xdr:cNvSpPr>
          <a:spLocks noChangeShapeType="1"/>
        </xdr:cNvSpPr>
      </xdr:nvSpPr>
      <xdr:spPr bwMode="auto">
        <a:xfrm>
          <a:off x="606879" y="71603507"/>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389</xdr:row>
      <xdr:rowOff>73479</xdr:rowOff>
    </xdr:from>
    <xdr:to>
      <xdr:col>0</xdr:col>
      <xdr:colOff>587829</xdr:colOff>
      <xdr:row>389</xdr:row>
      <xdr:rowOff>100693</xdr:rowOff>
    </xdr:to>
    <xdr:sp macro="" textlink="">
      <xdr:nvSpPr>
        <xdr:cNvPr id="92170" name="Line 568">
          <a:extLst>
            <a:ext uri="{FF2B5EF4-FFF2-40B4-BE49-F238E27FC236}">
              <a16:creationId xmlns:a16="http://schemas.microsoft.com/office/drawing/2014/main" id="{C3AAF892-C7AF-F7C2-ACB7-9D6292E653AA}"/>
            </a:ext>
          </a:extLst>
        </xdr:cNvPr>
        <xdr:cNvSpPr>
          <a:spLocks noChangeShapeType="1"/>
        </xdr:cNvSpPr>
      </xdr:nvSpPr>
      <xdr:spPr bwMode="auto">
        <a:xfrm flipV="1">
          <a:off x="587829"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606879</xdr:colOff>
      <xdr:row>389</xdr:row>
      <xdr:rowOff>73479</xdr:rowOff>
    </xdr:from>
    <xdr:to>
      <xdr:col>0</xdr:col>
      <xdr:colOff>606879</xdr:colOff>
      <xdr:row>389</xdr:row>
      <xdr:rowOff>100693</xdr:rowOff>
    </xdr:to>
    <xdr:sp macro="" textlink="">
      <xdr:nvSpPr>
        <xdr:cNvPr id="92171" name="Line 569">
          <a:extLst>
            <a:ext uri="{FF2B5EF4-FFF2-40B4-BE49-F238E27FC236}">
              <a16:creationId xmlns:a16="http://schemas.microsoft.com/office/drawing/2014/main" id="{0AC71763-8328-39DE-4F74-0C6CA3BD2758}"/>
            </a:ext>
          </a:extLst>
        </xdr:cNvPr>
        <xdr:cNvSpPr>
          <a:spLocks noChangeShapeType="1"/>
        </xdr:cNvSpPr>
      </xdr:nvSpPr>
      <xdr:spPr bwMode="auto">
        <a:xfrm flipV="1">
          <a:off x="606879"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389</xdr:row>
      <xdr:rowOff>73479</xdr:rowOff>
    </xdr:from>
    <xdr:to>
      <xdr:col>0</xdr:col>
      <xdr:colOff>606879</xdr:colOff>
      <xdr:row>389</xdr:row>
      <xdr:rowOff>73479</xdr:rowOff>
    </xdr:to>
    <xdr:sp macro="" textlink="">
      <xdr:nvSpPr>
        <xdr:cNvPr id="92172" name="Line 570">
          <a:extLst>
            <a:ext uri="{FF2B5EF4-FFF2-40B4-BE49-F238E27FC236}">
              <a16:creationId xmlns:a16="http://schemas.microsoft.com/office/drawing/2014/main" id="{23D29363-1FE9-A234-D630-FE69BEB0DD7E}"/>
            </a:ext>
          </a:extLst>
        </xdr:cNvPr>
        <xdr:cNvSpPr>
          <a:spLocks noChangeShapeType="1"/>
        </xdr:cNvSpPr>
      </xdr:nvSpPr>
      <xdr:spPr bwMode="auto">
        <a:xfrm>
          <a:off x="587829" y="71592621"/>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389</xdr:row>
      <xdr:rowOff>92529</xdr:rowOff>
    </xdr:from>
    <xdr:to>
      <xdr:col>1</xdr:col>
      <xdr:colOff>10886</xdr:colOff>
      <xdr:row>389</xdr:row>
      <xdr:rowOff>92529</xdr:rowOff>
    </xdr:to>
    <xdr:sp macro="" textlink="">
      <xdr:nvSpPr>
        <xdr:cNvPr id="92173" name="Line 571">
          <a:extLst>
            <a:ext uri="{FF2B5EF4-FFF2-40B4-BE49-F238E27FC236}">
              <a16:creationId xmlns:a16="http://schemas.microsoft.com/office/drawing/2014/main" id="{4B84BE8C-EEFF-E469-85B3-76651C8A5FF8}"/>
            </a:ext>
          </a:extLst>
        </xdr:cNvPr>
        <xdr:cNvSpPr>
          <a:spLocks noChangeShapeType="1"/>
        </xdr:cNvSpPr>
      </xdr:nvSpPr>
      <xdr:spPr bwMode="auto">
        <a:xfrm>
          <a:off x="647700" y="71611671"/>
          <a:ext cx="1088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636814</xdr:colOff>
      <xdr:row>389</xdr:row>
      <xdr:rowOff>73479</xdr:rowOff>
    </xdr:from>
    <xdr:to>
      <xdr:col>0</xdr:col>
      <xdr:colOff>636814</xdr:colOff>
      <xdr:row>389</xdr:row>
      <xdr:rowOff>100693</xdr:rowOff>
    </xdr:to>
    <xdr:sp macro="" textlink="">
      <xdr:nvSpPr>
        <xdr:cNvPr id="92174" name="Line 572">
          <a:extLst>
            <a:ext uri="{FF2B5EF4-FFF2-40B4-BE49-F238E27FC236}">
              <a16:creationId xmlns:a16="http://schemas.microsoft.com/office/drawing/2014/main" id="{6F46FFF3-BB96-BAB2-C07C-43AE5370DD1F}"/>
            </a:ext>
          </a:extLst>
        </xdr:cNvPr>
        <xdr:cNvSpPr>
          <a:spLocks noChangeShapeType="1"/>
        </xdr:cNvSpPr>
      </xdr:nvSpPr>
      <xdr:spPr bwMode="auto">
        <a:xfrm flipV="1">
          <a:off x="636814"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389</xdr:row>
      <xdr:rowOff>84364</xdr:rowOff>
    </xdr:from>
    <xdr:to>
      <xdr:col>1</xdr:col>
      <xdr:colOff>19050</xdr:colOff>
      <xdr:row>389</xdr:row>
      <xdr:rowOff>92529</xdr:rowOff>
    </xdr:to>
    <xdr:sp macro="" textlink="">
      <xdr:nvSpPr>
        <xdr:cNvPr id="92175" name="Line 573">
          <a:extLst>
            <a:ext uri="{FF2B5EF4-FFF2-40B4-BE49-F238E27FC236}">
              <a16:creationId xmlns:a16="http://schemas.microsoft.com/office/drawing/2014/main" id="{7A174466-2DAB-51E0-6206-CF34A3B6CDD5}"/>
            </a:ext>
          </a:extLst>
        </xdr:cNvPr>
        <xdr:cNvSpPr>
          <a:spLocks noChangeShapeType="1"/>
        </xdr:cNvSpPr>
      </xdr:nvSpPr>
      <xdr:spPr bwMode="auto">
        <a:xfrm>
          <a:off x="666750" y="71603507"/>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389</xdr:row>
      <xdr:rowOff>73479</xdr:rowOff>
    </xdr:from>
    <xdr:to>
      <xdr:col>1</xdr:col>
      <xdr:colOff>0</xdr:colOff>
      <xdr:row>389</xdr:row>
      <xdr:rowOff>100693</xdr:rowOff>
    </xdr:to>
    <xdr:sp macro="" textlink="">
      <xdr:nvSpPr>
        <xdr:cNvPr id="92176" name="Line 574">
          <a:extLst>
            <a:ext uri="{FF2B5EF4-FFF2-40B4-BE49-F238E27FC236}">
              <a16:creationId xmlns:a16="http://schemas.microsoft.com/office/drawing/2014/main" id="{BB73795E-ECF3-4F64-50E1-4B108F71ECA2}"/>
            </a:ext>
          </a:extLst>
        </xdr:cNvPr>
        <xdr:cNvSpPr>
          <a:spLocks noChangeShapeType="1"/>
        </xdr:cNvSpPr>
      </xdr:nvSpPr>
      <xdr:spPr bwMode="auto">
        <a:xfrm flipV="1">
          <a:off x="647700"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10886</xdr:colOff>
      <xdr:row>389</xdr:row>
      <xdr:rowOff>73479</xdr:rowOff>
    </xdr:from>
    <xdr:to>
      <xdr:col>1</xdr:col>
      <xdr:colOff>10886</xdr:colOff>
      <xdr:row>389</xdr:row>
      <xdr:rowOff>100693</xdr:rowOff>
    </xdr:to>
    <xdr:sp macro="" textlink="">
      <xdr:nvSpPr>
        <xdr:cNvPr id="92177" name="Line 575">
          <a:extLst>
            <a:ext uri="{FF2B5EF4-FFF2-40B4-BE49-F238E27FC236}">
              <a16:creationId xmlns:a16="http://schemas.microsoft.com/office/drawing/2014/main" id="{4E4B48AB-857E-B360-7D9D-37E438FE95DC}"/>
            </a:ext>
          </a:extLst>
        </xdr:cNvPr>
        <xdr:cNvSpPr>
          <a:spLocks noChangeShapeType="1"/>
        </xdr:cNvSpPr>
      </xdr:nvSpPr>
      <xdr:spPr bwMode="auto">
        <a:xfrm flipV="1">
          <a:off x="658586"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389</xdr:row>
      <xdr:rowOff>73479</xdr:rowOff>
    </xdr:from>
    <xdr:to>
      <xdr:col>1</xdr:col>
      <xdr:colOff>10886</xdr:colOff>
      <xdr:row>389</xdr:row>
      <xdr:rowOff>73479</xdr:rowOff>
    </xdr:to>
    <xdr:sp macro="" textlink="">
      <xdr:nvSpPr>
        <xdr:cNvPr id="92178" name="Line 576">
          <a:extLst>
            <a:ext uri="{FF2B5EF4-FFF2-40B4-BE49-F238E27FC236}">
              <a16:creationId xmlns:a16="http://schemas.microsoft.com/office/drawing/2014/main" id="{BAF0864C-8563-A3FD-FC79-BEAB241EF1F1}"/>
            </a:ext>
          </a:extLst>
        </xdr:cNvPr>
        <xdr:cNvSpPr>
          <a:spLocks noChangeShapeType="1"/>
        </xdr:cNvSpPr>
      </xdr:nvSpPr>
      <xdr:spPr bwMode="auto">
        <a:xfrm>
          <a:off x="647700" y="71592621"/>
          <a:ext cx="1088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389</xdr:row>
      <xdr:rowOff>92529</xdr:rowOff>
    </xdr:from>
    <xdr:to>
      <xdr:col>0</xdr:col>
      <xdr:colOff>465364</xdr:colOff>
      <xdr:row>389</xdr:row>
      <xdr:rowOff>92529</xdr:rowOff>
    </xdr:to>
    <xdr:sp macro="" textlink="">
      <xdr:nvSpPr>
        <xdr:cNvPr id="92179" name="Line 577">
          <a:extLst>
            <a:ext uri="{FF2B5EF4-FFF2-40B4-BE49-F238E27FC236}">
              <a16:creationId xmlns:a16="http://schemas.microsoft.com/office/drawing/2014/main" id="{F85BD4CA-4580-5712-A998-B824A911A401}"/>
            </a:ext>
          </a:extLst>
        </xdr:cNvPr>
        <xdr:cNvSpPr>
          <a:spLocks noChangeShapeType="1"/>
        </xdr:cNvSpPr>
      </xdr:nvSpPr>
      <xdr:spPr bwMode="auto">
        <a:xfrm>
          <a:off x="454479" y="71611671"/>
          <a:ext cx="1088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389</xdr:row>
      <xdr:rowOff>73479</xdr:rowOff>
    </xdr:from>
    <xdr:to>
      <xdr:col>0</xdr:col>
      <xdr:colOff>446314</xdr:colOff>
      <xdr:row>389</xdr:row>
      <xdr:rowOff>100693</xdr:rowOff>
    </xdr:to>
    <xdr:sp macro="" textlink="">
      <xdr:nvSpPr>
        <xdr:cNvPr id="92180" name="Line 578">
          <a:extLst>
            <a:ext uri="{FF2B5EF4-FFF2-40B4-BE49-F238E27FC236}">
              <a16:creationId xmlns:a16="http://schemas.microsoft.com/office/drawing/2014/main" id="{45EF97C7-5FBE-D3EC-5E63-2B5C7A644D62}"/>
            </a:ext>
          </a:extLst>
        </xdr:cNvPr>
        <xdr:cNvSpPr>
          <a:spLocks noChangeShapeType="1"/>
        </xdr:cNvSpPr>
      </xdr:nvSpPr>
      <xdr:spPr bwMode="auto">
        <a:xfrm flipV="1">
          <a:off x="446314"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389</xdr:row>
      <xdr:rowOff>84364</xdr:rowOff>
    </xdr:from>
    <xdr:to>
      <xdr:col>0</xdr:col>
      <xdr:colOff>476250</xdr:colOff>
      <xdr:row>389</xdr:row>
      <xdr:rowOff>92529</xdr:rowOff>
    </xdr:to>
    <xdr:sp macro="" textlink="">
      <xdr:nvSpPr>
        <xdr:cNvPr id="92181" name="Line 579">
          <a:extLst>
            <a:ext uri="{FF2B5EF4-FFF2-40B4-BE49-F238E27FC236}">
              <a16:creationId xmlns:a16="http://schemas.microsoft.com/office/drawing/2014/main" id="{1CED3FB5-E8F0-77AE-CE72-4C10D6FEA738}"/>
            </a:ext>
          </a:extLst>
        </xdr:cNvPr>
        <xdr:cNvSpPr>
          <a:spLocks noChangeShapeType="1"/>
        </xdr:cNvSpPr>
      </xdr:nvSpPr>
      <xdr:spPr bwMode="auto">
        <a:xfrm>
          <a:off x="476250" y="71603507"/>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389</xdr:row>
      <xdr:rowOff>73479</xdr:rowOff>
    </xdr:from>
    <xdr:to>
      <xdr:col>0</xdr:col>
      <xdr:colOff>454479</xdr:colOff>
      <xdr:row>389</xdr:row>
      <xdr:rowOff>100693</xdr:rowOff>
    </xdr:to>
    <xdr:sp macro="" textlink="">
      <xdr:nvSpPr>
        <xdr:cNvPr id="92182" name="Line 580">
          <a:extLst>
            <a:ext uri="{FF2B5EF4-FFF2-40B4-BE49-F238E27FC236}">
              <a16:creationId xmlns:a16="http://schemas.microsoft.com/office/drawing/2014/main" id="{ECA5D347-F6FA-1B3F-E241-60165B9667A0}"/>
            </a:ext>
          </a:extLst>
        </xdr:cNvPr>
        <xdr:cNvSpPr>
          <a:spLocks noChangeShapeType="1"/>
        </xdr:cNvSpPr>
      </xdr:nvSpPr>
      <xdr:spPr bwMode="auto">
        <a:xfrm flipV="1">
          <a:off x="454479"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389</xdr:row>
      <xdr:rowOff>73479</xdr:rowOff>
    </xdr:from>
    <xdr:to>
      <xdr:col>0</xdr:col>
      <xdr:colOff>465364</xdr:colOff>
      <xdr:row>389</xdr:row>
      <xdr:rowOff>100693</xdr:rowOff>
    </xdr:to>
    <xdr:sp macro="" textlink="">
      <xdr:nvSpPr>
        <xdr:cNvPr id="92183" name="Line 581">
          <a:extLst>
            <a:ext uri="{FF2B5EF4-FFF2-40B4-BE49-F238E27FC236}">
              <a16:creationId xmlns:a16="http://schemas.microsoft.com/office/drawing/2014/main" id="{4F3640EA-4E3E-EFD7-84A7-F77790505786}"/>
            </a:ext>
          </a:extLst>
        </xdr:cNvPr>
        <xdr:cNvSpPr>
          <a:spLocks noChangeShapeType="1"/>
        </xdr:cNvSpPr>
      </xdr:nvSpPr>
      <xdr:spPr bwMode="auto">
        <a:xfrm flipV="1">
          <a:off x="465364" y="71592621"/>
          <a:ext cx="0" cy="272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389</xdr:row>
      <xdr:rowOff>73479</xdr:rowOff>
    </xdr:from>
    <xdr:to>
      <xdr:col>0</xdr:col>
      <xdr:colOff>465364</xdr:colOff>
      <xdr:row>389</xdr:row>
      <xdr:rowOff>73479</xdr:rowOff>
    </xdr:to>
    <xdr:sp macro="" textlink="">
      <xdr:nvSpPr>
        <xdr:cNvPr id="92184" name="Line 582">
          <a:extLst>
            <a:ext uri="{FF2B5EF4-FFF2-40B4-BE49-F238E27FC236}">
              <a16:creationId xmlns:a16="http://schemas.microsoft.com/office/drawing/2014/main" id="{43CAEF58-2C51-68F8-0387-8030EE310F53}"/>
            </a:ext>
          </a:extLst>
        </xdr:cNvPr>
        <xdr:cNvSpPr>
          <a:spLocks noChangeShapeType="1"/>
        </xdr:cNvSpPr>
      </xdr:nvSpPr>
      <xdr:spPr bwMode="auto">
        <a:xfrm>
          <a:off x="454479" y="71592621"/>
          <a:ext cx="1088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576943</xdr:colOff>
      <xdr:row>399</xdr:row>
      <xdr:rowOff>27214</xdr:rowOff>
    </xdr:from>
    <xdr:to>
      <xdr:col>0</xdr:col>
      <xdr:colOff>587829</xdr:colOff>
      <xdr:row>399</xdr:row>
      <xdr:rowOff>27214</xdr:rowOff>
    </xdr:to>
    <xdr:sp macro="" textlink="">
      <xdr:nvSpPr>
        <xdr:cNvPr id="92185" name="Line 583">
          <a:extLst>
            <a:ext uri="{FF2B5EF4-FFF2-40B4-BE49-F238E27FC236}">
              <a16:creationId xmlns:a16="http://schemas.microsoft.com/office/drawing/2014/main" id="{D9B54F0F-B243-F052-9E5E-584ED514E297}"/>
            </a:ext>
          </a:extLst>
        </xdr:cNvPr>
        <xdr:cNvSpPr>
          <a:spLocks noChangeShapeType="1"/>
        </xdr:cNvSpPr>
      </xdr:nvSpPr>
      <xdr:spPr bwMode="auto">
        <a:xfrm>
          <a:off x="576943" y="73315286"/>
          <a:ext cx="1088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566057</xdr:colOff>
      <xdr:row>399</xdr:row>
      <xdr:rowOff>8164</xdr:rowOff>
    </xdr:from>
    <xdr:to>
      <xdr:col>0</xdr:col>
      <xdr:colOff>566057</xdr:colOff>
      <xdr:row>399</xdr:row>
      <xdr:rowOff>46264</xdr:rowOff>
    </xdr:to>
    <xdr:sp macro="" textlink="">
      <xdr:nvSpPr>
        <xdr:cNvPr id="92186" name="Line 584">
          <a:extLst>
            <a:ext uri="{FF2B5EF4-FFF2-40B4-BE49-F238E27FC236}">
              <a16:creationId xmlns:a16="http://schemas.microsoft.com/office/drawing/2014/main" id="{98FA5E86-0FF8-4468-7ED5-EEF1A27060F9}"/>
            </a:ext>
          </a:extLst>
        </xdr:cNvPr>
        <xdr:cNvSpPr>
          <a:spLocks noChangeShapeType="1"/>
        </xdr:cNvSpPr>
      </xdr:nvSpPr>
      <xdr:spPr bwMode="auto">
        <a:xfrm flipV="1">
          <a:off x="566057" y="73296236"/>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595993</xdr:colOff>
      <xdr:row>399</xdr:row>
      <xdr:rowOff>27214</xdr:rowOff>
    </xdr:from>
    <xdr:to>
      <xdr:col>0</xdr:col>
      <xdr:colOff>595993</xdr:colOff>
      <xdr:row>399</xdr:row>
      <xdr:rowOff>27214</xdr:rowOff>
    </xdr:to>
    <xdr:sp macro="" textlink="">
      <xdr:nvSpPr>
        <xdr:cNvPr id="92187" name="Line 585">
          <a:extLst>
            <a:ext uri="{FF2B5EF4-FFF2-40B4-BE49-F238E27FC236}">
              <a16:creationId xmlns:a16="http://schemas.microsoft.com/office/drawing/2014/main" id="{5CEC5EE7-7E35-53D8-9BE3-0AB860EF7389}"/>
            </a:ext>
          </a:extLst>
        </xdr:cNvPr>
        <xdr:cNvSpPr>
          <a:spLocks noChangeShapeType="1"/>
        </xdr:cNvSpPr>
      </xdr:nvSpPr>
      <xdr:spPr bwMode="auto">
        <a:xfrm>
          <a:off x="595993" y="73315286"/>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576943</xdr:colOff>
      <xdr:row>399</xdr:row>
      <xdr:rowOff>8164</xdr:rowOff>
    </xdr:from>
    <xdr:to>
      <xdr:col>0</xdr:col>
      <xdr:colOff>576943</xdr:colOff>
      <xdr:row>399</xdr:row>
      <xdr:rowOff>35379</xdr:rowOff>
    </xdr:to>
    <xdr:sp macro="" textlink="">
      <xdr:nvSpPr>
        <xdr:cNvPr id="92188" name="Line 586">
          <a:extLst>
            <a:ext uri="{FF2B5EF4-FFF2-40B4-BE49-F238E27FC236}">
              <a16:creationId xmlns:a16="http://schemas.microsoft.com/office/drawing/2014/main" id="{75E46527-428E-4273-16E4-2D5C41BD3EA3}"/>
            </a:ext>
          </a:extLst>
        </xdr:cNvPr>
        <xdr:cNvSpPr>
          <a:spLocks noChangeShapeType="1"/>
        </xdr:cNvSpPr>
      </xdr:nvSpPr>
      <xdr:spPr bwMode="auto">
        <a:xfrm flipV="1">
          <a:off x="576943" y="732962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399</xdr:row>
      <xdr:rowOff>8164</xdr:rowOff>
    </xdr:from>
    <xdr:to>
      <xdr:col>0</xdr:col>
      <xdr:colOff>587829</xdr:colOff>
      <xdr:row>399</xdr:row>
      <xdr:rowOff>35379</xdr:rowOff>
    </xdr:to>
    <xdr:sp macro="" textlink="">
      <xdr:nvSpPr>
        <xdr:cNvPr id="92189" name="Line 587">
          <a:extLst>
            <a:ext uri="{FF2B5EF4-FFF2-40B4-BE49-F238E27FC236}">
              <a16:creationId xmlns:a16="http://schemas.microsoft.com/office/drawing/2014/main" id="{17BECBA9-568D-DDE8-460B-0C833332E3E9}"/>
            </a:ext>
          </a:extLst>
        </xdr:cNvPr>
        <xdr:cNvSpPr>
          <a:spLocks noChangeShapeType="1"/>
        </xdr:cNvSpPr>
      </xdr:nvSpPr>
      <xdr:spPr bwMode="auto">
        <a:xfrm flipV="1">
          <a:off x="587829" y="732962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576943</xdr:colOff>
      <xdr:row>399</xdr:row>
      <xdr:rowOff>19050</xdr:rowOff>
    </xdr:from>
    <xdr:to>
      <xdr:col>0</xdr:col>
      <xdr:colOff>587829</xdr:colOff>
      <xdr:row>399</xdr:row>
      <xdr:rowOff>19050</xdr:rowOff>
    </xdr:to>
    <xdr:sp macro="" textlink="">
      <xdr:nvSpPr>
        <xdr:cNvPr id="92190" name="Line 588">
          <a:extLst>
            <a:ext uri="{FF2B5EF4-FFF2-40B4-BE49-F238E27FC236}">
              <a16:creationId xmlns:a16="http://schemas.microsoft.com/office/drawing/2014/main" id="{9B3F5343-5503-CC38-8E37-1DC4F033A962}"/>
            </a:ext>
          </a:extLst>
        </xdr:cNvPr>
        <xdr:cNvSpPr>
          <a:spLocks noChangeShapeType="1"/>
        </xdr:cNvSpPr>
      </xdr:nvSpPr>
      <xdr:spPr bwMode="auto">
        <a:xfrm>
          <a:off x="576943" y="73307121"/>
          <a:ext cx="1088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399</xdr:row>
      <xdr:rowOff>27214</xdr:rowOff>
    </xdr:from>
    <xdr:to>
      <xdr:col>1</xdr:col>
      <xdr:colOff>0</xdr:colOff>
      <xdr:row>399</xdr:row>
      <xdr:rowOff>27214</xdr:rowOff>
    </xdr:to>
    <xdr:sp macro="" textlink="">
      <xdr:nvSpPr>
        <xdr:cNvPr id="92191" name="Line 589">
          <a:extLst>
            <a:ext uri="{FF2B5EF4-FFF2-40B4-BE49-F238E27FC236}">
              <a16:creationId xmlns:a16="http://schemas.microsoft.com/office/drawing/2014/main" id="{866B0601-2453-759C-40DE-A3BFE2F7316A}"/>
            </a:ext>
          </a:extLst>
        </xdr:cNvPr>
        <xdr:cNvSpPr>
          <a:spLocks noChangeShapeType="1"/>
        </xdr:cNvSpPr>
      </xdr:nvSpPr>
      <xdr:spPr bwMode="auto">
        <a:xfrm>
          <a:off x="628650" y="73315286"/>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399</xdr:row>
      <xdr:rowOff>8164</xdr:rowOff>
    </xdr:from>
    <xdr:to>
      <xdr:col>0</xdr:col>
      <xdr:colOff>628650</xdr:colOff>
      <xdr:row>399</xdr:row>
      <xdr:rowOff>46264</xdr:rowOff>
    </xdr:to>
    <xdr:sp macro="" textlink="">
      <xdr:nvSpPr>
        <xdr:cNvPr id="92192" name="Line 590">
          <a:extLst>
            <a:ext uri="{FF2B5EF4-FFF2-40B4-BE49-F238E27FC236}">
              <a16:creationId xmlns:a16="http://schemas.microsoft.com/office/drawing/2014/main" id="{D838A399-7BE2-8F3D-5A96-FD74C95E69EC}"/>
            </a:ext>
          </a:extLst>
        </xdr:cNvPr>
        <xdr:cNvSpPr>
          <a:spLocks noChangeShapeType="1"/>
        </xdr:cNvSpPr>
      </xdr:nvSpPr>
      <xdr:spPr bwMode="auto">
        <a:xfrm flipV="1">
          <a:off x="628650" y="73296236"/>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399</xdr:row>
      <xdr:rowOff>27214</xdr:rowOff>
    </xdr:from>
    <xdr:to>
      <xdr:col>1</xdr:col>
      <xdr:colOff>0</xdr:colOff>
      <xdr:row>399</xdr:row>
      <xdr:rowOff>27214</xdr:rowOff>
    </xdr:to>
    <xdr:sp macro="" textlink="">
      <xdr:nvSpPr>
        <xdr:cNvPr id="92193" name="Line 591">
          <a:extLst>
            <a:ext uri="{FF2B5EF4-FFF2-40B4-BE49-F238E27FC236}">
              <a16:creationId xmlns:a16="http://schemas.microsoft.com/office/drawing/2014/main" id="{6A1B8118-781F-8D98-F17A-BF60DB011688}"/>
            </a:ext>
          </a:extLst>
        </xdr:cNvPr>
        <xdr:cNvSpPr>
          <a:spLocks noChangeShapeType="1"/>
        </xdr:cNvSpPr>
      </xdr:nvSpPr>
      <xdr:spPr bwMode="auto">
        <a:xfrm>
          <a:off x="647700" y="73315286"/>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399</xdr:row>
      <xdr:rowOff>8164</xdr:rowOff>
    </xdr:from>
    <xdr:to>
      <xdr:col>0</xdr:col>
      <xdr:colOff>628650</xdr:colOff>
      <xdr:row>399</xdr:row>
      <xdr:rowOff>35379</xdr:rowOff>
    </xdr:to>
    <xdr:sp macro="" textlink="">
      <xdr:nvSpPr>
        <xdr:cNvPr id="92194" name="Line 592">
          <a:extLst>
            <a:ext uri="{FF2B5EF4-FFF2-40B4-BE49-F238E27FC236}">
              <a16:creationId xmlns:a16="http://schemas.microsoft.com/office/drawing/2014/main" id="{F947FB71-5033-01BE-F029-41B0939DBB19}"/>
            </a:ext>
          </a:extLst>
        </xdr:cNvPr>
        <xdr:cNvSpPr>
          <a:spLocks noChangeShapeType="1"/>
        </xdr:cNvSpPr>
      </xdr:nvSpPr>
      <xdr:spPr bwMode="auto">
        <a:xfrm flipV="1">
          <a:off x="628650" y="732962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399</xdr:row>
      <xdr:rowOff>8164</xdr:rowOff>
    </xdr:from>
    <xdr:to>
      <xdr:col>1</xdr:col>
      <xdr:colOff>0</xdr:colOff>
      <xdr:row>399</xdr:row>
      <xdr:rowOff>35379</xdr:rowOff>
    </xdr:to>
    <xdr:sp macro="" textlink="">
      <xdr:nvSpPr>
        <xdr:cNvPr id="92195" name="Line 593">
          <a:extLst>
            <a:ext uri="{FF2B5EF4-FFF2-40B4-BE49-F238E27FC236}">
              <a16:creationId xmlns:a16="http://schemas.microsoft.com/office/drawing/2014/main" id="{88F61E06-18E4-1830-65C9-087E92F645C1}"/>
            </a:ext>
          </a:extLst>
        </xdr:cNvPr>
        <xdr:cNvSpPr>
          <a:spLocks noChangeShapeType="1"/>
        </xdr:cNvSpPr>
      </xdr:nvSpPr>
      <xdr:spPr bwMode="auto">
        <a:xfrm flipV="1">
          <a:off x="647700" y="732962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399</xdr:row>
      <xdr:rowOff>19050</xdr:rowOff>
    </xdr:from>
    <xdr:to>
      <xdr:col>1</xdr:col>
      <xdr:colOff>0</xdr:colOff>
      <xdr:row>399</xdr:row>
      <xdr:rowOff>19050</xdr:rowOff>
    </xdr:to>
    <xdr:sp macro="" textlink="">
      <xdr:nvSpPr>
        <xdr:cNvPr id="92196" name="Line 594">
          <a:extLst>
            <a:ext uri="{FF2B5EF4-FFF2-40B4-BE49-F238E27FC236}">
              <a16:creationId xmlns:a16="http://schemas.microsoft.com/office/drawing/2014/main" id="{C3DF8229-D16C-21B1-859E-7413C403762A}"/>
            </a:ext>
          </a:extLst>
        </xdr:cNvPr>
        <xdr:cNvSpPr>
          <a:spLocks noChangeShapeType="1"/>
        </xdr:cNvSpPr>
      </xdr:nvSpPr>
      <xdr:spPr bwMode="auto">
        <a:xfrm>
          <a:off x="628650" y="73307121"/>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399</xdr:row>
      <xdr:rowOff>27214</xdr:rowOff>
    </xdr:from>
    <xdr:to>
      <xdr:col>0</xdr:col>
      <xdr:colOff>484414</xdr:colOff>
      <xdr:row>399</xdr:row>
      <xdr:rowOff>27214</xdr:rowOff>
    </xdr:to>
    <xdr:sp macro="" textlink="">
      <xdr:nvSpPr>
        <xdr:cNvPr id="92197" name="Line 595">
          <a:extLst>
            <a:ext uri="{FF2B5EF4-FFF2-40B4-BE49-F238E27FC236}">
              <a16:creationId xmlns:a16="http://schemas.microsoft.com/office/drawing/2014/main" id="{C6A07A62-574D-6255-E4D4-D5EEA255AF7A}"/>
            </a:ext>
          </a:extLst>
        </xdr:cNvPr>
        <xdr:cNvSpPr>
          <a:spLocks noChangeShapeType="1"/>
        </xdr:cNvSpPr>
      </xdr:nvSpPr>
      <xdr:spPr bwMode="auto">
        <a:xfrm>
          <a:off x="465364" y="73315286"/>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399</xdr:row>
      <xdr:rowOff>8164</xdr:rowOff>
    </xdr:from>
    <xdr:to>
      <xdr:col>0</xdr:col>
      <xdr:colOff>465364</xdr:colOff>
      <xdr:row>399</xdr:row>
      <xdr:rowOff>46264</xdr:rowOff>
    </xdr:to>
    <xdr:sp macro="" textlink="">
      <xdr:nvSpPr>
        <xdr:cNvPr id="92198" name="Line 596">
          <a:extLst>
            <a:ext uri="{FF2B5EF4-FFF2-40B4-BE49-F238E27FC236}">
              <a16:creationId xmlns:a16="http://schemas.microsoft.com/office/drawing/2014/main" id="{122D21B5-84CD-B90B-4D27-366097C593BD}"/>
            </a:ext>
          </a:extLst>
        </xdr:cNvPr>
        <xdr:cNvSpPr>
          <a:spLocks noChangeShapeType="1"/>
        </xdr:cNvSpPr>
      </xdr:nvSpPr>
      <xdr:spPr bwMode="auto">
        <a:xfrm flipV="1">
          <a:off x="465364" y="73296236"/>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487136</xdr:colOff>
      <xdr:row>399</xdr:row>
      <xdr:rowOff>27214</xdr:rowOff>
    </xdr:from>
    <xdr:to>
      <xdr:col>0</xdr:col>
      <xdr:colOff>487136</xdr:colOff>
      <xdr:row>399</xdr:row>
      <xdr:rowOff>27214</xdr:rowOff>
    </xdr:to>
    <xdr:sp macro="" textlink="">
      <xdr:nvSpPr>
        <xdr:cNvPr id="92199" name="Line 597">
          <a:extLst>
            <a:ext uri="{FF2B5EF4-FFF2-40B4-BE49-F238E27FC236}">
              <a16:creationId xmlns:a16="http://schemas.microsoft.com/office/drawing/2014/main" id="{E3A441C4-9D9E-CED5-833A-6ADBC7988A9B}"/>
            </a:ext>
          </a:extLst>
        </xdr:cNvPr>
        <xdr:cNvSpPr>
          <a:spLocks noChangeShapeType="1"/>
        </xdr:cNvSpPr>
      </xdr:nvSpPr>
      <xdr:spPr bwMode="auto">
        <a:xfrm>
          <a:off x="487136" y="73315286"/>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399</xdr:row>
      <xdr:rowOff>8164</xdr:rowOff>
    </xdr:from>
    <xdr:to>
      <xdr:col>0</xdr:col>
      <xdr:colOff>465364</xdr:colOff>
      <xdr:row>399</xdr:row>
      <xdr:rowOff>35379</xdr:rowOff>
    </xdr:to>
    <xdr:sp macro="" textlink="">
      <xdr:nvSpPr>
        <xdr:cNvPr id="92200" name="Line 598">
          <a:extLst>
            <a:ext uri="{FF2B5EF4-FFF2-40B4-BE49-F238E27FC236}">
              <a16:creationId xmlns:a16="http://schemas.microsoft.com/office/drawing/2014/main" id="{7686F961-7E7D-B781-1656-70C5B5C62069}"/>
            </a:ext>
          </a:extLst>
        </xdr:cNvPr>
        <xdr:cNvSpPr>
          <a:spLocks noChangeShapeType="1"/>
        </xdr:cNvSpPr>
      </xdr:nvSpPr>
      <xdr:spPr bwMode="auto">
        <a:xfrm flipV="1">
          <a:off x="465364" y="732962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399</xdr:row>
      <xdr:rowOff>8164</xdr:rowOff>
    </xdr:from>
    <xdr:to>
      <xdr:col>0</xdr:col>
      <xdr:colOff>476250</xdr:colOff>
      <xdr:row>399</xdr:row>
      <xdr:rowOff>35379</xdr:rowOff>
    </xdr:to>
    <xdr:sp macro="" textlink="">
      <xdr:nvSpPr>
        <xdr:cNvPr id="92201" name="Line 599">
          <a:extLst>
            <a:ext uri="{FF2B5EF4-FFF2-40B4-BE49-F238E27FC236}">
              <a16:creationId xmlns:a16="http://schemas.microsoft.com/office/drawing/2014/main" id="{70301D38-1B3E-E820-0279-6F380385B156}"/>
            </a:ext>
          </a:extLst>
        </xdr:cNvPr>
        <xdr:cNvSpPr>
          <a:spLocks noChangeShapeType="1"/>
        </xdr:cNvSpPr>
      </xdr:nvSpPr>
      <xdr:spPr bwMode="auto">
        <a:xfrm flipV="1">
          <a:off x="476250" y="732962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399</xdr:row>
      <xdr:rowOff>19050</xdr:rowOff>
    </xdr:from>
    <xdr:to>
      <xdr:col>0</xdr:col>
      <xdr:colOff>484414</xdr:colOff>
      <xdr:row>399</xdr:row>
      <xdr:rowOff>19050</xdr:rowOff>
    </xdr:to>
    <xdr:sp macro="" textlink="">
      <xdr:nvSpPr>
        <xdr:cNvPr id="92202" name="Line 600">
          <a:extLst>
            <a:ext uri="{FF2B5EF4-FFF2-40B4-BE49-F238E27FC236}">
              <a16:creationId xmlns:a16="http://schemas.microsoft.com/office/drawing/2014/main" id="{EFBCFA96-5EB6-F6D5-1790-3BC0C3AFF8DB}"/>
            </a:ext>
          </a:extLst>
        </xdr:cNvPr>
        <xdr:cNvSpPr>
          <a:spLocks noChangeShapeType="1"/>
        </xdr:cNvSpPr>
      </xdr:nvSpPr>
      <xdr:spPr bwMode="auto">
        <a:xfrm>
          <a:off x="465364" y="73307121"/>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517071</xdr:colOff>
      <xdr:row>399</xdr:row>
      <xdr:rowOff>27214</xdr:rowOff>
    </xdr:from>
    <xdr:to>
      <xdr:col>0</xdr:col>
      <xdr:colOff>536121</xdr:colOff>
      <xdr:row>399</xdr:row>
      <xdr:rowOff>27214</xdr:rowOff>
    </xdr:to>
    <xdr:sp macro="" textlink="">
      <xdr:nvSpPr>
        <xdr:cNvPr id="92203" name="Line 601">
          <a:extLst>
            <a:ext uri="{FF2B5EF4-FFF2-40B4-BE49-F238E27FC236}">
              <a16:creationId xmlns:a16="http://schemas.microsoft.com/office/drawing/2014/main" id="{8F11894B-9B55-639A-ED88-41821A1956FE}"/>
            </a:ext>
          </a:extLst>
        </xdr:cNvPr>
        <xdr:cNvSpPr>
          <a:spLocks noChangeShapeType="1"/>
        </xdr:cNvSpPr>
      </xdr:nvSpPr>
      <xdr:spPr bwMode="auto">
        <a:xfrm>
          <a:off x="517071" y="73315286"/>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517071</xdr:colOff>
      <xdr:row>399</xdr:row>
      <xdr:rowOff>8164</xdr:rowOff>
    </xdr:from>
    <xdr:to>
      <xdr:col>0</xdr:col>
      <xdr:colOff>517071</xdr:colOff>
      <xdr:row>399</xdr:row>
      <xdr:rowOff>46264</xdr:rowOff>
    </xdr:to>
    <xdr:sp macro="" textlink="">
      <xdr:nvSpPr>
        <xdr:cNvPr id="92204" name="Line 602">
          <a:extLst>
            <a:ext uri="{FF2B5EF4-FFF2-40B4-BE49-F238E27FC236}">
              <a16:creationId xmlns:a16="http://schemas.microsoft.com/office/drawing/2014/main" id="{D9F563DA-7251-0029-19B4-E8222800B393}"/>
            </a:ext>
          </a:extLst>
        </xdr:cNvPr>
        <xdr:cNvSpPr>
          <a:spLocks noChangeShapeType="1"/>
        </xdr:cNvSpPr>
      </xdr:nvSpPr>
      <xdr:spPr bwMode="auto">
        <a:xfrm flipV="1">
          <a:off x="517071" y="73296236"/>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536121</xdr:colOff>
      <xdr:row>399</xdr:row>
      <xdr:rowOff>27214</xdr:rowOff>
    </xdr:from>
    <xdr:to>
      <xdr:col>0</xdr:col>
      <xdr:colOff>536121</xdr:colOff>
      <xdr:row>399</xdr:row>
      <xdr:rowOff>27214</xdr:rowOff>
    </xdr:to>
    <xdr:sp macro="" textlink="">
      <xdr:nvSpPr>
        <xdr:cNvPr id="92205" name="Line 603">
          <a:extLst>
            <a:ext uri="{FF2B5EF4-FFF2-40B4-BE49-F238E27FC236}">
              <a16:creationId xmlns:a16="http://schemas.microsoft.com/office/drawing/2014/main" id="{DD1E99CD-1680-412F-EF67-0CB8E771BC32}"/>
            </a:ext>
          </a:extLst>
        </xdr:cNvPr>
        <xdr:cNvSpPr>
          <a:spLocks noChangeShapeType="1"/>
        </xdr:cNvSpPr>
      </xdr:nvSpPr>
      <xdr:spPr bwMode="auto">
        <a:xfrm>
          <a:off x="536121" y="73315286"/>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517071</xdr:colOff>
      <xdr:row>399</xdr:row>
      <xdr:rowOff>8164</xdr:rowOff>
    </xdr:from>
    <xdr:to>
      <xdr:col>0</xdr:col>
      <xdr:colOff>517071</xdr:colOff>
      <xdr:row>399</xdr:row>
      <xdr:rowOff>35379</xdr:rowOff>
    </xdr:to>
    <xdr:sp macro="" textlink="">
      <xdr:nvSpPr>
        <xdr:cNvPr id="92206" name="Line 604">
          <a:extLst>
            <a:ext uri="{FF2B5EF4-FFF2-40B4-BE49-F238E27FC236}">
              <a16:creationId xmlns:a16="http://schemas.microsoft.com/office/drawing/2014/main" id="{08C2ECB0-6D3D-3D96-4EEC-651AF6BCABAC}"/>
            </a:ext>
          </a:extLst>
        </xdr:cNvPr>
        <xdr:cNvSpPr>
          <a:spLocks noChangeShapeType="1"/>
        </xdr:cNvSpPr>
      </xdr:nvSpPr>
      <xdr:spPr bwMode="auto">
        <a:xfrm flipV="1">
          <a:off x="517071" y="732962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525236</xdr:colOff>
      <xdr:row>399</xdr:row>
      <xdr:rowOff>8164</xdr:rowOff>
    </xdr:from>
    <xdr:to>
      <xdr:col>0</xdr:col>
      <xdr:colOff>525236</xdr:colOff>
      <xdr:row>399</xdr:row>
      <xdr:rowOff>35379</xdr:rowOff>
    </xdr:to>
    <xdr:sp macro="" textlink="">
      <xdr:nvSpPr>
        <xdr:cNvPr id="92207" name="Line 605">
          <a:extLst>
            <a:ext uri="{FF2B5EF4-FFF2-40B4-BE49-F238E27FC236}">
              <a16:creationId xmlns:a16="http://schemas.microsoft.com/office/drawing/2014/main" id="{9C367E17-87D2-D7A7-032C-2DECE5168FB2}"/>
            </a:ext>
          </a:extLst>
        </xdr:cNvPr>
        <xdr:cNvSpPr>
          <a:spLocks noChangeShapeType="1"/>
        </xdr:cNvSpPr>
      </xdr:nvSpPr>
      <xdr:spPr bwMode="auto">
        <a:xfrm flipV="1">
          <a:off x="525236" y="732962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517071</xdr:colOff>
      <xdr:row>399</xdr:row>
      <xdr:rowOff>19050</xdr:rowOff>
    </xdr:from>
    <xdr:to>
      <xdr:col>0</xdr:col>
      <xdr:colOff>536121</xdr:colOff>
      <xdr:row>399</xdr:row>
      <xdr:rowOff>19050</xdr:rowOff>
    </xdr:to>
    <xdr:sp macro="" textlink="">
      <xdr:nvSpPr>
        <xdr:cNvPr id="92208" name="Line 606">
          <a:extLst>
            <a:ext uri="{FF2B5EF4-FFF2-40B4-BE49-F238E27FC236}">
              <a16:creationId xmlns:a16="http://schemas.microsoft.com/office/drawing/2014/main" id="{71A20C33-287D-BA25-5703-A6D77B0BEB02}"/>
            </a:ext>
          </a:extLst>
        </xdr:cNvPr>
        <xdr:cNvSpPr>
          <a:spLocks noChangeShapeType="1"/>
        </xdr:cNvSpPr>
      </xdr:nvSpPr>
      <xdr:spPr bwMode="auto">
        <a:xfrm>
          <a:off x="517071" y="73307121"/>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517071</xdr:colOff>
      <xdr:row>406</xdr:row>
      <xdr:rowOff>119743</xdr:rowOff>
    </xdr:from>
    <xdr:to>
      <xdr:col>0</xdr:col>
      <xdr:colOff>527957</xdr:colOff>
      <xdr:row>406</xdr:row>
      <xdr:rowOff>119743</xdr:rowOff>
    </xdr:to>
    <xdr:sp macro="" textlink="">
      <xdr:nvSpPr>
        <xdr:cNvPr id="92209" name="Line 607">
          <a:extLst>
            <a:ext uri="{FF2B5EF4-FFF2-40B4-BE49-F238E27FC236}">
              <a16:creationId xmlns:a16="http://schemas.microsoft.com/office/drawing/2014/main" id="{41879383-51A2-DA95-335D-7E75DACB9AA1}"/>
            </a:ext>
          </a:extLst>
        </xdr:cNvPr>
        <xdr:cNvSpPr>
          <a:spLocks noChangeShapeType="1"/>
        </xdr:cNvSpPr>
      </xdr:nvSpPr>
      <xdr:spPr bwMode="auto">
        <a:xfrm>
          <a:off x="517071" y="74646064"/>
          <a:ext cx="1088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517071</xdr:colOff>
      <xdr:row>406</xdr:row>
      <xdr:rowOff>103414</xdr:rowOff>
    </xdr:from>
    <xdr:to>
      <xdr:col>0</xdr:col>
      <xdr:colOff>517071</xdr:colOff>
      <xdr:row>406</xdr:row>
      <xdr:rowOff>130629</xdr:rowOff>
    </xdr:to>
    <xdr:sp macro="" textlink="">
      <xdr:nvSpPr>
        <xdr:cNvPr id="92210" name="Line 608">
          <a:extLst>
            <a:ext uri="{FF2B5EF4-FFF2-40B4-BE49-F238E27FC236}">
              <a16:creationId xmlns:a16="http://schemas.microsoft.com/office/drawing/2014/main" id="{0B13060B-ED92-AC94-A9D1-5D46D6CB3BCF}"/>
            </a:ext>
          </a:extLst>
        </xdr:cNvPr>
        <xdr:cNvSpPr>
          <a:spLocks noChangeShapeType="1"/>
        </xdr:cNvSpPr>
      </xdr:nvSpPr>
      <xdr:spPr bwMode="auto">
        <a:xfrm flipV="1">
          <a:off x="517071"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536121</xdr:colOff>
      <xdr:row>406</xdr:row>
      <xdr:rowOff>111579</xdr:rowOff>
    </xdr:from>
    <xdr:to>
      <xdr:col>0</xdr:col>
      <xdr:colOff>536121</xdr:colOff>
      <xdr:row>406</xdr:row>
      <xdr:rowOff>119743</xdr:rowOff>
    </xdr:to>
    <xdr:sp macro="" textlink="">
      <xdr:nvSpPr>
        <xdr:cNvPr id="92211" name="Line 609">
          <a:extLst>
            <a:ext uri="{FF2B5EF4-FFF2-40B4-BE49-F238E27FC236}">
              <a16:creationId xmlns:a16="http://schemas.microsoft.com/office/drawing/2014/main" id="{BCD64F7A-D18C-22E5-A0B0-8B4F9CE05348}"/>
            </a:ext>
          </a:extLst>
        </xdr:cNvPr>
        <xdr:cNvSpPr>
          <a:spLocks noChangeShapeType="1"/>
        </xdr:cNvSpPr>
      </xdr:nvSpPr>
      <xdr:spPr bwMode="auto">
        <a:xfrm>
          <a:off x="536121" y="74637900"/>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517071</xdr:colOff>
      <xdr:row>406</xdr:row>
      <xdr:rowOff>103414</xdr:rowOff>
    </xdr:from>
    <xdr:to>
      <xdr:col>0</xdr:col>
      <xdr:colOff>517071</xdr:colOff>
      <xdr:row>406</xdr:row>
      <xdr:rowOff>130629</xdr:rowOff>
    </xdr:to>
    <xdr:sp macro="" textlink="">
      <xdr:nvSpPr>
        <xdr:cNvPr id="92212" name="Line 610">
          <a:extLst>
            <a:ext uri="{FF2B5EF4-FFF2-40B4-BE49-F238E27FC236}">
              <a16:creationId xmlns:a16="http://schemas.microsoft.com/office/drawing/2014/main" id="{B665C78E-9CA6-C76A-463B-DAD428B6C518}"/>
            </a:ext>
          </a:extLst>
        </xdr:cNvPr>
        <xdr:cNvSpPr>
          <a:spLocks noChangeShapeType="1"/>
        </xdr:cNvSpPr>
      </xdr:nvSpPr>
      <xdr:spPr bwMode="auto">
        <a:xfrm flipV="1">
          <a:off x="517071"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525236</xdr:colOff>
      <xdr:row>406</xdr:row>
      <xdr:rowOff>103414</xdr:rowOff>
    </xdr:from>
    <xdr:to>
      <xdr:col>0</xdr:col>
      <xdr:colOff>525236</xdr:colOff>
      <xdr:row>406</xdr:row>
      <xdr:rowOff>130629</xdr:rowOff>
    </xdr:to>
    <xdr:sp macro="" textlink="">
      <xdr:nvSpPr>
        <xdr:cNvPr id="92213" name="Line 611">
          <a:extLst>
            <a:ext uri="{FF2B5EF4-FFF2-40B4-BE49-F238E27FC236}">
              <a16:creationId xmlns:a16="http://schemas.microsoft.com/office/drawing/2014/main" id="{8DA054D0-470D-670F-AE08-5E290BC0D864}"/>
            </a:ext>
          </a:extLst>
        </xdr:cNvPr>
        <xdr:cNvSpPr>
          <a:spLocks noChangeShapeType="1"/>
        </xdr:cNvSpPr>
      </xdr:nvSpPr>
      <xdr:spPr bwMode="auto">
        <a:xfrm flipV="1">
          <a:off x="525236"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517071</xdr:colOff>
      <xdr:row>406</xdr:row>
      <xdr:rowOff>111579</xdr:rowOff>
    </xdr:from>
    <xdr:to>
      <xdr:col>0</xdr:col>
      <xdr:colOff>527957</xdr:colOff>
      <xdr:row>406</xdr:row>
      <xdr:rowOff>111579</xdr:rowOff>
    </xdr:to>
    <xdr:sp macro="" textlink="">
      <xdr:nvSpPr>
        <xdr:cNvPr id="92214" name="Line 612">
          <a:extLst>
            <a:ext uri="{FF2B5EF4-FFF2-40B4-BE49-F238E27FC236}">
              <a16:creationId xmlns:a16="http://schemas.microsoft.com/office/drawing/2014/main" id="{0C059AE1-C08B-4DF4-7967-1D19E02E5809}"/>
            </a:ext>
          </a:extLst>
        </xdr:cNvPr>
        <xdr:cNvSpPr>
          <a:spLocks noChangeShapeType="1"/>
        </xdr:cNvSpPr>
      </xdr:nvSpPr>
      <xdr:spPr bwMode="auto">
        <a:xfrm>
          <a:off x="517071" y="74637900"/>
          <a:ext cx="1088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406</xdr:row>
      <xdr:rowOff>119743</xdr:rowOff>
    </xdr:from>
    <xdr:to>
      <xdr:col>0</xdr:col>
      <xdr:colOff>598714</xdr:colOff>
      <xdr:row>406</xdr:row>
      <xdr:rowOff>119743</xdr:rowOff>
    </xdr:to>
    <xdr:sp macro="" textlink="">
      <xdr:nvSpPr>
        <xdr:cNvPr id="92215" name="Line 613">
          <a:extLst>
            <a:ext uri="{FF2B5EF4-FFF2-40B4-BE49-F238E27FC236}">
              <a16:creationId xmlns:a16="http://schemas.microsoft.com/office/drawing/2014/main" id="{E84662D0-3BF3-2CC7-90D5-CCE126B6ADA5}"/>
            </a:ext>
          </a:extLst>
        </xdr:cNvPr>
        <xdr:cNvSpPr>
          <a:spLocks noChangeShapeType="1"/>
        </xdr:cNvSpPr>
      </xdr:nvSpPr>
      <xdr:spPr bwMode="auto">
        <a:xfrm>
          <a:off x="587829" y="74646064"/>
          <a:ext cx="1088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576943</xdr:colOff>
      <xdr:row>406</xdr:row>
      <xdr:rowOff>103414</xdr:rowOff>
    </xdr:from>
    <xdr:to>
      <xdr:col>0</xdr:col>
      <xdr:colOff>576943</xdr:colOff>
      <xdr:row>406</xdr:row>
      <xdr:rowOff>130629</xdr:rowOff>
    </xdr:to>
    <xdr:sp macro="" textlink="">
      <xdr:nvSpPr>
        <xdr:cNvPr id="92216" name="Line 614">
          <a:extLst>
            <a:ext uri="{FF2B5EF4-FFF2-40B4-BE49-F238E27FC236}">
              <a16:creationId xmlns:a16="http://schemas.microsoft.com/office/drawing/2014/main" id="{479FEAE8-4160-9508-405E-7AEA8122B3F7}"/>
            </a:ext>
          </a:extLst>
        </xdr:cNvPr>
        <xdr:cNvSpPr>
          <a:spLocks noChangeShapeType="1"/>
        </xdr:cNvSpPr>
      </xdr:nvSpPr>
      <xdr:spPr bwMode="auto">
        <a:xfrm flipV="1">
          <a:off x="576943"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606879</xdr:colOff>
      <xdr:row>406</xdr:row>
      <xdr:rowOff>111579</xdr:rowOff>
    </xdr:from>
    <xdr:to>
      <xdr:col>0</xdr:col>
      <xdr:colOff>606879</xdr:colOff>
      <xdr:row>406</xdr:row>
      <xdr:rowOff>119743</xdr:rowOff>
    </xdr:to>
    <xdr:sp macro="" textlink="">
      <xdr:nvSpPr>
        <xdr:cNvPr id="92217" name="Line 615">
          <a:extLst>
            <a:ext uri="{FF2B5EF4-FFF2-40B4-BE49-F238E27FC236}">
              <a16:creationId xmlns:a16="http://schemas.microsoft.com/office/drawing/2014/main" id="{CDF5F425-4320-62ED-827C-8AD7EE3CEA29}"/>
            </a:ext>
          </a:extLst>
        </xdr:cNvPr>
        <xdr:cNvSpPr>
          <a:spLocks noChangeShapeType="1"/>
        </xdr:cNvSpPr>
      </xdr:nvSpPr>
      <xdr:spPr bwMode="auto">
        <a:xfrm>
          <a:off x="606879" y="74637900"/>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406</xdr:row>
      <xdr:rowOff>103414</xdr:rowOff>
    </xdr:from>
    <xdr:to>
      <xdr:col>0</xdr:col>
      <xdr:colOff>587829</xdr:colOff>
      <xdr:row>406</xdr:row>
      <xdr:rowOff>130629</xdr:rowOff>
    </xdr:to>
    <xdr:sp macro="" textlink="">
      <xdr:nvSpPr>
        <xdr:cNvPr id="92218" name="Line 616">
          <a:extLst>
            <a:ext uri="{FF2B5EF4-FFF2-40B4-BE49-F238E27FC236}">
              <a16:creationId xmlns:a16="http://schemas.microsoft.com/office/drawing/2014/main" id="{5D2E6586-A012-8B53-84F9-65109E22D1EA}"/>
            </a:ext>
          </a:extLst>
        </xdr:cNvPr>
        <xdr:cNvSpPr>
          <a:spLocks noChangeShapeType="1"/>
        </xdr:cNvSpPr>
      </xdr:nvSpPr>
      <xdr:spPr bwMode="auto">
        <a:xfrm flipV="1">
          <a:off x="587829"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595993</xdr:colOff>
      <xdr:row>406</xdr:row>
      <xdr:rowOff>103414</xdr:rowOff>
    </xdr:from>
    <xdr:to>
      <xdr:col>0</xdr:col>
      <xdr:colOff>595993</xdr:colOff>
      <xdr:row>406</xdr:row>
      <xdr:rowOff>130629</xdr:rowOff>
    </xdr:to>
    <xdr:sp macro="" textlink="">
      <xdr:nvSpPr>
        <xdr:cNvPr id="92219" name="Line 617">
          <a:extLst>
            <a:ext uri="{FF2B5EF4-FFF2-40B4-BE49-F238E27FC236}">
              <a16:creationId xmlns:a16="http://schemas.microsoft.com/office/drawing/2014/main" id="{209FD314-3275-57D6-6A97-04847634CF8D}"/>
            </a:ext>
          </a:extLst>
        </xdr:cNvPr>
        <xdr:cNvSpPr>
          <a:spLocks noChangeShapeType="1"/>
        </xdr:cNvSpPr>
      </xdr:nvSpPr>
      <xdr:spPr bwMode="auto">
        <a:xfrm flipV="1">
          <a:off x="595993"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587829</xdr:colOff>
      <xdr:row>406</xdr:row>
      <xdr:rowOff>111579</xdr:rowOff>
    </xdr:from>
    <xdr:to>
      <xdr:col>0</xdr:col>
      <xdr:colOff>598714</xdr:colOff>
      <xdr:row>406</xdr:row>
      <xdr:rowOff>111579</xdr:rowOff>
    </xdr:to>
    <xdr:sp macro="" textlink="">
      <xdr:nvSpPr>
        <xdr:cNvPr id="92220" name="Line 618">
          <a:extLst>
            <a:ext uri="{FF2B5EF4-FFF2-40B4-BE49-F238E27FC236}">
              <a16:creationId xmlns:a16="http://schemas.microsoft.com/office/drawing/2014/main" id="{36138979-7064-79EB-F8E4-80761B4533A3}"/>
            </a:ext>
          </a:extLst>
        </xdr:cNvPr>
        <xdr:cNvSpPr>
          <a:spLocks noChangeShapeType="1"/>
        </xdr:cNvSpPr>
      </xdr:nvSpPr>
      <xdr:spPr bwMode="auto">
        <a:xfrm>
          <a:off x="587829" y="74637900"/>
          <a:ext cx="1088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406</xdr:row>
      <xdr:rowOff>119743</xdr:rowOff>
    </xdr:from>
    <xdr:to>
      <xdr:col>1</xdr:col>
      <xdr:colOff>19050</xdr:colOff>
      <xdr:row>406</xdr:row>
      <xdr:rowOff>119743</xdr:rowOff>
    </xdr:to>
    <xdr:sp macro="" textlink="">
      <xdr:nvSpPr>
        <xdr:cNvPr id="92221" name="Line 619">
          <a:extLst>
            <a:ext uri="{FF2B5EF4-FFF2-40B4-BE49-F238E27FC236}">
              <a16:creationId xmlns:a16="http://schemas.microsoft.com/office/drawing/2014/main" id="{F841F86C-4E64-8DA6-C450-7A37DE7DD6E2}"/>
            </a:ext>
          </a:extLst>
        </xdr:cNvPr>
        <xdr:cNvSpPr>
          <a:spLocks noChangeShapeType="1"/>
        </xdr:cNvSpPr>
      </xdr:nvSpPr>
      <xdr:spPr bwMode="auto">
        <a:xfrm>
          <a:off x="647700" y="74646064"/>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406</xdr:row>
      <xdr:rowOff>103414</xdr:rowOff>
    </xdr:from>
    <xdr:to>
      <xdr:col>1</xdr:col>
      <xdr:colOff>0</xdr:colOff>
      <xdr:row>406</xdr:row>
      <xdr:rowOff>130629</xdr:rowOff>
    </xdr:to>
    <xdr:sp macro="" textlink="">
      <xdr:nvSpPr>
        <xdr:cNvPr id="92222" name="Line 620">
          <a:extLst>
            <a:ext uri="{FF2B5EF4-FFF2-40B4-BE49-F238E27FC236}">
              <a16:creationId xmlns:a16="http://schemas.microsoft.com/office/drawing/2014/main" id="{D694D2E7-19D1-A1BA-9D92-8CD7CB382007}"/>
            </a:ext>
          </a:extLst>
        </xdr:cNvPr>
        <xdr:cNvSpPr>
          <a:spLocks noChangeShapeType="1"/>
        </xdr:cNvSpPr>
      </xdr:nvSpPr>
      <xdr:spPr bwMode="auto">
        <a:xfrm flipV="1">
          <a:off x="647700"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406</xdr:row>
      <xdr:rowOff>111579</xdr:rowOff>
    </xdr:from>
    <xdr:to>
      <xdr:col>1</xdr:col>
      <xdr:colOff>19050</xdr:colOff>
      <xdr:row>406</xdr:row>
      <xdr:rowOff>119743</xdr:rowOff>
    </xdr:to>
    <xdr:sp macro="" textlink="">
      <xdr:nvSpPr>
        <xdr:cNvPr id="92223" name="Line 621">
          <a:extLst>
            <a:ext uri="{FF2B5EF4-FFF2-40B4-BE49-F238E27FC236}">
              <a16:creationId xmlns:a16="http://schemas.microsoft.com/office/drawing/2014/main" id="{7B4D0338-73F3-DD7C-88CC-2E20748768A8}"/>
            </a:ext>
          </a:extLst>
        </xdr:cNvPr>
        <xdr:cNvSpPr>
          <a:spLocks noChangeShapeType="1"/>
        </xdr:cNvSpPr>
      </xdr:nvSpPr>
      <xdr:spPr bwMode="auto">
        <a:xfrm>
          <a:off x="666750" y="74637900"/>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406</xdr:row>
      <xdr:rowOff>103414</xdr:rowOff>
    </xdr:from>
    <xdr:to>
      <xdr:col>1</xdr:col>
      <xdr:colOff>0</xdr:colOff>
      <xdr:row>406</xdr:row>
      <xdr:rowOff>130629</xdr:rowOff>
    </xdr:to>
    <xdr:sp macro="" textlink="">
      <xdr:nvSpPr>
        <xdr:cNvPr id="92224" name="Line 622">
          <a:extLst>
            <a:ext uri="{FF2B5EF4-FFF2-40B4-BE49-F238E27FC236}">
              <a16:creationId xmlns:a16="http://schemas.microsoft.com/office/drawing/2014/main" id="{217197CA-E43D-257F-DE55-A3C531237F54}"/>
            </a:ext>
          </a:extLst>
        </xdr:cNvPr>
        <xdr:cNvSpPr>
          <a:spLocks noChangeShapeType="1"/>
        </xdr:cNvSpPr>
      </xdr:nvSpPr>
      <xdr:spPr bwMode="auto">
        <a:xfrm flipV="1">
          <a:off x="647700"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406</xdr:row>
      <xdr:rowOff>103414</xdr:rowOff>
    </xdr:from>
    <xdr:to>
      <xdr:col>1</xdr:col>
      <xdr:colOff>19050</xdr:colOff>
      <xdr:row>406</xdr:row>
      <xdr:rowOff>130629</xdr:rowOff>
    </xdr:to>
    <xdr:sp macro="" textlink="">
      <xdr:nvSpPr>
        <xdr:cNvPr id="92225" name="Line 623">
          <a:extLst>
            <a:ext uri="{FF2B5EF4-FFF2-40B4-BE49-F238E27FC236}">
              <a16:creationId xmlns:a16="http://schemas.microsoft.com/office/drawing/2014/main" id="{8EEA4562-BD18-359A-2FCD-272F7ADAB143}"/>
            </a:ext>
          </a:extLst>
        </xdr:cNvPr>
        <xdr:cNvSpPr>
          <a:spLocks noChangeShapeType="1"/>
        </xdr:cNvSpPr>
      </xdr:nvSpPr>
      <xdr:spPr bwMode="auto">
        <a:xfrm flipV="1">
          <a:off x="666750"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406</xdr:row>
      <xdr:rowOff>103414</xdr:rowOff>
    </xdr:from>
    <xdr:to>
      <xdr:col>1</xdr:col>
      <xdr:colOff>19050</xdr:colOff>
      <xdr:row>406</xdr:row>
      <xdr:rowOff>103414</xdr:rowOff>
    </xdr:to>
    <xdr:sp macro="" textlink="">
      <xdr:nvSpPr>
        <xdr:cNvPr id="92226" name="Line 624">
          <a:extLst>
            <a:ext uri="{FF2B5EF4-FFF2-40B4-BE49-F238E27FC236}">
              <a16:creationId xmlns:a16="http://schemas.microsoft.com/office/drawing/2014/main" id="{D2F20ECE-D110-C666-8E6B-F408E3DF7097}"/>
            </a:ext>
          </a:extLst>
        </xdr:cNvPr>
        <xdr:cNvSpPr>
          <a:spLocks noChangeShapeType="1"/>
        </xdr:cNvSpPr>
      </xdr:nvSpPr>
      <xdr:spPr bwMode="auto">
        <a:xfrm>
          <a:off x="647700" y="74629736"/>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406</xdr:row>
      <xdr:rowOff>119743</xdr:rowOff>
    </xdr:from>
    <xdr:to>
      <xdr:col>0</xdr:col>
      <xdr:colOff>465364</xdr:colOff>
      <xdr:row>406</xdr:row>
      <xdr:rowOff>119743</xdr:rowOff>
    </xdr:to>
    <xdr:sp macro="" textlink="">
      <xdr:nvSpPr>
        <xdr:cNvPr id="92227" name="Line 625">
          <a:extLst>
            <a:ext uri="{FF2B5EF4-FFF2-40B4-BE49-F238E27FC236}">
              <a16:creationId xmlns:a16="http://schemas.microsoft.com/office/drawing/2014/main" id="{53FC1893-6499-A402-2A0F-D27DB9D4AA2E}"/>
            </a:ext>
          </a:extLst>
        </xdr:cNvPr>
        <xdr:cNvSpPr>
          <a:spLocks noChangeShapeType="1"/>
        </xdr:cNvSpPr>
      </xdr:nvSpPr>
      <xdr:spPr bwMode="auto">
        <a:xfrm>
          <a:off x="446314" y="74646064"/>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406</xdr:row>
      <xdr:rowOff>103414</xdr:rowOff>
    </xdr:from>
    <xdr:to>
      <xdr:col>0</xdr:col>
      <xdr:colOff>446314</xdr:colOff>
      <xdr:row>406</xdr:row>
      <xdr:rowOff>130629</xdr:rowOff>
    </xdr:to>
    <xdr:sp macro="" textlink="">
      <xdr:nvSpPr>
        <xdr:cNvPr id="92228" name="Line 626">
          <a:extLst>
            <a:ext uri="{FF2B5EF4-FFF2-40B4-BE49-F238E27FC236}">
              <a16:creationId xmlns:a16="http://schemas.microsoft.com/office/drawing/2014/main" id="{381751C8-60F2-23AD-17D8-3736C97C730A}"/>
            </a:ext>
          </a:extLst>
        </xdr:cNvPr>
        <xdr:cNvSpPr>
          <a:spLocks noChangeShapeType="1"/>
        </xdr:cNvSpPr>
      </xdr:nvSpPr>
      <xdr:spPr bwMode="auto">
        <a:xfrm flipV="1">
          <a:off x="446314"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406</xdr:row>
      <xdr:rowOff>111579</xdr:rowOff>
    </xdr:from>
    <xdr:to>
      <xdr:col>0</xdr:col>
      <xdr:colOff>465364</xdr:colOff>
      <xdr:row>406</xdr:row>
      <xdr:rowOff>119743</xdr:rowOff>
    </xdr:to>
    <xdr:sp macro="" textlink="">
      <xdr:nvSpPr>
        <xdr:cNvPr id="92229" name="Line 627">
          <a:extLst>
            <a:ext uri="{FF2B5EF4-FFF2-40B4-BE49-F238E27FC236}">
              <a16:creationId xmlns:a16="http://schemas.microsoft.com/office/drawing/2014/main" id="{2BF9FD59-913D-2E6E-4E25-512B1A661B25}"/>
            </a:ext>
          </a:extLst>
        </xdr:cNvPr>
        <xdr:cNvSpPr>
          <a:spLocks noChangeShapeType="1"/>
        </xdr:cNvSpPr>
      </xdr:nvSpPr>
      <xdr:spPr bwMode="auto">
        <a:xfrm>
          <a:off x="465364" y="74637900"/>
          <a:ext cx="0"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406</xdr:row>
      <xdr:rowOff>103414</xdr:rowOff>
    </xdr:from>
    <xdr:to>
      <xdr:col>0</xdr:col>
      <xdr:colOff>446314</xdr:colOff>
      <xdr:row>406</xdr:row>
      <xdr:rowOff>130629</xdr:rowOff>
    </xdr:to>
    <xdr:sp macro="" textlink="">
      <xdr:nvSpPr>
        <xdr:cNvPr id="92230" name="Line 628">
          <a:extLst>
            <a:ext uri="{FF2B5EF4-FFF2-40B4-BE49-F238E27FC236}">
              <a16:creationId xmlns:a16="http://schemas.microsoft.com/office/drawing/2014/main" id="{190215BD-8AF4-6A35-6EDC-97DDD5EC3643}"/>
            </a:ext>
          </a:extLst>
        </xdr:cNvPr>
        <xdr:cNvSpPr>
          <a:spLocks noChangeShapeType="1"/>
        </xdr:cNvSpPr>
      </xdr:nvSpPr>
      <xdr:spPr bwMode="auto">
        <a:xfrm flipV="1">
          <a:off x="446314"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406</xdr:row>
      <xdr:rowOff>103414</xdr:rowOff>
    </xdr:from>
    <xdr:to>
      <xdr:col>0</xdr:col>
      <xdr:colOff>465364</xdr:colOff>
      <xdr:row>406</xdr:row>
      <xdr:rowOff>130629</xdr:rowOff>
    </xdr:to>
    <xdr:sp macro="" textlink="">
      <xdr:nvSpPr>
        <xdr:cNvPr id="92231" name="Line 629">
          <a:extLst>
            <a:ext uri="{FF2B5EF4-FFF2-40B4-BE49-F238E27FC236}">
              <a16:creationId xmlns:a16="http://schemas.microsoft.com/office/drawing/2014/main" id="{905A9311-14DB-84D7-DB01-F902DFDB37D3}"/>
            </a:ext>
          </a:extLst>
        </xdr:cNvPr>
        <xdr:cNvSpPr>
          <a:spLocks noChangeShapeType="1"/>
        </xdr:cNvSpPr>
      </xdr:nvSpPr>
      <xdr:spPr bwMode="auto">
        <a:xfrm flipV="1">
          <a:off x="465364" y="74629736"/>
          <a:ext cx="0" cy="2721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406</xdr:row>
      <xdr:rowOff>103414</xdr:rowOff>
    </xdr:from>
    <xdr:to>
      <xdr:col>0</xdr:col>
      <xdr:colOff>465364</xdr:colOff>
      <xdr:row>406</xdr:row>
      <xdr:rowOff>103414</xdr:rowOff>
    </xdr:to>
    <xdr:sp macro="" textlink="">
      <xdr:nvSpPr>
        <xdr:cNvPr id="92232" name="Line 630">
          <a:extLst>
            <a:ext uri="{FF2B5EF4-FFF2-40B4-BE49-F238E27FC236}">
              <a16:creationId xmlns:a16="http://schemas.microsoft.com/office/drawing/2014/main" id="{B09846B6-50E1-252C-0FFE-89278E6FBE4E}"/>
            </a:ext>
          </a:extLst>
        </xdr:cNvPr>
        <xdr:cNvSpPr>
          <a:spLocks noChangeShapeType="1"/>
        </xdr:cNvSpPr>
      </xdr:nvSpPr>
      <xdr:spPr bwMode="auto">
        <a:xfrm>
          <a:off x="446314" y="74629736"/>
          <a:ext cx="19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536121</xdr:colOff>
      <xdr:row>396</xdr:row>
      <xdr:rowOff>84364</xdr:rowOff>
    </xdr:from>
    <xdr:to>
      <xdr:col>0</xdr:col>
      <xdr:colOff>536121</xdr:colOff>
      <xdr:row>396</xdr:row>
      <xdr:rowOff>111579</xdr:rowOff>
    </xdr:to>
    <xdr:sp macro="" textlink="">
      <xdr:nvSpPr>
        <xdr:cNvPr id="92233" name="Rectangle 631">
          <a:extLst>
            <a:ext uri="{FF2B5EF4-FFF2-40B4-BE49-F238E27FC236}">
              <a16:creationId xmlns:a16="http://schemas.microsoft.com/office/drawing/2014/main" id="{AFC1B2CF-83DE-73B2-AC07-49BFD39D92A6}"/>
            </a:ext>
          </a:extLst>
        </xdr:cNvPr>
        <xdr:cNvSpPr>
          <a:spLocks noChangeArrowheads="1"/>
        </xdr:cNvSpPr>
      </xdr:nvSpPr>
      <xdr:spPr bwMode="auto">
        <a:xfrm>
          <a:off x="536121" y="72841757"/>
          <a:ext cx="0"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636814</xdr:colOff>
      <xdr:row>396</xdr:row>
      <xdr:rowOff>84364</xdr:rowOff>
    </xdr:from>
    <xdr:to>
      <xdr:col>1</xdr:col>
      <xdr:colOff>0</xdr:colOff>
      <xdr:row>396</xdr:row>
      <xdr:rowOff>111579</xdr:rowOff>
    </xdr:to>
    <xdr:sp macro="" textlink="">
      <xdr:nvSpPr>
        <xdr:cNvPr id="92234" name="Rectangle 632">
          <a:extLst>
            <a:ext uri="{FF2B5EF4-FFF2-40B4-BE49-F238E27FC236}">
              <a16:creationId xmlns:a16="http://schemas.microsoft.com/office/drawing/2014/main" id="{36D35CC5-27B6-E8A7-E341-1B83E478B9A0}"/>
            </a:ext>
          </a:extLst>
        </xdr:cNvPr>
        <xdr:cNvSpPr>
          <a:spLocks noChangeArrowheads="1"/>
        </xdr:cNvSpPr>
      </xdr:nvSpPr>
      <xdr:spPr bwMode="auto">
        <a:xfrm>
          <a:off x="636814" y="72841757"/>
          <a:ext cx="10886"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606879</xdr:colOff>
      <xdr:row>396</xdr:row>
      <xdr:rowOff>84364</xdr:rowOff>
    </xdr:from>
    <xdr:to>
      <xdr:col>0</xdr:col>
      <xdr:colOff>606879</xdr:colOff>
      <xdr:row>396</xdr:row>
      <xdr:rowOff>111579</xdr:rowOff>
    </xdr:to>
    <xdr:sp macro="" textlink="">
      <xdr:nvSpPr>
        <xdr:cNvPr id="92235" name="Rectangle 633">
          <a:extLst>
            <a:ext uri="{FF2B5EF4-FFF2-40B4-BE49-F238E27FC236}">
              <a16:creationId xmlns:a16="http://schemas.microsoft.com/office/drawing/2014/main" id="{66B3F95C-78DE-373B-D6B8-A932C2D14365}"/>
            </a:ext>
          </a:extLst>
        </xdr:cNvPr>
        <xdr:cNvSpPr>
          <a:spLocks noChangeArrowheads="1"/>
        </xdr:cNvSpPr>
      </xdr:nvSpPr>
      <xdr:spPr bwMode="auto">
        <a:xfrm>
          <a:off x="606879" y="72841757"/>
          <a:ext cx="0"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587829</xdr:colOff>
      <xdr:row>396</xdr:row>
      <xdr:rowOff>84364</xdr:rowOff>
    </xdr:from>
    <xdr:to>
      <xdr:col>0</xdr:col>
      <xdr:colOff>587829</xdr:colOff>
      <xdr:row>396</xdr:row>
      <xdr:rowOff>111579</xdr:rowOff>
    </xdr:to>
    <xdr:sp macro="" textlink="">
      <xdr:nvSpPr>
        <xdr:cNvPr id="92236" name="Rectangle 634">
          <a:extLst>
            <a:ext uri="{FF2B5EF4-FFF2-40B4-BE49-F238E27FC236}">
              <a16:creationId xmlns:a16="http://schemas.microsoft.com/office/drawing/2014/main" id="{9E264F53-258C-93A2-1029-7A103C567F26}"/>
            </a:ext>
          </a:extLst>
        </xdr:cNvPr>
        <xdr:cNvSpPr>
          <a:spLocks noChangeArrowheads="1"/>
        </xdr:cNvSpPr>
      </xdr:nvSpPr>
      <xdr:spPr bwMode="auto">
        <a:xfrm>
          <a:off x="587829" y="72841757"/>
          <a:ext cx="0"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566057</xdr:colOff>
      <xdr:row>396</xdr:row>
      <xdr:rowOff>84364</xdr:rowOff>
    </xdr:from>
    <xdr:to>
      <xdr:col>0</xdr:col>
      <xdr:colOff>576943</xdr:colOff>
      <xdr:row>396</xdr:row>
      <xdr:rowOff>111579</xdr:rowOff>
    </xdr:to>
    <xdr:sp macro="" textlink="">
      <xdr:nvSpPr>
        <xdr:cNvPr id="92237" name="Rectangle 635">
          <a:extLst>
            <a:ext uri="{FF2B5EF4-FFF2-40B4-BE49-F238E27FC236}">
              <a16:creationId xmlns:a16="http://schemas.microsoft.com/office/drawing/2014/main" id="{CFF9B0F2-88F3-729C-A60A-A0A32A7B4B16}"/>
            </a:ext>
          </a:extLst>
        </xdr:cNvPr>
        <xdr:cNvSpPr>
          <a:spLocks noChangeArrowheads="1"/>
        </xdr:cNvSpPr>
      </xdr:nvSpPr>
      <xdr:spPr bwMode="auto">
        <a:xfrm>
          <a:off x="566057" y="72841757"/>
          <a:ext cx="10886"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628650</xdr:colOff>
      <xdr:row>396</xdr:row>
      <xdr:rowOff>84364</xdr:rowOff>
    </xdr:from>
    <xdr:to>
      <xdr:col>0</xdr:col>
      <xdr:colOff>628650</xdr:colOff>
      <xdr:row>396</xdr:row>
      <xdr:rowOff>111579</xdr:rowOff>
    </xdr:to>
    <xdr:sp macro="" textlink="">
      <xdr:nvSpPr>
        <xdr:cNvPr id="92238" name="Rectangle 636">
          <a:extLst>
            <a:ext uri="{FF2B5EF4-FFF2-40B4-BE49-F238E27FC236}">
              <a16:creationId xmlns:a16="http://schemas.microsoft.com/office/drawing/2014/main" id="{954A9AF5-C130-8583-CDD2-9DB105AC2BDA}"/>
            </a:ext>
          </a:extLst>
        </xdr:cNvPr>
        <xdr:cNvSpPr>
          <a:spLocks noChangeArrowheads="1"/>
        </xdr:cNvSpPr>
      </xdr:nvSpPr>
      <xdr:spPr bwMode="auto">
        <a:xfrm>
          <a:off x="628650" y="72841757"/>
          <a:ext cx="0"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557893</xdr:colOff>
      <xdr:row>396</xdr:row>
      <xdr:rowOff>84364</xdr:rowOff>
    </xdr:from>
    <xdr:to>
      <xdr:col>0</xdr:col>
      <xdr:colOff>557893</xdr:colOff>
      <xdr:row>396</xdr:row>
      <xdr:rowOff>111579</xdr:rowOff>
    </xdr:to>
    <xdr:sp macro="" textlink="">
      <xdr:nvSpPr>
        <xdr:cNvPr id="92239" name="Rectangle 637">
          <a:extLst>
            <a:ext uri="{FF2B5EF4-FFF2-40B4-BE49-F238E27FC236}">
              <a16:creationId xmlns:a16="http://schemas.microsoft.com/office/drawing/2014/main" id="{46A38ECB-068A-4942-FE91-2547FAB6FB73}"/>
            </a:ext>
          </a:extLst>
        </xdr:cNvPr>
        <xdr:cNvSpPr>
          <a:spLocks noChangeArrowheads="1"/>
        </xdr:cNvSpPr>
      </xdr:nvSpPr>
      <xdr:spPr bwMode="auto">
        <a:xfrm>
          <a:off x="557893" y="72841757"/>
          <a:ext cx="0"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517071</xdr:colOff>
      <xdr:row>396</xdr:row>
      <xdr:rowOff>84364</xdr:rowOff>
    </xdr:from>
    <xdr:to>
      <xdr:col>0</xdr:col>
      <xdr:colOff>517071</xdr:colOff>
      <xdr:row>396</xdr:row>
      <xdr:rowOff>111579</xdr:rowOff>
    </xdr:to>
    <xdr:sp macro="" textlink="">
      <xdr:nvSpPr>
        <xdr:cNvPr id="92240" name="Rectangle 638">
          <a:extLst>
            <a:ext uri="{FF2B5EF4-FFF2-40B4-BE49-F238E27FC236}">
              <a16:creationId xmlns:a16="http://schemas.microsoft.com/office/drawing/2014/main" id="{7F292846-50F4-B363-349C-A27AB9B44E16}"/>
            </a:ext>
          </a:extLst>
        </xdr:cNvPr>
        <xdr:cNvSpPr>
          <a:spLocks noChangeArrowheads="1"/>
        </xdr:cNvSpPr>
      </xdr:nvSpPr>
      <xdr:spPr bwMode="auto">
        <a:xfrm>
          <a:off x="517071" y="72841757"/>
          <a:ext cx="0"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495300</xdr:colOff>
      <xdr:row>396</xdr:row>
      <xdr:rowOff>84364</xdr:rowOff>
    </xdr:from>
    <xdr:to>
      <xdr:col>0</xdr:col>
      <xdr:colOff>506186</xdr:colOff>
      <xdr:row>396</xdr:row>
      <xdr:rowOff>111579</xdr:rowOff>
    </xdr:to>
    <xdr:sp macro="" textlink="">
      <xdr:nvSpPr>
        <xdr:cNvPr id="92241" name="Rectangle 639">
          <a:extLst>
            <a:ext uri="{FF2B5EF4-FFF2-40B4-BE49-F238E27FC236}">
              <a16:creationId xmlns:a16="http://schemas.microsoft.com/office/drawing/2014/main" id="{BCF930DA-333E-BBBE-7968-B7245F9B199F}"/>
            </a:ext>
          </a:extLst>
        </xdr:cNvPr>
        <xdr:cNvSpPr>
          <a:spLocks noChangeArrowheads="1"/>
        </xdr:cNvSpPr>
      </xdr:nvSpPr>
      <xdr:spPr bwMode="auto">
        <a:xfrm>
          <a:off x="495300" y="72841757"/>
          <a:ext cx="10886"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476250</xdr:colOff>
      <xdr:row>396</xdr:row>
      <xdr:rowOff>84364</xdr:rowOff>
    </xdr:from>
    <xdr:to>
      <xdr:col>0</xdr:col>
      <xdr:colOff>487136</xdr:colOff>
      <xdr:row>396</xdr:row>
      <xdr:rowOff>111579</xdr:rowOff>
    </xdr:to>
    <xdr:sp macro="" textlink="">
      <xdr:nvSpPr>
        <xdr:cNvPr id="92242" name="Rectangle 640">
          <a:extLst>
            <a:ext uri="{FF2B5EF4-FFF2-40B4-BE49-F238E27FC236}">
              <a16:creationId xmlns:a16="http://schemas.microsoft.com/office/drawing/2014/main" id="{87B46833-3A47-2082-0499-BC5F79607206}"/>
            </a:ext>
          </a:extLst>
        </xdr:cNvPr>
        <xdr:cNvSpPr>
          <a:spLocks noChangeArrowheads="1"/>
        </xdr:cNvSpPr>
      </xdr:nvSpPr>
      <xdr:spPr bwMode="auto">
        <a:xfrm>
          <a:off x="476250" y="72841757"/>
          <a:ext cx="10886"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465364</xdr:colOff>
      <xdr:row>396</xdr:row>
      <xdr:rowOff>84364</xdr:rowOff>
    </xdr:from>
    <xdr:to>
      <xdr:col>0</xdr:col>
      <xdr:colOff>465364</xdr:colOff>
      <xdr:row>396</xdr:row>
      <xdr:rowOff>111579</xdr:rowOff>
    </xdr:to>
    <xdr:sp macro="" textlink="">
      <xdr:nvSpPr>
        <xdr:cNvPr id="92243" name="Rectangle 641">
          <a:extLst>
            <a:ext uri="{FF2B5EF4-FFF2-40B4-BE49-F238E27FC236}">
              <a16:creationId xmlns:a16="http://schemas.microsoft.com/office/drawing/2014/main" id="{9BA0477E-4529-63AA-DBAF-26EFE2CB71C9}"/>
            </a:ext>
          </a:extLst>
        </xdr:cNvPr>
        <xdr:cNvSpPr>
          <a:spLocks noChangeArrowheads="1"/>
        </xdr:cNvSpPr>
      </xdr:nvSpPr>
      <xdr:spPr bwMode="auto">
        <a:xfrm>
          <a:off x="465364" y="72841757"/>
          <a:ext cx="0" cy="272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446314</xdr:colOff>
      <xdr:row>405</xdr:row>
      <xdr:rowOff>46264</xdr:rowOff>
    </xdr:from>
    <xdr:to>
      <xdr:col>0</xdr:col>
      <xdr:colOff>446314</xdr:colOff>
      <xdr:row>405</xdr:row>
      <xdr:rowOff>84364</xdr:rowOff>
    </xdr:to>
    <xdr:sp macro="" textlink="">
      <xdr:nvSpPr>
        <xdr:cNvPr id="92244" name="Line 642">
          <a:extLst>
            <a:ext uri="{FF2B5EF4-FFF2-40B4-BE49-F238E27FC236}">
              <a16:creationId xmlns:a16="http://schemas.microsoft.com/office/drawing/2014/main" id="{377C64E3-E2E4-F0F8-FF4A-686CB249591B}"/>
            </a:ext>
          </a:extLst>
        </xdr:cNvPr>
        <xdr:cNvSpPr>
          <a:spLocks noChangeShapeType="1"/>
        </xdr:cNvSpPr>
      </xdr:nvSpPr>
      <xdr:spPr bwMode="auto">
        <a:xfrm flipV="1">
          <a:off x="446314" y="74395693"/>
          <a:ext cx="0"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379</xdr:row>
      <xdr:rowOff>149679</xdr:rowOff>
    </xdr:from>
    <xdr:to>
      <xdr:col>1</xdr:col>
      <xdr:colOff>0</xdr:colOff>
      <xdr:row>382</xdr:row>
      <xdr:rowOff>0</xdr:rowOff>
    </xdr:to>
    <xdr:sp macro="" textlink="">
      <xdr:nvSpPr>
        <xdr:cNvPr id="92245" name="Rectangle 643">
          <a:extLst>
            <a:ext uri="{FF2B5EF4-FFF2-40B4-BE49-F238E27FC236}">
              <a16:creationId xmlns:a16="http://schemas.microsoft.com/office/drawing/2014/main" id="{A8F8AEDA-74E1-35B8-2719-A6F68CC6B0DB}"/>
            </a:ext>
          </a:extLst>
        </xdr:cNvPr>
        <xdr:cNvSpPr>
          <a:spLocks noChangeArrowheads="1"/>
        </xdr:cNvSpPr>
      </xdr:nvSpPr>
      <xdr:spPr bwMode="auto">
        <a:xfrm>
          <a:off x="465364" y="69899893"/>
          <a:ext cx="182336" cy="381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487136</xdr:colOff>
      <xdr:row>379</xdr:row>
      <xdr:rowOff>119743</xdr:rowOff>
    </xdr:from>
    <xdr:to>
      <xdr:col>0</xdr:col>
      <xdr:colOff>628650</xdr:colOff>
      <xdr:row>379</xdr:row>
      <xdr:rowOff>119743</xdr:rowOff>
    </xdr:to>
    <xdr:sp macro="" textlink="">
      <xdr:nvSpPr>
        <xdr:cNvPr id="92246" name="Line 644">
          <a:extLst>
            <a:ext uri="{FF2B5EF4-FFF2-40B4-BE49-F238E27FC236}">
              <a16:creationId xmlns:a16="http://schemas.microsoft.com/office/drawing/2014/main" id="{410A5090-2003-AB38-C92E-B800117A34D8}"/>
            </a:ext>
          </a:extLst>
        </xdr:cNvPr>
        <xdr:cNvSpPr>
          <a:spLocks noChangeShapeType="1"/>
        </xdr:cNvSpPr>
      </xdr:nvSpPr>
      <xdr:spPr bwMode="auto">
        <a:xfrm>
          <a:off x="487136" y="69869957"/>
          <a:ext cx="14151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487136</xdr:colOff>
      <xdr:row>382</xdr:row>
      <xdr:rowOff>38100</xdr:rowOff>
    </xdr:from>
    <xdr:to>
      <xdr:col>0</xdr:col>
      <xdr:colOff>628650</xdr:colOff>
      <xdr:row>382</xdr:row>
      <xdr:rowOff>38100</xdr:rowOff>
    </xdr:to>
    <xdr:sp macro="" textlink="">
      <xdr:nvSpPr>
        <xdr:cNvPr id="92247" name="Line 645">
          <a:extLst>
            <a:ext uri="{FF2B5EF4-FFF2-40B4-BE49-F238E27FC236}">
              <a16:creationId xmlns:a16="http://schemas.microsoft.com/office/drawing/2014/main" id="{E518F34D-108B-C327-D087-4A07197EB27B}"/>
            </a:ext>
          </a:extLst>
        </xdr:cNvPr>
        <xdr:cNvSpPr>
          <a:spLocks noChangeShapeType="1"/>
        </xdr:cNvSpPr>
      </xdr:nvSpPr>
      <xdr:spPr bwMode="auto">
        <a:xfrm>
          <a:off x="487136" y="70318993"/>
          <a:ext cx="14151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379</xdr:row>
      <xdr:rowOff>119743</xdr:rowOff>
    </xdr:from>
    <xdr:to>
      <xdr:col>0</xdr:col>
      <xdr:colOff>484414</xdr:colOff>
      <xdr:row>379</xdr:row>
      <xdr:rowOff>127907</xdr:rowOff>
    </xdr:to>
    <xdr:sp macro="" textlink="">
      <xdr:nvSpPr>
        <xdr:cNvPr id="92248" name="Line 646">
          <a:extLst>
            <a:ext uri="{FF2B5EF4-FFF2-40B4-BE49-F238E27FC236}">
              <a16:creationId xmlns:a16="http://schemas.microsoft.com/office/drawing/2014/main" id="{B9F21E73-C88F-AEDB-902E-4A91EAD15BED}"/>
            </a:ext>
          </a:extLst>
        </xdr:cNvPr>
        <xdr:cNvSpPr>
          <a:spLocks noChangeShapeType="1"/>
        </xdr:cNvSpPr>
      </xdr:nvSpPr>
      <xdr:spPr bwMode="auto">
        <a:xfrm flipH="1">
          <a:off x="454479" y="69869957"/>
          <a:ext cx="29935"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379</xdr:row>
      <xdr:rowOff>111579</xdr:rowOff>
    </xdr:from>
    <xdr:to>
      <xdr:col>1</xdr:col>
      <xdr:colOff>10886</xdr:colOff>
      <xdr:row>379</xdr:row>
      <xdr:rowOff>149679</xdr:rowOff>
    </xdr:to>
    <xdr:sp macro="" textlink="">
      <xdr:nvSpPr>
        <xdr:cNvPr id="92249" name="Line 647">
          <a:extLst>
            <a:ext uri="{FF2B5EF4-FFF2-40B4-BE49-F238E27FC236}">
              <a16:creationId xmlns:a16="http://schemas.microsoft.com/office/drawing/2014/main" id="{F881AB84-4A5F-8F70-6BD2-B31584AB5AB1}"/>
            </a:ext>
          </a:extLst>
        </xdr:cNvPr>
        <xdr:cNvSpPr>
          <a:spLocks noChangeShapeType="1"/>
        </xdr:cNvSpPr>
      </xdr:nvSpPr>
      <xdr:spPr bwMode="auto">
        <a:xfrm flipH="1" flipV="1">
          <a:off x="628650" y="69861793"/>
          <a:ext cx="29936" cy="38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465364</xdr:colOff>
      <xdr:row>382</xdr:row>
      <xdr:rowOff>27214</xdr:rowOff>
    </xdr:from>
    <xdr:to>
      <xdr:col>0</xdr:col>
      <xdr:colOff>476250</xdr:colOff>
      <xdr:row>382</xdr:row>
      <xdr:rowOff>35379</xdr:rowOff>
    </xdr:to>
    <xdr:sp macro="" textlink="">
      <xdr:nvSpPr>
        <xdr:cNvPr id="92250" name="Line 648">
          <a:extLst>
            <a:ext uri="{FF2B5EF4-FFF2-40B4-BE49-F238E27FC236}">
              <a16:creationId xmlns:a16="http://schemas.microsoft.com/office/drawing/2014/main" id="{0F38556A-D22C-0AF6-53D2-55A337436054}"/>
            </a:ext>
          </a:extLst>
        </xdr:cNvPr>
        <xdr:cNvSpPr>
          <a:spLocks noChangeShapeType="1"/>
        </xdr:cNvSpPr>
      </xdr:nvSpPr>
      <xdr:spPr bwMode="auto">
        <a:xfrm>
          <a:off x="465364" y="70308107"/>
          <a:ext cx="10886"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382</xdr:row>
      <xdr:rowOff>27214</xdr:rowOff>
    </xdr:from>
    <xdr:to>
      <xdr:col>1</xdr:col>
      <xdr:colOff>10886</xdr:colOff>
      <xdr:row>382</xdr:row>
      <xdr:rowOff>38100</xdr:rowOff>
    </xdr:to>
    <xdr:sp macro="" textlink="">
      <xdr:nvSpPr>
        <xdr:cNvPr id="92251" name="Line 649">
          <a:extLst>
            <a:ext uri="{FF2B5EF4-FFF2-40B4-BE49-F238E27FC236}">
              <a16:creationId xmlns:a16="http://schemas.microsoft.com/office/drawing/2014/main" id="{80A401A9-702B-F7A8-E3C8-2208D991BB26}"/>
            </a:ext>
          </a:extLst>
        </xdr:cNvPr>
        <xdr:cNvSpPr>
          <a:spLocks noChangeShapeType="1"/>
        </xdr:cNvSpPr>
      </xdr:nvSpPr>
      <xdr:spPr bwMode="auto">
        <a:xfrm flipH="1">
          <a:off x="628650" y="70308107"/>
          <a:ext cx="29936" cy="1088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378</xdr:row>
      <xdr:rowOff>65314</xdr:rowOff>
    </xdr:from>
    <xdr:to>
      <xdr:col>0</xdr:col>
      <xdr:colOff>476250</xdr:colOff>
      <xdr:row>379</xdr:row>
      <xdr:rowOff>111579</xdr:rowOff>
    </xdr:to>
    <xdr:sp macro="" textlink="">
      <xdr:nvSpPr>
        <xdr:cNvPr id="92252" name="Line 650">
          <a:extLst>
            <a:ext uri="{FF2B5EF4-FFF2-40B4-BE49-F238E27FC236}">
              <a16:creationId xmlns:a16="http://schemas.microsoft.com/office/drawing/2014/main" id="{9A999BC2-0804-8616-F168-82D0AF3FB325}"/>
            </a:ext>
          </a:extLst>
        </xdr:cNvPr>
        <xdr:cNvSpPr>
          <a:spLocks noChangeShapeType="1"/>
        </xdr:cNvSpPr>
      </xdr:nvSpPr>
      <xdr:spPr bwMode="auto">
        <a:xfrm>
          <a:off x="476250" y="69638636"/>
          <a:ext cx="0" cy="22315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636814</xdr:colOff>
      <xdr:row>378</xdr:row>
      <xdr:rowOff>57150</xdr:rowOff>
    </xdr:from>
    <xdr:to>
      <xdr:col>0</xdr:col>
      <xdr:colOff>636814</xdr:colOff>
      <xdr:row>379</xdr:row>
      <xdr:rowOff>111579</xdr:rowOff>
    </xdr:to>
    <xdr:sp macro="" textlink="">
      <xdr:nvSpPr>
        <xdr:cNvPr id="92253" name="Line 651">
          <a:extLst>
            <a:ext uri="{FF2B5EF4-FFF2-40B4-BE49-F238E27FC236}">
              <a16:creationId xmlns:a16="http://schemas.microsoft.com/office/drawing/2014/main" id="{EC591959-D2F3-3092-8312-A603B5EB497E}"/>
            </a:ext>
          </a:extLst>
        </xdr:cNvPr>
        <xdr:cNvSpPr>
          <a:spLocks noChangeShapeType="1"/>
        </xdr:cNvSpPr>
      </xdr:nvSpPr>
      <xdr:spPr bwMode="auto">
        <a:xfrm>
          <a:off x="636814" y="69630471"/>
          <a:ext cx="0" cy="23132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394607</xdr:colOff>
      <xdr:row>379</xdr:row>
      <xdr:rowOff>138793</xdr:rowOff>
    </xdr:from>
    <xdr:to>
      <xdr:col>0</xdr:col>
      <xdr:colOff>394607</xdr:colOff>
      <xdr:row>382</xdr:row>
      <xdr:rowOff>27214</xdr:rowOff>
    </xdr:to>
    <xdr:sp macro="" textlink="">
      <xdr:nvSpPr>
        <xdr:cNvPr id="92254" name="Line 652">
          <a:extLst>
            <a:ext uri="{FF2B5EF4-FFF2-40B4-BE49-F238E27FC236}">
              <a16:creationId xmlns:a16="http://schemas.microsoft.com/office/drawing/2014/main" id="{DC81D23A-7F01-9A55-48BA-813DD511A4B4}"/>
            </a:ext>
          </a:extLst>
        </xdr:cNvPr>
        <xdr:cNvSpPr>
          <a:spLocks noChangeShapeType="1"/>
        </xdr:cNvSpPr>
      </xdr:nvSpPr>
      <xdr:spPr bwMode="auto">
        <a:xfrm flipV="1">
          <a:off x="394607" y="69889007"/>
          <a:ext cx="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379</xdr:row>
      <xdr:rowOff>130629</xdr:rowOff>
    </xdr:from>
    <xdr:to>
      <xdr:col>0</xdr:col>
      <xdr:colOff>454479</xdr:colOff>
      <xdr:row>382</xdr:row>
      <xdr:rowOff>19050</xdr:rowOff>
    </xdr:to>
    <xdr:sp macro="" textlink="">
      <xdr:nvSpPr>
        <xdr:cNvPr id="92255" name="Line 653">
          <a:extLst>
            <a:ext uri="{FF2B5EF4-FFF2-40B4-BE49-F238E27FC236}">
              <a16:creationId xmlns:a16="http://schemas.microsoft.com/office/drawing/2014/main" id="{9C56F330-1895-4A62-2E6E-2B75EE9F44BA}"/>
            </a:ext>
          </a:extLst>
        </xdr:cNvPr>
        <xdr:cNvSpPr>
          <a:spLocks noChangeShapeType="1"/>
        </xdr:cNvSpPr>
      </xdr:nvSpPr>
      <xdr:spPr bwMode="auto">
        <a:xfrm flipV="1">
          <a:off x="454479" y="69880843"/>
          <a:ext cx="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382</xdr:row>
      <xdr:rowOff>111579</xdr:rowOff>
    </xdr:from>
    <xdr:to>
      <xdr:col>0</xdr:col>
      <xdr:colOff>424543</xdr:colOff>
      <xdr:row>384</xdr:row>
      <xdr:rowOff>27214</xdr:rowOff>
    </xdr:to>
    <xdr:sp macro="" textlink="">
      <xdr:nvSpPr>
        <xdr:cNvPr id="92256" name="Line 654">
          <a:extLst>
            <a:ext uri="{FF2B5EF4-FFF2-40B4-BE49-F238E27FC236}">
              <a16:creationId xmlns:a16="http://schemas.microsoft.com/office/drawing/2014/main" id="{CC99A74F-884E-6642-898B-706B418E3143}"/>
            </a:ext>
          </a:extLst>
        </xdr:cNvPr>
        <xdr:cNvSpPr>
          <a:spLocks noChangeShapeType="1"/>
        </xdr:cNvSpPr>
      </xdr:nvSpPr>
      <xdr:spPr bwMode="auto">
        <a:xfrm flipV="1">
          <a:off x="424543" y="70392471"/>
          <a:ext cx="0" cy="26942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382</xdr:row>
      <xdr:rowOff>111579</xdr:rowOff>
    </xdr:from>
    <xdr:to>
      <xdr:col>0</xdr:col>
      <xdr:colOff>476250</xdr:colOff>
      <xdr:row>384</xdr:row>
      <xdr:rowOff>19050</xdr:rowOff>
    </xdr:to>
    <xdr:sp macro="" textlink="">
      <xdr:nvSpPr>
        <xdr:cNvPr id="92257" name="Line 655">
          <a:extLst>
            <a:ext uri="{FF2B5EF4-FFF2-40B4-BE49-F238E27FC236}">
              <a16:creationId xmlns:a16="http://schemas.microsoft.com/office/drawing/2014/main" id="{D0A57DB4-8081-A708-9052-48B9F77A16B9}"/>
            </a:ext>
          </a:extLst>
        </xdr:cNvPr>
        <xdr:cNvSpPr>
          <a:spLocks noChangeShapeType="1"/>
        </xdr:cNvSpPr>
      </xdr:nvSpPr>
      <xdr:spPr bwMode="auto">
        <a:xfrm flipV="1">
          <a:off x="476250" y="70392471"/>
          <a:ext cx="0" cy="26125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378</xdr:row>
      <xdr:rowOff>46264</xdr:rowOff>
    </xdr:from>
    <xdr:to>
      <xdr:col>0</xdr:col>
      <xdr:colOff>424543</xdr:colOff>
      <xdr:row>379</xdr:row>
      <xdr:rowOff>57150</xdr:rowOff>
    </xdr:to>
    <xdr:sp macro="" textlink="">
      <xdr:nvSpPr>
        <xdr:cNvPr id="92258" name="Line 656">
          <a:extLst>
            <a:ext uri="{FF2B5EF4-FFF2-40B4-BE49-F238E27FC236}">
              <a16:creationId xmlns:a16="http://schemas.microsoft.com/office/drawing/2014/main" id="{242E2ED7-24CF-0A24-E2F3-8924D8B1AD7E}"/>
            </a:ext>
          </a:extLst>
        </xdr:cNvPr>
        <xdr:cNvSpPr>
          <a:spLocks noChangeShapeType="1"/>
        </xdr:cNvSpPr>
      </xdr:nvSpPr>
      <xdr:spPr bwMode="auto">
        <a:xfrm flipV="1">
          <a:off x="424543" y="69619586"/>
          <a:ext cx="0" cy="18777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378</xdr:row>
      <xdr:rowOff>46264</xdr:rowOff>
    </xdr:from>
    <xdr:to>
      <xdr:col>0</xdr:col>
      <xdr:colOff>476250</xdr:colOff>
      <xdr:row>379</xdr:row>
      <xdr:rowOff>57150</xdr:rowOff>
    </xdr:to>
    <xdr:sp macro="" textlink="">
      <xdr:nvSpPr>
        <xdr:cNvPr id="92259" name="Line 657">
          <a:extLst>
            <a:ext uri="{FF2B5EF4-FFF2-40B4-BE49-F238E27FC236}">
              <a16:creationId xmlns:a16="http://schemas.microsoft.com/office/drawing/2014/main" id="{9DFA1E13-B845-E961-62E8-FD9049AB921A}"/>
            </a:ext>
          </a:extLst>
        </xdr:cNvPr>
        <xdr:cNvSpPr>
          <a:spLocks noChangeShapeType="1"/>
        </xdr:cNvSpPr>
      </xdr:nvSpPr>
      <xdr:spPr bwMode="auto">
        <a:xfrm flipV="1">
          <a:off x="476250" y="69619586"/>
          <a:ext cx="0" cy="18777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394607</xdr:colOff>
      <xdr:row>379</xdr:row>
      <xdr:rowOff>57150</xdr:rowOff>
    </xdr:from>
    <xdr:to>
      <xdr:col>0</xdr:col>
      <xdr:colOff>424543</xdr:colOff>
      <xdr:row>379</xdr:row>
      <xdr:rowOff>141514</xdr:rowOff>
    </xdr:to>
    <xdr:sp macro="" textlink="">
      <xdr:nvSpPr>
        <xdr:cNvPr id="92260" name="Line 658">
          <a:extLst>
            <a:ext uri="{FF2B5EF4-FFF2-40B4-BE49-F238E27FC236}">
              <a16:creationId xmlns:a16="http://schemas.microsoft.com/office/drawing/2014/main" id="{E3117613-E6E7-6E47-E7B2-C26555D3CB82}"/>
            </a:ext>
          </a:extLst>
        </xdr:cNvPr>
        <xdr:cNvSpPr>
          <a:spLocks noChangeShapeType="1"/>
        </xdr:cNvSpPr>
      </xdr:nvSpPr>
      <xdr:spPr bwMode="auto">
        <a:xfrm flipH="1">
          <a:off x="394607" y="69807364"/>
          <a:ext cx="29936" cy="8436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446314</xdr:colOff>
      <xdr:row>379</xdr:row>
      <xdr:rowOff>46264</xdr:rowOff>
    </xdr:from>
    <xdr:to>
      <xdr:col>0</xdr:col>
      <xdr:colOff>487136</xdr:colOff>
      <xdr:row>379</xdr:row>
      <xdr:rowOff>138793</xdr:rowOff>
    </xdr:to>
    <xdr:sp macro="" textlink="">
      <xdr:nvSpPr>
        <xdr:cNvPr id="92261" name="Line 659">
          <a:extLst>
            <a:ext uri="{FF2B5EF4-FFF2-40B4-BE49-F238E27FC236}">
              <a16:creationId xmlns:a16="http://schemas.microsoft.com/office/drawing/2014/main" id="{BB94C591-016E-4763-D0C7-FC3E565B29FF}"/>
            </a:ext>
          </a:extLst>
        </xdr:cNvPr>
        <xdr:cNvSpPr>
          <a:spLocks noChangeShapeType="1"/>
        </xdr:cNvSpPr>
      </xdr:nvSpPr>
      <xdr:spPr bwMode="auto">
        <a:xfrm flipH="1">
          <a:off x="446314" y="69796479"/>
          <a:ext cx="40822" cy="92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405493</xdr:colOff>
      <xdr:row>382</xdr:row>
      <xdr:rowOff>27214</xdr:rowOff>
    </xdr:from>
    <xdr:to>
      <xdr:col>0</xdr:col>
      <xdr:colOff>416379</xdr:colOff>
      <xdr:row>382</xdr:row>
      <xdr:rowOff>111579</xdr:rowOff>
    </xdr:to>
    <xdr:sp macro="" textlink="">
      <xdr:nvSpPr>
        <xdr:cNvPr id="92262" name="Line 660">
          <a:extLst>
            <a:ext uri="{FF2B5EF4-FFF2-40B4-BE49-F238E27FC236}">
              <a16:creationId xmlns:a16="http://schemas.microsoft.com/office/drawing/2014/main" id="{5CC34BF2-0B83-80F1-E670-0F881AF9BFE5}"/>
            </a:ext>
          </a:extLst>
        </xdr:cNvPr>
        <xdr:cNvSpPr>
          <a:spLocks noChangeShapeType="1"/>
        </xdr:cNvSpPr>
      </xdr:nvSpPr>
      <xdr:spPr bwMode="auto">
        <a:xfrm>
          <a:off x="405493" y="70308107"/>
          <a:ext cx="10886" cy="843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454479</xdr:colOff>
      <xdr:row>382</xdr:row>
      <xdr:rowOff>19050</xdr:rowOff>
    </xdr:from>
    <xdr:to>
      <xdr:col>0</xdr:col>
      <xdr:colOff>473529</xdr:colOff>
      <xdr:row>382</xdr:row>
      <xdr:rowOff>111579</xdr:rowOff>
    </xdr:to>
    <xdr:sp macro="" textlink="">
      <xdr:nvSpPr>
        <xdr:cNvPr id="92263" name="Line 661">
          <a:extLst>
            <a:ext uri="{FF2B5EF4-FFF2-40B4-BE49-F238E27FC236}">
              <a16:creationId xmlns:a16="http://schemas.microsoft.com/office/drawing/2014/main" id="{0C69E2B6-E863-A505-C7D2-DF064CE14B3E}"/>
            </a:ext>
          </a:extLst>
        </xdr:cNvPr>
        <xdr:cNvSpPr>
          <a:spLocks noChangeShapeType="1"/>
        </xdr:cNvSpPr>
      </xdr:nvSpPr>
      <xdr:spPr bwMode="auto">
        <a:xfrm>
          <a:off x="454479" y="70299943"/>
          <a:ext cx="19050" cy="92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424543</xdr:colOff>
      <xdr:row>384</xdr:row>
      <xdr:rowOff>27214</xdr:rowOff>
    </xdr:from>
    <xdr:to>
      <xdr:col>0</xdr:col>
      <xdr:colOff>446314</xdr:colOff>
      <xdr:row>385</xdr:row>
      <xdr:rowOff>57150</xdr:rowOff>
    </xdr:to>
    <xdr:sp macro="" textlink="">
      <xdr:nvSpPr>
        <xdr:cNvPr id="92264" name="Line 662">
          <a:extLst>
            <a:ext uri="{FF2B5EF4-FFF2-40B4-BE49-F238E27FC236}">
              <a16:creationId xmlns:a16="http://schemas.microsoft.com/office/drawing/2014/main" id="{0726273C-97B4-638F-D03E-B9B2784F5F2E}"/>
            </a:ext>
          </a:extLst>
        </xdr:cNvPr>
        <xdr:cNvSpPr>
          <a:spLocks noChangeShapeType="1"/>
        </xdr:cNvSpPr>
      </xdr:nvSpPr>
      <xdr:spPr bwMode="auto">
        <a:xfrm>
          <a:off x="424543" y="70661893"/>
          <a:ext cx="21771" cy="2068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506186</xdr:colOff>
      <xdr:row>378</xdr:row>
      <xdr:rowOff>57150</xdr:rowOff>
    </xdr:from>
    <xdr:to>
      <xdr:col>0</xdr:col>
      <xdr:colOff>606879</xdr:colOff>
      <xdr:row>387</xdr:row>
      <xdr:rowOff>38100</xdr:rowOff>
    </xdr:to>
    <xdr:sp macro="" textlink="">
      <xdr:nvSpPr>
        <xdr:cNvPr id="92265" name="Freeform 669">
          <a:extLst>
            <a:ext uri="{FF2B5EF4-FFF2-40B4-BE49-F238E27FC236}">
              <a16:creationId xmlns:a16="http://schemas.microsoft.com/office/drawing/2014/main" id="{962CEDEE-AF23-9AAA-FD30-0365871D5800}"/>
            </a:ext>
          </a:extLst>
        </xdr:cNvPr>
        <xdr:cNvSpPr>
          <a:spLocks/>
        </xdr:cNvSpPr>
      </xdr:nvSpPr>
      <xdr:spPr bwMode="auto">
        <a:xfrm>
          <a:off x="506186" y="69630471"/>
          <a:ext cx="100693" cy="1572986"/>
        </a:xfrm>
        <a:custGeom>
          <a:avLst/>
          <a:gdLst>
            <a:gd name="T0" fmla="*/ 18796 w 75"/>
            <a:gd name="T1" fmla="*/ 1570982 h 785"/>
            <a:gd name="T2" fmla="*/ 18796 w 75"/>
            <a:gd name="T3" fmla="*/ 444844 h 785"/>
            <a:gd name="T4" fmla="*/ 0 w 75"/>
            <a:gd name="T5" fmla="*/ 444844 h 785"/>
            <a:gd name="T6" fmla="*/ 49675 w 75"/>
            <a:gd name="T7" fmla="*/ 0 h 785"/>
            <a:gd name="T8" fmla="*/ 99350 w 75"/>
            <a:gd name="T9" fmla="*/ 444844 h 785"/>
            <a:gd name="T10" fmla="*/ 81897 w 75"/>
            <a:gd name="T11" fmla="*/ 444844 h 785"/>
            <a:gd name="T12" fmla="*/ 81897 w 75"/>
            <a:gd name="T13" fmla="*/ 1570982 h 785"/>
            <a:gd name="T14" fmla="*/ 18796 w 75"/>
            <a:gd name="T15" fmla="*/ 1570982 h 785"/>
            <a:gd name="T16" fmla="*/ 0 60000 65536"/>
            <a:gd name="T17" fmla="*/ 0 60000 65536"/>
            <a:gd name="T18" fmla="*/ 0 60000 65536"/>
            <a:gd name="T19" fmla="*/ 0 60000 65536"/>
            <a:gd name="T20" fmla="*/ 0 60000 65536"/>
            <a:gd name="T21" fmla="*/ 0 60000 65536"/>
            <a:gd name="T22" fmla="*/ 0 60000 65536"/>
            <a:gd name="T23" fmla="*/ 0 60000 65536"/>
            <a:gd name="T24" fmla="*/ 0 w 75"/>
            <a:gd name="T25" fmla="*/ 0 h 785"/>
            <a:gd name="T26" fmla="*/ 75 w 75"/>
            <a:gd name="T27" fmla="*/ 785 h 78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75" h="785">
              <a:moveTo>
                <a:pt x="14" y="784"/>
              </a:moveTo>
              <a:lnTo>
                <a:pt x="14" y="222"/>
              </a:lnTo>
              <a:lnTo>
                <a:pt x="0" y="222"/>
              </a:lnTo>
              <a:lnTo>
                <a:pt x="37" y="0"/>
              </a:lnTo>
              <a:lnTo>
                <a:pt x="74" y="222"/>
              </a:lnTo>
              <a:lnTo>
                <a:pt x="61" y="222"/>
              </a:lnTo>
              <a:lnTo>
                <a:pt x="61" y="784"/>
              </a:lnTo>
              <a:lnTo>
                <a:pt x="14" y="784"/>
              </a:lnTo>
            </a:path>
          </a:pathLst>
        </a:custGeom>
        <a:noFill/>
        <a:ln w="9525" cap="rnd"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487136</xdr:colOff>
      <xdr:row>413</xdr:row>
      <xdr:rowOff>130629</xdr:rowOff>
    </xdr:from>
    <xdr:to>
      <xdr:col>0</xdr:col>
      <xdr:colOff>636814</xdr:colOff>
      <xdr:row>415</xdr:row>
      <xdr:rowOff>138793</xdr:rowOff>
    </xdr:to>
    <xdr:sp macro="" textlink="">
      <xdr:nvSpPr>
        <xdr:cNvPr id="92266" name="Rectangle 670">
          <a:extLst>
            <a:ext uri="{FF2B5EF4-FFF2-40B4-BE49-F238E27FC236}">
              <a16:creationId xmlns:a16="http://schemas.microsoft.com/office/drawing/2014/main" id="{70A5889A-E6D4-D2A1-6769-BE35F0244836}"/>
            </a:ext>
          </a:extLst>
        </xdr:cNvPr>
        <xdr:cNvSpPr>
          <a:spLocks noChangeArrowheads="1"/>
        </xdr:cNvSpPr>
      </xdr:nvSpPr>
      <xdr:spPr bwMode="auto">
        <a:xfrm>
          <a:off x="487136" y="75895200"/>
          <a:ext cx="149678" cy="361950"/>
        </a:xfrm>
        <a:prstGeom prst="rect">
          <a:avLst/>
        </a:prstGeom>
        <a:solidFill>
          <a:srgbClr val="FFFFFF"/>
        </a:solidFill>
        <a:ln w="9525">
          <a:solidFill>
            <a:srgbClr val="000000"/>
          </a:solidFill>
          <a:miter lim="800000"/>
          <a:headEnd/>
          <a:tailEnd/>
        </a:ln>
      </xdr:spPr>
    </xdr:sp>
    <xdr:clientData/>
  </xdr:twoCellAnchor>
  <xdr:twoCellAnchor>
    <xdr:from>
      <xdr:col>0</xdr:col>
      <xdr:colOff>405493</xdr:colOff>
      <xdr:row>381</xdr:row>
      <xdr:rowOff>0</xdr:rowOff>
    </xdr:from>
    <xdr:to>
      <xdr:col>0</xdr:col>
      <xdr:colOff>457200</xdr:colOff>
      <xdr:row>381</xdr:row>
      <xdr:rowOff>8164</xdr:rowOff>
    </xdr:to>
    <xdr:sp macro="" textlink="">
      <xdr:nvSpPr>
        <xdr:cNvPr id="92267" name="Line 681">
          <a:extLst>
            <a:ext uri="{FF2B5EF4-FFF2-40B4-BE49-F238E27FC236}">
              <a16:creationId xmlns:a16="http://schemas.microsoft.com/office/drawing/2014/main" id="{BFB3989F-C7A5-9EAB-0172-FD0A60A1507B}"/>
            </a:ext>
          </a:extLst>
        </xdr:cNvPr>
        <xdr:cNvSpPr>
          <a:spLocks noChangeShapeType="1"/>
        </xdr:cNvSpPr>
      </xdr:nvSpPr>
      <xdr:spPr bwMode="auto">
        <a:xfrm flipV="1">
          <a:off x="405493" y="70104000"/>
          <a:ext cx="51707" cy="816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476250</xdr:colOff>
      <xdr:row>379</xdr:row>
      <xdr:rowOff>0</xdr:rowOff>
    </xdr:from>
    <xdr:to>
      <xdr:col>3</xdr:col>
      <xdr:colOff>234043</xdr:colOff>
      <xdr:row>419</xdr:row>
      <xdr:rowOff>8164</xdr:rowOff>
    </xdr:to>
    <xdr:pic>
      <xdr:nvPicPr>
        <xdr:cNvPr id="92268" name="Picture 682" descr="ESP">
          <a:extLst>
            <a:ext uri="{FF2B5EF4-FFF2-40B4-BE49-F238E27FC236}">
              <a16:creationId xmlns:a16="http://schemas.microsoft.com/office/drawing/2014/main" id="{6AE20C08-9B30-FFA1-C2C6-A2331D32C891}"/>
            </a:ext>
          </a:extLst>
        </xdr:cNvPr>
        <xdr:cNvPicPr>
          <a:picLocks noChangeAspect="1" noChangeArrowheads="1"/>
        </xdr:cNvPicPr>
      </xdr:nvPicPr>
      <xdr:blipFill>
        <a:blip xmlns:r="http://schemas.openxmlformats.org/officeDocument/2006/relationships" r:embed="rId137">
          <a:lum bright="-18000" contrast="36000"/>
          <a:extLst>
            <a:ext uri="{28A0092B-C50C-407E-A947-70E740481C1C}">
              <a14:useLocalDpi xmlns:a14="http://schemas.microsoft.com/office/drawing/2010/main" val="0"/>
            </a:ext>
          </a:extLst>
        </a:blip>
        <a:srcRect/>
        <a:stretch>
          <a:fillRect/>
        </a:stretch>
      </xdr:blipFill>
      <xdr:spPr bwMode="auto">
        <a:xfrm>
          <a:off x="1771650" y="69750214"/>
          <a:ext cx="405493" cy="7083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375</xdr:row>
      <xdr:rowOff>19050</xdr:rowOff>
    </xdr:from>
    <xdr:to>
      <xdr:col>4</xdr:col>
      <xdr:colOff>364671</xdr:colOff>
      <xdr:row>413</xdr:row>
      <xdr:rowOff>149679</xdr:rowOff>
    </xdr:to>
    <xdr:pic>
      <xdr:nvPicPr>
        <xdr:cNvPr id="92269" name="Picture 683" descr="ESP2">
          <a:extLst>
            <a:ext uri="{FF2B5EF4-FFF2-40B4-BE49-F238E27FC236}">
              <a16:creationId xmlns:a16="http://schemas.microsoft.com/office/drawing/2014/main" id="{67E6C9AD-4296-CA67-ECC3-AA921974816C}"/>
            </a:ext>
          </a:extLst>
        </xdr:cNvPr>
        <xdr:cNvPicPr>
          <a:picLocks noChangeAspect="1" noChangeArrowheads="1"/>
        </xdr:cNvPicPr>
      </xdr:nvPicPr>
      <xdr:blipFill>
        <a:blip xmlns:r="http://schemas.openxmlformats.org/officeDocument/2006/relationships" r:embed="rId138">
          <a:lum bright="-6000" contrast="78000"/>
          <a:extLst>
            <a:ext uri="{28A0092B-C50C-407E-A947-70E740481C1C}">
              <a14:useLocalDpi xmlns:a14="http://schemas.microsoft.com/office/drawing/2010/main" val="0"/>
            </a:ext>
          </a:extLst>
        </a:blip>
        <a:srcRect/>
        <a:stretch>
          <a:fillRect/>
        </a:stretch>
      </xdr:blipFill>
      <xdr:spPr bwMode="auto">
        <a:xfrm>
          <a:off x="2590800" y="69061693"/>
          <a:ext cx="364671" cy="6852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424543</xdr:colOff>
      <xdr:row>6</xdr:row>
      <xdr:rowOff>70757</xdr:rowOff>
    </xdr:from>
    <xdr:to>
      <xdr:col>18</xdr:col>
      <xdr:colOff>59871</xdr:colOff>
      <xdr:row>7</xdr:row>
      <xdr:rowOff>149679</xdr:rowOff>
    </xdr:to>
    <xdr:grpSp>
      <xdr:nvGrpSpPr>
        <xdr:cNvPr id="92270" name="Group 693">
          <a:extLst>
            <a:ext uri="{FF2B5EF4-FFF2-40B4-BE49-F238E27FC236}">
              <a16:creationId xmlns:a16="http://schemas.microsoft.com/office/drawing/2014/main" id="{7931CDE7-8405-E8A9-CEBB-B21F274E5F3F}"/>
            </a:ext>
          </a:extLst>
        </xdr:cNvPr>
        <xdr:cNvGrpSpPr>
          <a:grpSpLocks/>
        </xdr:cNvGrpSpPr>
      </xdr:nvGrpSpPr>
      <xdr:grpSpPr bwMode="auto">
        <a:xfrm>
          <a:off x="10772375" y="1386648"/>
          <a:ext cx="928807" cy="306242"/>
          <a:chOff x="177" y="1357"/>
          <a:chExt cx="204" cy="30"/>
        </a:xfrm>
      </xdr:grpSpPr>
      <xdr:sp macro="" textlink="">
        <xdr:nvSpPr>
          <xdr:cNvPr id="92864" name="Rectangle 694" descr="Small checker board">
            <a:extLst>
              <a:ext uri="{FF2B5EF4-FFF2-40B4-BE49-F238E27FC236}">
                <a16:creationId xmlns:a16="http://schemas.microsoft.com/office/drawing/2014/main" id="{21EB15EC-8D88-8893-D6B4-0F5BEEE068EE}"/>
              </a:ext>
            </a:extLst>
          </xdr:cNvPr>
          <xdr:cNvSpPr>
            <a:spLocks noChangeArrowheads="1"/>
          </xdr:cNvSpPr>
        </xdr:nvSpPr>
        <xdr:spPr bwMode="auto">
          <a:xfrm>
            <a:off x="333" y="1365"/>
            <a:ext cx="21" cy="4"/>
          </a:xfrm>
          <a:prstGeom prst="rect">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865" name="Rectangle 695" descr="Small checker board">
            <a:extLst>
              <a:ext uri="{FF2B5EF4-FFF2-40B4-BE49-F238E27FC236}">
                <a16:creationId xmlns:a16="http://schemas.microsoft.com/office/drawing/2014/main" id="{86402F02-77FE-1254-0D1D-D7839BA32A34}"/>
              </a:ext>
            </a:extLst>
          </xdr:cNvPr>
          <xdr:cNvSpPr>
            <a:spLocks noChangeArrowheads="1"/>
          </xdr:cNvSpPr>
        </xdr:nvSpPr>
        <xdr:spPr bwMode="auto">
          <a:xfrm>
            <a:off x="333" y="1379"/>
            <a:ext cx="21" cy="4"/>
          </a:xfrm>
          <a:prstGeom prst="rect">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866" name="AutoShape 696" descr="Small checker board">
            <a:extLst>
              <a:ext uri="{FF2B5EF4-FFF2-40B4-BE49-F238E27FC236}">
                <a16:creationId xmlns:a16="http://schemas.microsoft.com/office/drawing/2014/main" id="{EA49895E-3557-5480-248E-42A0865C1618}"/>
              </a:ext>
            </a:extLst>
          </xdr:cNvPr>
          <xdr:cNvSpPr>
            <a:spLocks noChangeArrowheads="1"/>
          </xdr:cNvSpPr>
        </xdr:nvSpPr>
        <xdr:spPr bwMode="auto">
          <a:xfrm rot="5364902">
            <a:off x="349" y="1340"/>
            <a:ext cx="13" cy="50"/>
          </a:xfrm>
          <a:prstGeom prst="triangle">
            <a:avLst>
              <a:gd name="adj" fmla="val 50000"/>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867" name="AutoShape 697" descr="Small checker board">
            <a:extLst>
              <a:ext uri="{FF2B5EF4-FFF2-40B4-BE49-F238E27FC236}">
                <a16:creationId xmlns:a16="http://schemas.microsoft.com/office/drawing/2014/main" id="{163B799B-7DBE-580A-C3AF-65F3D5D6B216}"/>
              </a:ext>
            </a:extLst>
          </xdr:cNvPr>
          <xdr:cNvSpPr>
            <a:spLocks noChangeArrowheads="1"/>
          </xdr:cNvSpPr>
        </xdr:nvSpPr>
        <xdr:spPr bwMode="auto">
          <a:xfrm rot="5364902">
            <a:off x="349" y="1356"/>
            <a:ext cx="13" cy="50"/>
          </a:xfrm>
          <a:prstGeom prst="triangle">
            <a:avLst>
              <a:gd name="adj" fmla="val 50000"/>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868" name="Rectangle 698" descr="Small checker board">
            <a:extLst>
              <a:ext uri="{FF2B5EF4-FFF2-40B4-BE49-F238E27FC236}">
                <a16:creationId xmlns:a16="http://schemas.microsoft.com/office/drawing/2014/main" id="{2F6A1479-92EF-EEA7-1082-5A5E9C2D7E0B}"/>
              </a:ext>
            </a:extLst>
          </xdr:cNvPr>
          <xdr:cNvSpPr>
            <a:spLocks noChangeArrowheads="1"/>
          </xdr:cNvSpPr>
        </xdr:nvSpPr>
        <xdr:spPr bwMode="auto">
          <a:xfrm flipH="1">
            <a:off x="204" y="1364"/>
            <a:ext cx="21" cy="3"/>
          </a:xfrm>
          <a:prstGeom prst="rect">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869" name="Rectangle 699" descr="Small checker board">
            <a:extLst>
              <a:ext uri="{FF2B5EF4-FFF2-40B4-BE49-F238E27FC236}">
                <a16:creationId xmlns:a16="http://schemas.microsoft.com/office/drawing/2014/main" id="{E74DAD5F-85BB-DFC0-42B8-FC872E49D945}"/>
              </a:ext>
            </a:extLst>
          </xdr:cNvPr>
          <xdr:cNvSpPr>
            <a:spLocks noChangeArrowheads="1"/>
          </xdr:cNvSpPr>
        </xdr:nvSpPr>
        <xdr:spPr bwMode="auto">
          <a:xfrm flipH="1">
            <a:off x="204" y="1378"/>
            <a:ext cx="21" cy="3"/>
          </a:xfrm>
          <a:prstGeom prst="rect">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870" name="AutoShape 700" descr="Small checker board">
            <a:extLst>
              <a:ext uri="{FF2B5EF4-FFF2-40B4-BE49-F238E27FC236}">
                <a16:creationId xmlns:a16="http://schemas.microsoft.com/office/drawing/2014/main" id="{9F41A8F2-0972-4241-A74A-8FA0226998D4}"/>
              </a:ext>
            </a:extLst>
          </xdr:cNvPr>
          <xdr:cNvSpPr>
            <a:spLocks noChangeArrowheads="1"/>
          </xdr:cNvSpPr>
        </xdr:nvSpPr>
        <xdr:spPr bwMode="auto">
          <a:xfrm rot="16235098" flipH="1">
            <a:off x="195" y="1339"/>
            <a:ext cx="13" cy="50"/>
          </a:xfrm>
          <a:prstGeom prst="triangle">
            <a:avLst>
              <a:gd name="adj" fmla="val 50000"/>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871" name="AutoShape 701" descr="Small checker board">
            <a:extLst>
              <a:ext uri="{FF2B5EF4-FFF2-40B4-BE49-F238E27FC236}">
                <a16:creationId xmlns:a16="http://schemas.microsoft.com/office/drawing/2014/main" id="{A655A303-6A05-C2F7-12B4-46558A0D45CF}"/>
              </a:ext>
            </a:extLst>
          </xdr:cNvPr>
          <xdr:cNvSpPr>
            <a:spLocks noChangeArrowheads="1"/>
          </xdr:cNvSpPr>
        </xdr:nvSpPr>
        <xdr:spPr bwMode="auto">
          <a:xfrm rot="16235098" flipH="1">
            <a:off x="195" y="1353"/>
            <a:ext cx="14" cy="50"/>
          </a:xfrm>
          <a:prstGeom prst="triangle">
            <a:avLst>
              <a:gd name="adj" fmla="val 50000"/>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grpSp>
    <xdr:clientData/>
  </xdr:twoCellAnchor>
  <xdr:twoCellAnchor>
    <xdr:from>
      <xdr:col>17</xdr:col>
      <xdr:colOff>193221</xdr:colOff>
      <xdr:row>11</xdr:row>
      <xdr:rowOff>114300</xdr:rowOff>
    </xdr:from>
    <xdr:to>
      <xdr:col>19</xdr:col>
      <xdr:colOff>19050</xdr:colOff>
      <xdr:row>12</xdr:row>
      <xdr:rowOff>62593</xdr:rowOff>
    </xdr:to>
    <xdr:grpSp>
      <xdr:nvGrpSpPr>
        <xdr:cNvPr id="92271" name="Group 702">
          <a:extLst>
            <a:ext uri="{FF2B5EF4-FFF2-40B4-BE49-F238E27FC236}">
              <a16:creationId xmlns:a16="http://schemas.microsoft.com/office/drawing/2014/main" id="{5DA2AF9E-B0D6-92EC-2C5E-7281C2B28D5B}"/>
            </a:ext>
          </a:extLst>
        </xdr:cNvPr>
        <xdr:cNvGrpSpPr>
          <a:grpSpLocks/>
        </xdr:cNvGrpSpPr>
      </xdr:nvGrpSpPr>
      <xdr:grpSpPr bwMode="auto">
        <a:xfrm>
          <a:off x="11187793" y="2598805"/>
          <a:ext cx="1119308" cy="175612"/>
          <a:chOff x="233" y="1061"/>
          <a:chExt cx="109" cy="20"/>
        </a:xfrm>
      </xdr:grpSpPr>
      <xdr:grpSp>
        <xdr:nvGrpSpPr>
          <xdr:cNvPr id="92856" name="Group 703">
            <a:extLst>
              <a:ext uri="{FF2B5EF4-FFF2-40B4-BE49-F238E27FC236}">
                <a16:creationId xmlns:a16="http://schemas.microsoft.com/office/drawing/2014/main" id="{BD3E2E9B-35F4-153F-5AE4-28A33FF14DB2}"/>
              </a:ext>
            </a:extLst>
          </xdr:cNvPr>
          <xdr:cNvGrpSpPr>
            <a:grpSpLocks/>
          </xdr:cNvGrpSpPr>
        </xdr:nvGrpSpPr>
        <xdr:grpSpPr bwMode="auto">
          <a:xfrm>
            <a:off x="233" y="1061"/>
            <a:ext cx="39" cy="20"/>
            <a:chOff x="11" y="970"/>
            <a:chExt cx="21" cy="27"/>
          </a:xfrm>
        </xdr:grpSpPr>
        <xdr:sp macro="" textlink="">
          <xdr:nvSpPr>
            <xdr:cNvPr id="92861" name="Rectangle 704">
              <a:extLst>
                <a:ext uri="{FF2B5EF4-FFF2-40B4-BE49-F238E27FC236}">
                  <a16:creationId xmlns:a16="http://schemas.microsoft.com/office/drawing/2014/main" id="{5D967A4D-A59E-777A-42C5-564583104980}"/>
                </a:ext>
              </a:extLst>
            </xdr:cNvPr>
            <xdr:cNvSpPr>
              <a:spLocks noChangeArrowheads="1"/>
            </xdr:cNvSpPr>
          </xdr:nvSpPr>
          <xdr:spPr bwMode="auto">
            <a:xfrm>
              <a:off x="11" y="970"/>
              <a:ext cx="21" cy="27"/>
            </a:xfrm>
            <a:prstGeom prst="rect">
              <a:avLst/>
            </a:prstGeom>
            <a:solidFill>
              <a:srgbClr val="FFFFFF"/>
            </a:solidFill>
            <a:ln w="3175">
              <a:solidFill>
                <a:srgbClr val="000000"/>
              </a:solidFill>
              <a:miter lim="800000"/>
              <a:headEnd/>
              <a:tailEnd/>
            </a:ln>
          </xdr:spPr>
        </xdr:sp>
        <xdr:sp macro="" textlink="">
          <xdr:nvSpPr>
            <xdr:cNvPr id="92862" name="Line 705">
              <a:extLst>
                <a:ext uri="{FF2B5EF4-FFF2-40B4-BE49-F238E27FC236}">
                  <a16:creationId xmlns:a16="http://schemas.microsoft.com/office/drawing/2014/main" id="{69B43BD2-C701-E943-F6D1-13AC8E60D7E8}"/>
                </a:ext>
              </a:extLst>
            </xdr:cNvPr>
            <xdr:cNvSpPr>
              <a:spLocks noChangeShapeType="1"/>
            </xdr:cNvSpPr>
          </xdr:nvSpPr>
          <xdr:spPr bwMode="auto">
            <a:xfrm>
              <a:off x="11" y="970"/>
              <a:ext cx="21" cy="26"/>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63" name="Line 706">
              <a:extLst>
                <a:ext uri="{FF2B5EF4-FFF2-40B4-BE49-F238E27FC236}">
                  <a16:creationId xmlns:a16="http://schemas.microsoft.com/office/drawing/2014/main" id="{F4FB06A7-7F2E-C646-5F18-8835225DEE71}"/>
                </a:ext>
              </a:extLst>
            </xdr:cNvPr>
            <xdr:cNvSpPr>
              <a:spLocks noChangeShapeType="1"/>
            </xdr:cNvSpPr>
          </xdr:nvSpPr>
          <xdr:spPr bwMode="auto">
            <a:xfrm flipV="1">
              <a:off x="11" y="970"/>
              <a:ext cx="21" cy="26"/>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grpSp>
        <xdr:nvGrpSpPr>
          <xdr:cNvPr id="92857" name="Group 707">
            <a:extLst>
              <a:ext uri="{FF2B5EF4-FFF2-40B4-BE49-F238E27FC236}">
                <a16:creationId xmlns:a16="http://schemas.microsoft.com/office/drawing/2014/main" id="{07632D51-D018-223E-2414-BCD15C9553A3}"/>
              </a:ext>
            </a:extLst>
          </xdr:cNvPr>
          <xdr:cNvGrpSpPr>
            <a:grpSpLocks/>
          </xdr:cNvGrpSpPr>
        </xdr:nvGrpSpPr>
        <xdr:grpSpPr bwMode="auto">
          <a:xfrm>
            <a:off x="304" y="1061"/>
            <a:ext cx="38" cy="20"/>
            <a:chOff x="11" y="970"/>
            <a:chExt cx="21" cy="27"/>
          </a:xfrm>
        </xdr:grpSpPr>
        <xdr:sp macro="" textlink="">
          <xdr:nvSpPr>
            <xdr:cNvPr id="92858" name="Rectangle 708">
              <a:extLst>
                <a:ext uri="{FF2B5EF4-FFF2-40B4-BE49-F238E27FC236}">
                  <a16:creationId xmlns:a16="http://schemas.microsoft.com/office/drawing/2014/main" id="{A26F9828-D413-026A-9FA9-1E5BACA3C46E}"/>
                </a:ext>
              </a:extLst>
            </xdr:cNvPr>
            <xdr:cNvSpPr>
              <a:spLocks noChangeArrowheads="1"/>
            </xdr:cNvSpPr>
          </xdr:nvSpPr>
          <xdr:spPr bwMode="auto">
            <a:xfrm>
              <a:off x="11" y="970"/>
              <a:ext cx="21" cy="27"/>
            </a:xfrm>
            <a:prstGeom prst="rect">
              <a:avLst/>
            </a:prstGeom>
            <a:solidFill>
              <a:srgbClr val="FFFFFF"/>
            </a:solidFill>
            <a:ln w="3175">
              <a:solidFill>
                <a:srgbClr val="000000"/>
              </a:solidFill>
              <a:miter lim="800000"/>
              <a:headEnd/>
              <a:tailEnd/>
            </a:ln>
          </xdr:spPr>
        </xdr:sp>
        <xdr:sp macro="" textlink="">
          <xdr:nvSpPr>
            <xdr:cNvPr id="92859" name="Line 709">
              <a:extLst>
                <a:ext uri="{FF2B5EF4-FFF2-40B4-BE49-F238E27FC236}">
                  <a16:creationId xmlns:a16="http://schemas.microsoft.com/office/drawing/2014/main" id="{A62CFA23-A966-F618-9211-E9FB101EE1D1}"/>
                </a:ext>
              </a:extLst>
            </xdr:cNvPr>
            <xdr:cNvSpPr>
              <a:spLocks noChangeShapeType="1"/>
            </xdr:cNvSpPr>
          </xdr:nvSpPr>
          <xdr:spPr bwMode="auto">
            <a:xfrm>
              <a:off x="11" y="970"/>
              <a:ext cx="21" cy="26"/>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60" name="Line 710">
              <a:extLst>
                <a:ext uri="{FF2B5EF4-FFF2-40B4-BE49-F238E27FC236}">
                  <a16:creationId xmlns:a16="http://schemas.microsoft.com/office/drawing/2014/main" id="{69340924-4358-5CAF-5CAE-3F31B2DBDE66}"/>
                </a:ext>
              </a:extLst>
            </xdr:cNvPr>
            <xdr:cNvSpPr>
              <a:spLocks noChangeShapeType="1"/>
            </xdr:cNvSpPr>
          </xdr:nvSpPr>
          <xdr:spPr bwMode="auto">
            <a:xfrm flipV="1">
              <a:off x="11" y="970"/>
              <a:ext cx="21" cy="26"/>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17</xdr:col>
      <xdr:colOff>476250</xdr:colOff>
      <xdr:row>14</xdr:row>
      <xdr:rowOff>70757</xdr:rowOff>
    </xdr:from>
    <xdr:to>
      <xdr:col>18</xdr:col>
      <xdr:colOff>375557</xdr:colOff>
      <xdr:row>15</xdr:row>
      <xdr:rowOff>166007</xdr:rowOff>
    </xdr:to>
    <xdr:grpSp>
      <xdr:nvGrpSpPr>
        <xdr:cNvPr id="92272" name="Group 711">
          <a:extLst>
            <a:ext uri="{FF2B5EF4-FFF2-40B4-BE49-F238E27FC236}">
              <a16:creationId xmlns:a16="http://schemas.microsoft.com/office/drawing/2014/main" id="{ABF369DD-0FC5-D3C9-A3A9-8DB467B6E39B}"/>
            </a:ext>
          </a:extLst>
        </xdr:cNvPr>
        <xdr:cNvGrpSpPr>
          <a:grpSpLocks/>
        </xdr:cNvGrpSpPr>
      </xdr:nvGrpSpPr>
      <xdr:grpSpPr bwMode="auto">
        <a:xfrm>
          <a:off x="11470822" y="3237219"/>
          <a:ext cx="546046" cy="322569"/>
          <a:chOff x="258" y="1031"/>
          <a:chExt cx="53" cy="30"/>
        </a:xfrm>
      </xdr:grpSpPr>
      <xdr:grpSp>
        <xdr:nvGrpSpPr>
          <xdr:cNvPr id="92838" name="Group 712">
            <a:extLst>
              <a:ext uri="{FF2B5EF4-FFF2-40B4-BE49-F238E27FC236}">
                <a16:creationId xmlns:a16="http://schemas.microsoft.com/office/drawing/2014/main" id="{25BAF38F-5AF1-F8CE-E01C-752ED7A4E680}"/>
              </a:ext>
            </a:extLst>
          </xdr:cNvPr>
          <xdr:cNvGrpSpPr>
            <a:grpSpLocks/>
          </xdr:cNvGrpSpPr>
        </xdr:nvGrpSpPr>
        <xdr:grpSpPr bwMode="auto">
          <a:xfrm>
            <a:off x="258" y="1031"/>
            <a:ext cx="53" cy="30"/>
            <a:chOff x="320" y="1292"/>
            <a:chExt cx="320" cy="169"/>
          </a:xfrm>
        </xdr:grpSpPr>
        <xdr:grpSp>
          <xdr:nvGrpSpPr>
            <xdr:cNvPr id="92843" name="Group 713">
              <a:extLst>
                <a:ext uri="{FF2B5EF4-FFF2-40B4-BE49-F238E27FC236}">
                  <a16:creationId xmlns:a16="http://schemas.microsoft.com/office/drawing/2014/main" id="{BFC41B3C-0AA5-DA68-B404-C3D19600F8C6}"/>
                </a:ext>
              </a:extLst>
            </xdr:cNvPr>
            <xdr:cNvGrpSpPr>
              <a:grpSpLocks/>
            </xdr:cNvGrpSpPr>
          </xdr:nvGrpSpPr>
          <xdr:grpSpPr bwMode="auto">
            <a:xfrm>
              <a:off x="320" y="1292"/>
              <a:ext cx="64" cy="169"/>
              <a:chOff x="320" y="1292"/>
              <a:chExt cx="64" cy="169"/>
            </a:xfrm>
          </xdr:grpSpPr>
          <xdr:sp macro="" textlink="">
            <xdr:nvSpPr>
              <xdr:cNvPr id="92851" name="Line 714">
                <a:extLst>
                  <a:ext uri="{FF2B5EF4-FFF2-40B4-BE49-F238E27FC236}">
                    <a16:creationId xmlns:a16="http://schemas.microsoft.com/office/drawing/2014/main" id="{896587F4-E18F-EFDC-DDFA-D27FAE353B33}"/>
                  </a:ext>
                </a:extLst>
              </xdr:cNvPr>
              <xdr:cNvSpPr>
                <a:spLocks noChangeShapeType="1"/>
              </xdr:cNvSpPr>
            </xdr:nvSpPr>
            <xdr:spPr bwMode="auto">
              <a:xfrm>
                <a:off x="384" y="1292"/>
                <a:ext cx="0" cy="17"/>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52" name="Line 715">
                <a:extLst>
                  <a:ext uri="{FF2B5EF4-FFF2-40B4-BE49-F238E27FC236}">
                    <a16:creationId xmlns:a16="http://schemas.microsoft.com/office/drawing/2014/main" id="{17390C18-3BED-6899-2E86-1613B3ABFA0A}"/>
                  </a:ext>
                </a:extLst>
              </xdr:cNvPr>
              <xdr:cNvSpPr>
                <a:spLocks noChangeShapeType="1"/>
              </xdr:cNvSpPr>
            </xdr:nvSpPr>
            <xdr:spPr bwMode="auto">
              <a:xfrm flipH="1">
                <a:off x="320" y="1309"/>
                <a:ext cx="64"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53" name="Line 716">
                <a:extLst>
                  <a:ext uri="{FF2B5EF4-FFF2-40B4-BE49-F238E27FC236}">
                    <a16:creationId xmlns:a16="http://schemas.microsoft.com/office/drawing/2014/main" id="{2299AC35-0A37-E9F7-8963-4F246484AEBB}"/>
                  </a:ext>
                </a:extLst>
              </xdr:cNvPr>
              <xdr:cNvSpPr>
                <a:spLocks noChangeShapeType="1"/>
              </xdr:cNvSpPr>
            </xdr:nvSpPr>
            <xdr:spPr bwMode="auto">
              <a:xfrm>
                <a:off x="320" y="1309"/>
                <a:ext cx="0" cy="34"/>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54" name="Line 717">
                <a:extLst>
                  <a:ext uri="{FF2B5EF4-FFF2-40B4-BE49-F238E27FC236}">
                    <a16:creationId xmlns:a16="http://schemas.microsoft.com/office/drawing/2014/main" id="{B1B0E5F8-8406-46F9-9146-A828E40AD6E3}"/>
                  </a:ext>
                </a:extLst>
              </xdr:cNvPr>
              <xdr:cNvSpPr>
                <a:spLocks noChangeShapeType="1"/>
              </xdr:cNvSpPr>
            </xdr:nvSpPr>
            <xdr:spPr bwMode="auto">
              <a:xfrm>
                <a:off x="320" y="1343"/>
                <a:ext cx="64"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55" name="Line 718">
                <a:extLst>
                  <a:ext uri="{FF2B5EF4-FFF2-40B4-BE49-F238E27FC236}">
                    <a16:creationId xmlns:a16="http://schemas.microsoft.com/office/drawing/2014/main" id="{8991FBDF-1C2B-9397-E1A1-CA0A8998B709}"/>
                  </a:ext>
                </a:extLst>
              </xdr:cNvPr>
              <xdr:cNvSpPr>
                <a:spLocks noChangeShapeType="1"/>
              </xdr:cNvSpPr>
            </xdr:nvSpPr>
            <xdr:spPr bwMode="auto">
              <a:xfrm>
                <a:off x="383" y="1343"/>
                <a:ext cx="0" cy="118"/>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844" name="Line 719">
              <a:extLst>
                <a:ext uri="{FF2B5EF4-FFF2-40B4-BE49-F238E27FC236}">
                  <a16:creationId xmlns:a16="http://schemas.microsoft.com/office/drawing/2014/main" id="{3C13D63F-8AFA-89B2-4B1A-41AD45626B29}"/>
                </a:ext>
              </a:extLst>
            </xdr:cNvPr>
            <xdr:cNvSpPr>
              <a:spLocks noChangeShapeType="1"/>
            </xdr:cNvSpPr>
          </xdr:nvSpPr>
          <xdr:spPr bwMode="auto">
            <a:xfrm>
              <a:off x="576" y="1292"/>
              <a:ext cx="0" cy="17"/>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45" name="Line 720">
              <a:extLst>
                <a:ext uri="{FF2B5EF4-FFF2-40B4-BE49-F238E27FC236}">
                  <a16:creationId xmlns:a16="http://schemas.microsoft.com/office/drawing/2014/main" id="{CEFF67A3-D62D-1F5D-F14A-469315E7650B}"/>
                </a:ext>
              </a:extLst>
            </xdr:cNvPr>
            <xdr:cNvSpPr>
              <a:spLocks noChangeShapeType="1"/>
            </xdr:cNvSpPr>
          </xdr:nvSpPr>
          <xdr:spPr bwMode="auto">
            <a:xfrm>
              <a:off x="576" y="1309"/>
              <a:ext cx="64"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46" name="Line 721">
              <a:extLst>
                <a:ext uri="{FF2B5EF4-FFF2-40B4-BE49-F238E27FC236}">
                  <a16:creationId xmlns:a16="http://schemas.microsoft.com/office/drawing/2014/main" id="{610AF0EE-4DF3-4566-54A6-6B17060257B0}"/>
                </a:ext>
              </a:extLst>
            </xdr:cNvPr>
            <xdr:cNvSpPr>
              <a:spLocks noChangeShapeType="1"/>
            </xdr:cNvSpPr>
          </xdr:nvSpPr>
          <xdr:spPr bwMode="auto">
            <a:xfrm>
              <a:off x="640" y="1309"/>
              <a:ext cx="0" cy="34"/>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47" name="Line 722">
              <a:extLst>
                <a:ext uri="{FF2B5EF4-FFF2-40B4-BE49-F238E27FC236}">
                  <a16:creationId xmlns:a16="http://schemas.microsoft.com/office/drawing/2014/main" id="{FE14EC8E-9810-E21F-51D8-CE78CD4FB2BA}"/>
                </a:ext>
              </a:extLst>
            </xdr:cNvPr>
            <xdr:cNvSpPr>
              <a:spLocks noChangeShapeType="1"/>
            </xdr:cNvSpPr>
          </xdr:nvSpPr>
          <xdr:spPr bwMode="auto">
            <a:xfrm flipH="1">
              <a:off x="576" y="1343"/>
              <a:ext cx="64"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48" name="Line 723">
              <a:extLst>
                <a:ext uri="{FF2B5EF4-FFF2-40B4-BE49-F238E27FC236}">
                  <a16:creationId xmlns:a16="http://schemas.microsoft.com/office/drawing/2014/main" id="{F218B6F1-8D9B-C98B-26ED-B276D3AACDED}"/>
                </a:ext>
              </a:extLst>
            </xdr:cNvPr>
            <xdr:cNvSpPr>
              <a:spLocks noChangeShapeType="1"/>
            </xdr:cNvSpPr>
          </xdr:nvSpPr>
          <xdr:spPr bwMode="auto">
            <a:xfrm flipH="1">
              <a:off x="576" y="1343"/>
              <a:ext cx="0" cy="117"/>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49" name="Line 724">
              <a:extLst>
                <a:ext uri="{FF2B5EF4-FFF2-40B4-BE49-F238E27FC236}">
                  <a16:creationId xmlns:a16="http://schemas.microsoft.com/office/drawing/2014/main" id="{B1F8126C-80CA-A39B-CB9F-602FCEEF4D64}"/>
                </a:ext>
              </a:extLst>
            </xdr:cNvPr>
            <xdr:cNvSpPr>
              <a:spLocks noChangeShapeType="1"/>
            </xdr:cNvSpPr>
          </xdr:nvSpPr>
          <xdr:spPr bwMode="auto">
            <a:xfrm>
              <a:off x="384" y="1292"/>
              <a:ext cx="192"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50" name="Line 725">
              <a:extLst>
                <a:ext uri="{FF2B5EF4-FFF2-40B4-BE49-F238E27FC236}">
                  <a16:creationId xmlns:a16="http://schemas.microsoft.com/office/drawing/2014/main" id="{C4682324-9072-717E-28E6-F306CA2ABB6A}"/>
                </a:ext>
              </a:extLst>
            </xdr:cNvPr>
            <xdr:cNvSpPr>
              <a:spLocks noChangeShapeType="1"/>
            </xdr:cNvSpPr>
          </xdr:nvSpPr>
          <xdr:spPr bwMode="auto">
            <a:xfrm>
              <a:off x="383" y="1460"/>
              <a:ext cx="193"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grpSp>
        <xdr:nvGrpSpPr>
          <xdr:cNvPr id="92839" name="Group 726">
            <a:extLst>
              <a:ext uri="{FF2B5EF4-FFF2-40B4-BE49-F238E27FC236}">
                <a16:creationId xmlns:a16="http://schemas.microsoft.com/office/drawing/2014/main" id="{CEE88A72-D501-DCD6-A8C9-F064BB09F731}"/>
              </a:ext>
            </a:extLst>
          </xdr:cNvPr>
          <xdr:cNvGrpSpPr>
            <a:grpSpLocks/>
          </xdr:cNvGrpSpPr>
        </xdr:nvGrpSpPr>
        <xdr:grpSpPr bwMode="auto">
          <a:xfrm>
            <a:off x="268" y="1043"/>
            <a:ext cx="33" cy="17"/>
            <a:chOff x="256" y="918"/>
            <a:chExt cx="127" cy="170"/>
          </a:xfrm>
        </xdr:grpSpPr>
        <xdr:sp macro="" textlink="">
          <xdr:nvSpPr>
            <xdr:cNvPr id="92840" name="Rectangle 727" descr="Large confetti">
              <a:extLst>
                <a:ext uri="{FF2B5EF4-FFF2-40B4-BE49-F238E27FC236}">
                  <a16:creationId xmlns:a16="http://schemas.microsoft.com/office/drawing/2014/main" id="{E8FC5A90-D760-FBE8-49D8-A69FCBC74945}"/>
                </a:ext>
              </a:extLst>
            </xdr:cNvPr>
            <xdr:cNvSpPr>
              <a:spLocks noChangeArrowheads="1"/>
            </xdr:cNvSpPr>
          </xdr:nvSpPr>
          <xdr:spPr bwMode="auto">
            <a:xfrm>
              <a:off x="256" y="918"/>
              <a:ext cx="127" cy="17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841" name="Rectangle 728">
              <a:extLst>
                <a:ext uri="{FF2B5EF4-FFF2-40B4-BE49-F238E27FC236}">
                  <a16:creationId xmlns:a16="http://schemas.microsoft.com/office/drawing/2014/main" id="{E1A7F20D-B7CF-8E53-BC30-2F7E407963D7}"/>
                </a:ext>
              </a:extLst>
            </xdr:cNvPr>
            <xdr:cNvSpPr>
              <a:spLocks noChangeArrowheads="1"/>
            </xdr:cNvSpPr>
          </xdr:nvSpPr>
          <xdr:spPr bwMode="auto">
            <a:xfrm>
              <a:off x="256" y="986"/>
              <a:ext cx="34" cy="34"/>
            </a:xfrm>
            <a:prstGeom prst="rect">
              <a:avLst/>
            </a:prstGeom>
            <a:solidFill>
              <a:srgbClr val="00CC99"/>
            </a:solidFill>
            <a:ln w="3175">
              <a:solidFill>
                <a:srgbClr val="000000"/>
              </a:solidFill>
              <a:miter lim="800000"/>
              <a:headEnd/>
              <a:tailEnd/>
            </a:ln>
          </xdr:spPr>
        </xdr:sp>
        <xdr:sp macro="" textlink="">
          <xdr:nvSpPr>
            <xdr:cNvPr id="92842" name="Rectangle 729">
              <a:extLst>
                <a:ext uri="{FF2B5EF4-FFF2-40B4-BE49-F238E27FC236}">
                  <a16:creationId xmlns:a16="http://schemas.microsoft.com/office/drawing/2014/main" id="{DCB55F44-8B6D-44B8-977D-E6D2BD2170F3}"/>
                </a:ext>
              </a:extLst>
            </xdr:cNvPr>
            <xdr:cNvSpPr>
              <a:spLocks noChangeArrowheads="1"/>
            </xdr:cNvSpPr>
          </xdr:nvSpPr>
          <xdr:spPr bwMode="auto">
            <a:xfrm>
              <a:off x="349" y="986"/>
              <a:ext cx="34" cy="34"/>
            </a:xfrm>
            <a:prstGeom prst="rect">
              <a:avLst/>
            </a:prstGeom>
            <a:solidFill>
              <a:srgbClr val="00CC99"/>
            </a:solidFill>
            <a:ln w="3175">
              <a:solidFill>
                <a:srgbClr val="000000"/>
              </a:solidFill>
              <a:miter lim="800000"/>
              <a:headEnd/>
              <a:tailEnd/>
            </a:ln>
          </xdr:spPr>
        </xdr:sp>
      </xdr:grpSp>
    </xdr:grpSp>
    <xdr:clientData/>
  </xdr:twoCellAnchor>
  <xdr:twoCellAnchor>
    <xdr:from>
      <xdr:col>17</xdr:col>
      <xdr:colOff>212271</xdr:colOff>
      <xdr:row>18</xdr:row>
      <xdr:rowOff>70757</xdr:rowOff>
    </xdr:from>
    <xdr:to>
      <xdr:col>19</xdr:col>
      <xdr:colOff>40821</xdr:colOff>
      <xdr:row>19</xdr:row>
      <xdr:rowOff>87086</xdr:rowOff>
    </xdr:to>
    <xdr:grpSp>
      <xdr:nvGrpSpPr>
        <xdr:cNvPr id="92273" name="Group 730">
          <a:extLst>
            <a:ext uri="{FF2B5EF4-FFF2-40B4-BE49-F238E27FC236}">
              <a16:creationId xmlns:a16="http://schemas.microsoft.com/office/drawing/2014/main" id="{3E420836-0C00-0711-9D6B-DEB5BC2CE488}"/>
            </a:ext>
          </a:extLst>
        </xdr:cNvPr>
        <xdr:cNvGrpSpPr>
          <a:grpSpLocks/>
        </xdr:cNvGrpSpPr>
      </xdr:nvGrpSpPr>
      <xdr:grpSpPr bwMode="auto">
        <a:xfrm>
          <a:off x="11206843" y="4146497"/>
          <a:ext cx="1122029" cy="243648"/>
          <a:chOff x="24" y="1231"/>
          <a:chExt cx="103" cy="18"/>
        </a:xfrm>
      </xdr:grpSpPr>
      <xdr:sp macro="" textlink="">
        <xdr:nvSpPr>
          <xdr:cNvPr id="92835" name="Rectangle 731">
            <a:extLst>
              <a:ext uri="{FF2B5EF4-FFF2-40B4-BE49-F238E27FC236}">
                <a16:creationId xmlns:a16="http://schemas.microsoft.com/office/drawing/2014/main" id="{1D0664B8-35BD-D4F1-AD91-DDD79450CDB3}"/>
              </a:ext>
            </a:extLst>
          </xdr:cNvPr>
          <xdr:cNvSpPr>
            <a:spLocks noChangeArrowheads="1"/>
          </xdr:cNvSpPr>
        </xdr:nvSpPr>
        <xdr:spPr bwMode="auto">
          <a:xfrm>
            <a:off x="24" y="1231"/>
            <a:ext cx="103" cy="18"/>
          </a:xfrm>
          <a:prstGeom prst="rect">
            <a:avLst/>
          </a:prstGeom>
          <a:solidFill>
            <a:srgbClr val="FFFFFF"/>
          </a:solidFill>
          <a:ln w="3175">
            <a:solidFill>
              <a:srgbClr val="000000"/>
            </a:solidFill>
            <a:miter lim="800000"/>
            <a:headEnd/>
            <a:tailEnd/>
          </a:ln>
        </xdr:spPr>
      </xdr:sp>
      <xdr:sp macro="" textlink="">
        <xdr:nvSpPr>
          <xdr:cNvPr id="92836" name="Line 732">
            <a:extLst>
              <a:ext uri="{FF2B5EF4-FFF2-40B4-BE49-F238E27FC236}">
                <a16:creationId xmlns:a16="http://schemas.microsoft.com/office/drawing/2014/main" id="{CB9530D8-2287-E9A3-C291-76E4D92D08CB}"/>
              </a:ext>
            </a:extLst>
          </xdr:cNvPr>
          <xdr:cNvSpPr>
            <a:spLocks noChangeShapeType="1"/>
          </xdr:cNvSpPr>
        </xdr:nvSpPr>
        <xdr:spPr bwMode="auto">
          <a:xfrm>
            <a:off x="25" y="1232"/>
            <a:ext cx="100" cy="16"/>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837" name="Line 733">
            <a:extLst>
              <a:ext uri="{FF2B5EF4-FFF2-40B4-BE49-F238E27FC236}">
                <a16:creationId xmlns:a16="http://schemas.microsoft.com/office/drawing/2014/main" id="{9F0CD01C-C16B-BA6E-B7CA-EA644873978F}"/>
              </a:ext>
            </a:extLst>
          </xdr:cNvPr>
          <xdr:cNvSpPr>
            <a:spLocks noChangeShapeType="1"/>
          </xdr:cNvSpPr>
        </xdr:nvSpPr>
        <xdr:spPr bwMode="auto">
          <a:xfrm flipV="1">
            <a:off x="24" y="1232"/>
            <a:ext cx="103" cy="16"/>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253093</xdr:colOff>
      <xdr:row>21</xdr:row>
      <xdr:rowOff>220436</xdr:rowOff>
    </xdr:from>
    <xdr:to>
      <xdr:col>19</xdr:col>
      <xdr:colOff>81643</xdr:colOff>
      <xdr:row>23</xdr:row>
      <xdr:rowOff>220436</xdr:rowOff>
    </xdr:to>
    <xdr:sp macro="" textlink="">
      <xdr:nvSpPr>
        <xdr:cNvPr id="92274" name="Rectangle 734" descr="20%">
          <a:extLst>
            <a:ext uri="{FF2B5EF4-FFF2-40B4-BE49-F238E27FC236}">
              <a16:creationId xmlns:a16="http://schemas.microsoft.com/office/drawing/2014/main" id="{9AF027DA-6644-1715-91B3-BF6E5C5A3E65}"/>
            </a:ext>
          </a:extLst>
        </xdr:cNvPr>
        <xdr:cNvSpPr>
          <a:spLocks noChangeArrowheads="1"/>
        </xdr:cNvSpPr>
      </xdr:nvSpPr>
      <xdr:spPr bwMode="auto">
        <a:xfrm>
          <a:off x="11263993" y="4999264"/>
          <a:ext cx="1123950" cy="457200"/>
        </a:xfrm>
        <a:prstGeom prst="rect">
          <a:avLst/>
        </a:prstGeom>
        <a:blipFill dpi="0" rotWithShape="0">
          <a:blip xmlns:r="http://schemas.openxmlformats.org/officeDocument/2006/relationships" r:embed="rId140"/>
          <a:srcRect/>
          <a:tile tx="0" ty="0" sx="100000" sy="100000" flip="none" algn="tl"/>
        </a:blipFill>
        <a:ln w="9525">
          <a:solidFill>
            <a:srgbClr val="000000"/>
          </a:solidFill>
          <a:miter lim="800000"/>
          <a:headEnd/>
          <a:tailEnd/>
        </a:ln>
      </xdr:spPr>
    </xdr:sp>
    <xdr:clientData/>
  </xdr:twoCellAnchor>
  <xdr:twoCellAnchor>
    <xdr:from>
      <xdr:col>22</xdr:col>
      <xdr:colOff>283029</xdr:colOff>
      <xdr:row>8</xdr:row>
      <xdr:rowOff>144236</xdr:rowOff>
    </xdr:from>
    <xdr:to>
      <xdr:col>22</xdr:col>
      <xdr:colOff>606879</xdr:colOff>
      <xdr:row>9</xdr:row>
      <xdr:rowOff>89807</xdr:rowOff>
    </xdr:to>
    <xdr:grpSp>
      <xdr:nvGrpSpPr>
        <xdr:cNvPr id="92275" name="Group 735">
          <a:extLst>
            <a:ext uri="{FF2B5EF4-FFF2-40B4-BE49-F238E27FC236}">
              <a16:creationId xmlns:a16="http://schemas.microsoft.com/office/drawing/2014/main" id="{24DC2D71-B376-6BB9-C965-A9EA1A711480}"/>
            </a:ext>
          </a:extLst>
        </xdr:cNvPr>
        <xdr:cNvGrpSpPr>
          <a:grpSpLocks/>
        </xdr:cNvGrpSpPr>
      </xdr:nvGrpSpPr>
      <xdr:grpSpPr bwMode="auto">
        <a:xfrm>
          <a:off x="14511298" y="1914765"/>
          <a:ext cx="323850" cy="188900"/>
          <a:chOff x="256" y="918"/>
          <a:chExt cx="127" cy="170"/>
        </a:xfrm>
      </xdr:grpSpPr>
      <xdr:sp macro="" textlink="">
        <xdr:nvSpPr>
          <xdr:cNvPr id="92832" name="Rectangle 736" descr="Large confetti">
            <a:extLst>
              <a:ext uri="{FF2B5EF4-FFF2-40B4-BE49-F238E27FC236}">
                <a16:creationId xmlns:a16="http://schemas.microsoft.com/office/drawing/2014/main" id="{037CA355-0F84-4F18-8F4D-34BAE8CB9D21}"/>
              </a:ext>
            </a:extLst>
          </xdr:cNvPr>
          <xdr:cNvSpPr>
            <a:spLocks noChangeArrowheads="1"/>
          </xdr:cNvSpPr>
        </xdr:nvSpPr>
        <xdr:spPr bwMode="auto">
          <a:xfrm>
            <a:off x="256" y="918"/>
            <a:ext cx="127" cy="17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833" name="Rectangle 737">
            <a:extLst>
              <a:ext uri="{FF2B5EF4-FFF2-40B4-BE49-F238E27FC236}">
                <a16:creationId xmlns:a16="http://schemas.microsoft.com/office/drawing/2014/main" id="{A56F4BE6-C08A-078D-E71B-0BF3CAFABFE7}"/>
              </a:ext>
            </a:extLst>
          </xdr:cNvPr>
          <xdr:cNvSpPr>
            <a:spLocks noChangeArrowheads="1"/>
          </xdr:cNvSpPr>
        </xdr:nvSpPr>
        <xdr:spPr bwMode="auto">
          <a:xfrm>
            <a:off x="256" y="986"/>
            <a:ext cx="34" cy="34"/>
          </a:xfrm>
          <a:prstGeom prst="rect">
            <a:avLst/>
          </a:prstGeom>
          <a:solidFill>
            <a:srgbClr val="00CC99"/>
          </a:solidFill>
          <a:ln w="3175">
            <a:solidFill>
              <a:srgbClr val="000000"/>
            </a:solidFill>
            <a:miter lim="800000"/>
            <a:headEnd/>
            <a:tailEnd/>
          </a:ln>
        </xdr:spPr>
      </xdr:sp>
      <xdr:sp macro="" textlink="">
        <xdr:nvSpPr>
          <xdr:cNvPr id="92834" name="Rectangle 738">
            <a:extLst>
              <a:ext uri="{FF2B5EF4-FFF2-40B4-BE49-F238E27FC236}">
                <a16:creationId xmlns:a16="http://schemas.microsoft.com/office/drawing/2014/main" id="{A88AE03A-BE53-0B6F-5AB1-57855F699D71}"/>
              </a:ext>
            </a:extLst>
          </xdr:cNvPr>
          <xdr:cNvSpPr>
            <a:spLocks noChangeArrowheads="1"/>
          </xdr:cNvSpPr>
        </xdr:nvSpPr>
        <xdr:spPr bwMode="auto">
          <a:xfrm>
            <a:off x="349" y="986"/>
            <a:ext cx="34" cy="34"/>
          </a:xfrm>
          <a:prstGeom prst="rect">
            <a:avLst/>
          </a:prstGeom>
          <a:solidFill>
            <a:srgbClr val="00CC99"/>
          </a:solidFill>
          <a:ln w="3175">
            <a:solidFill>
              <a:srgbClr val="000000"/>
            </a:solidFill>
            <a:miter lim="800000"/>
            <a:headEnd/>
            <a:tailEnd/>
          </a:ln>
        </xdr:spPr>
      </xdr:sp>
    </xdr:grpSp>
    <xdr:clientData/>
  </xdr:twoCellAnchor>
  <xdr:twoCellAnchor>
    <xdr:from>
      <xdr:col>22</xdr:col>
      <xdr:colOff>283029</xdr:colOff>
      <xdr:row>2</xdr:row>
      <xdr:rowOff>133350</xdr:rowOff>
    </xdr:from>
    <xdr:to>
      <xdr:col>22</xdr:col>
      <xdr:colOff>606879</xdr:colOff>
      <xdr:row>6</xdr:row>
      <xdr:rowOff>27214</xdr:rowOff>
    </xdr:to>
    <xdr:sp macro="" textlink="">
      <xdr:nvSpPr>
        <xdr:cNvPr id="92276" name="Rectangle 739">
          <a:extLst>
            <a:ext uri="{FF2B5EF4-FFF2-40B4-BE49-F238E27FC236}">
              <a16:creationId xmlns:a16="http://schemas.microsoft.com/office/drawing/2014/main" id="{478F66A3-B4DB-275B-66CB-C3290BB439EE}"/>
            </a:ext>
          </a:extLst>
        </xdr:cNvPr>
        <xdr:cNvSpPr>
          <a:spLocks noChangeArrowheads="1"/>
        </xdr:cNvSpPr>
      </xdr:nvSpPr>
      <xdr:spPr bwMode="auto">
        <a:xfrm>
          <a:off x="14532429" y="541564"/>
          <a:ext cx="323850" cy="808265"/>
        </a:xfrm>
        <a:prstGeom prst="rect">
          <a:avLst/>
        </a:prstGeom>
        <a:solidFill>
          <a:srgbClr val="FFFFFF"/>
        </a:solidFill>
        <a:ln w="9525">
          <a:solidFill>
            <a:srgbClr val="000000"/>
          </a:solidFill>
          <a:miter lim="800000"/>
          <a:headEnd/>
          <a:tailEnd/>
        </a:ln>
      </xdr:spPr>
    </xdr:sp>
    <xdr:clientData/>
  </xdr:twoCellAnchor>
  <xdr:twoCellAnchor>
    <xdr:from>
      <xdr:col>22</xdr:col>
      <xdr:colOff>272143</xdr:colOff>
      <xdr:row>11</xdr:row>
      <xdr:rowOff>149679</xdr:rowOff>
    </xdr:from>
    <xdr:to>
      <xdr:col>22</xdr:col>
      <xdr:colOff>595993</xdr:colOff>
      <xdr:row>12</xdr:row>
      <xdr:rowOff>114300</xdr:rowOff>
    </xdr:to>
    <xdr:grpSp>
      <xdr:nvGrpSpPr>
        <xdr:cNvPr id="92277" name="Group 740">
          <a:extLst>
            <a:ext uri="{FF2B5EF4-FFF2-40B4-BE49-F238E27FC236}">
              <a16:creationId xmlns:a16="http://schemas.microsoft.com/office/drawing/2014/main" id="{B506C6B6-B977-72BE-6F06-76D17FAFE501}"/>
            </a:ext>
          </a:extLst>
        </xdr:cNvPr>
        <xdr:cNvGrpSpPr>
          <a:grpSpLocks/>
        </xdr:cNvGrpSpPr>
      </xdr:nvGrpSpPr>
      <xdr:grpSpPr bwMode="auto">
        <a:xfrm>
          <a:off x="14500412" y="2634184"/>
          <a:ext cx="323850" cy="191940"/>
          <a:chOff x="68" y="1003"/>
          <a:chExt cx="31" cy="28"/>
        </a:xfrm>
      </xdr:grpSpPr>
      <xdr:sp macro="" textlink="">
        <xdr:nvSpPr>
          <xdr:cNvPr id="92827" name="Rectangle 741">
            <a:extLst>
              <a:ext uri="{FF2B5EF4-FFF2-40B4-BE49-F238E27FC236}">
                <a16:creationId xmlns:a16="http://schemas.microsoft.com/office/drawing/2014/main" id="{D61BCC52-A2B0-E424-37EA-DE06803217DA}"/>
              </a:ext>
            </a:extLst>
          </xdr:cNvPr>
          <xdr:cNvSpPr>
            <a:spLocks noChangeArrowheads="1"/>
          </xdr:cNvSpPr>
        </xdr:nvSpPr>
        <xdr:spPr bwMode="auto">
          <a:xfrm>
            <a:off x="68" y="1003"/>
            <a:ext cx="31" cy="28"/>
          </a:xfrm>
          <a:prstGeom prst="rect">
            <a:avLst/>
          </a:prstGeom>
          <a:solidFill>
            <a:srgbClr val="FFFFFF"/>
          </a:solidFill>
          <a:ln w="9525">
            <a:solidFill>
              <a:srgbClr val="000000"/>
            </a:solidFill>
            <a:miter lim="800000"/>
            <a:headEnd/>
            <a:tailEnd/>
          </a:ln>
        </xdr:spPr>
      </xdr:sp>
      <xdr:grpSp>
        <xdr:nvGrpSpPr>
          <xdr:cNvPr id="92828" name="Group 742">
            <a:extLst>
              <a:ext uri="{FF2B5EF4-FFF2-40B4-BE49-F238E27FC236}">
                <a16:creationId xmlns:a16="http://schemas.microsoft.com/office/drawing/2014/main" id="{2C22AF07-4EEE-CACA-FBC6-72C6D4BDD56B}"/>
              </a:ext>
            </a:extLst>
          </xdr:cNvPr>
          <xdr:cNvGrpSpPr>
            <a:grpSpLocks/>
          </xdr:cNvGrpSpPr>
        </xdr:nvGrpSpPr>
        <xdr:grpSpPr bwMode="auto">
          <a:xfrm>
            <a:off x="72" y="1009"/>
            <a:ext cx="24" cy="18"/>
            <a:chOff x="263" y="783"/>
            <a:chExt cx="24" cy="18"/>
          </a:xfrm>
        </xdr:grpSpPr>
        <xdr:sp macro="" textlink="">
          <xdr:nvSpPr>
            <xdr:cNvPr id="92829" name="Oval 743">
              <a:extLst>
                <a:ext uri="{FF2B5EF4-FFF2-40B4-BE49-F238E27FC236}">
                  <a16:creationId xmlns:a16="http://schemas.microsoft.com/office/drawing/2014/main" id="{481494B8-7356-8770-1E18-B0484BCFC9D1}"/>
                </a:ext>
              </a:extLst>
            </xdr:cNvPr>
            <xdr:cNvSpPr>
              <a:spLocks noChangeArrowheads="1"/>
            </xdr:cNvSpPr>
          </xdr:nvSpPr>
          <xdr:spPr bwMode="auto">
            <a:xfrm>
              <a:off x="263" y="795"/>
              <a:ext cx="7" cy="6"/>
            </a:xfrm>
            <a:prstGeom prst="ellipse">
              <a:avLst/>
            </a:prstGeom>
            <a:solidFill>
              <a:srgbClr val="FFFFFF"/>
            </a:solidFill>
            <a:ln w="9525">
              <a:solidFill>
                <a:srgbClr val="000000"/>
              </a:solidFill>
              <a:round/>
              <a:headEnd/>
              <a:tailEnd/>
            </a:ln>
          </xdr:spPr>
        </xdr:sp>
        <xdr:sp macro="" textlink="">
          <xdr:nvSpPr>
            <xdr:cNvPr id="92830" name="Oval 744">
              <a:extLst>
                <a:ext uri="{FF2B5EF4-FFF2-40B4-BE49-F238E27FC236}">
                  <a16:creationId xmlns:a16="http://schemas.microsoft.com/office/drawing/2014/main" id="{D27F56EB-8403-9DF9-267C-064CBC36253A}"/>
                </a:ext>
              </a:extLst>
            </xdr:cNvPr>
            <xdr:cNvSpPr>
              <a:spLocks noChangeArrowheads="1"/>
            </xdr:cNvSpPr>
          </xdr:nvSpPr>
          <xdr:spPr bwMode="auto">
            <a:xfrm>
              <a:off x="272" y="788"/>
              <a:ext cx="7" cy="6"/>
            </a:xfrm>
            <a:prstGeom prst="ellipse">
              <a:avLst/>
            </a:prstGeom>
            <a:solidFill>
              <a:srgbClr val="FFFFFF"/>
            </a:solidFill>
            <a:ln w="9525">
              <a:solidFill>
                <a:srgbClr val="000000"/>
              </a:solidFill>
              <a:round/>
              <a:headEnd/>
              <a:tailEnd/>
            </a:ln>
          </xdr:spPr>
        </xdr:sp>
        <xdr:sp macro="" textlink="">
          <xdr:nvSpPr>
            <xdr:cNvPr id="92831" name="Oval 745">
              <a:extLst>
                <a:ext uri="{FF2B5EF4-FFF2-40B4-BE49-F238E27FC236}">
                  <a16:creationId xmlns:a16="http://schemas.microsoft.com/office/drawing/2014/main" id="{EB0515C7-8B83-2AF4-E4B6-86A53C6FB513}"/>
                </a:ext>
              </a:extLst>
            </xdr:cNvPr>
            <xdr:cNvSpPr>
              <a:spLocks noChangeArrowheads="1"/>
            </xdr:cNvSpPr>
          </xdr:nvSpPr>
          <xdr:spPr bwMode="auto">
            <a:xfrm>
              <a:off x="280" y="783"/>
              <a:ext cx="7" cy="6"/>
            </a:xfrm>
            <a:prstGeom prst="ellipse">
              <a:avLst/>
            </a:prstGeom>
            <a:solidFill>
              <a:srgbClr val="FFFFFF"/>
            </a:solidFill>
            <a:ln w="9525">
              <a:solidFill>
                <a:srgbClr val="000000"/>
              </a:solidFill>
              <a:round/>
              <a:headEnd/>
              <a:tailEnd/>
            </a:ln>
          </xdr:spPr>
        </xdr:sp>
      </xdr:grpSp>
    </xdr:grpSp>
    <xdr:clientData/>
  </xdr:twoCellAnchor>
  <xdr:twoCellAnchor>
    <xdr:from>
      <xdr:col>22</xdr:col>
      <xdr:colOff>201386</xdr:colOff>
      <xdr:row>15</xdr:row>
      <xdr:rowOff>95250</xdr:rowOff>
    </xdr:from>
    <xdr:to>
      <xdr:col>22</xdr:col>
      <xdr:colOff>636814</xdr:colOff>
      <xdr:row>17</xdr:row>
      <xdr:rowOff>78921</xdr:rowOff>
    </xdr:to>
    <xdr:grpSp>
      <xdr:nvGrpSpPr>
        <xdr:cNvPr id="92278" name="Group 746">
          <a:extLst>
            <a:ext uri="{FF2B5EF4-FFF2-40B4-BE49-F238E27FC236}">
              <a16:creationId xmlns:a16="http://schemas.microsoft.com/office/drawing/2014/main" id="{57F9BA53-10B5-DD1E-F30B-47EB166A6386}"/>
            </a:ext>
          </a:extLst>
        </xdr:cNvPr>
        <xdr:cNvGrpSpPr>
          <a:grpSpLocks/>
        </xdr:cNvGrpSpPr>
      </xdr:nvGrpSpPr>
      <xdr:grpSpPr bwMode="auto">
        <a:xfrm>
          <a:off x="14429655" y="3489031"/>
          <a:ext cx="435428" cy="438310"/>
          <a:chOff x="502" y="1241"/>
          <a:chExt cx="84" cy="204"/>
        </a:xfrm>
      </xdr:grpSpPr>
      <xdr:sp macro="" textlink="">
        <xdr:nvSpPr>
          <xdr:cNvPr id="92824" name="AutoShape 747">
            <a:extLst>
              <a:ext uri="{FF2B5EF4-FFF2-40B4-BE49-F238E27FC236}">
                <a16:creationId xmlns:a16="http://schemas.microsoft.com/office/drawing/2014/main" id="{AB519BAF-B2A7-5A9A-323B-E765A1521510}"/>
              </a:ext>
            </a:extLst>
          </xdr:cNvPr>
          <xdr:cNvSpPr>
            <a:spLocks noChangeArrowheads="1"/>
          </xdr:cNvSpPr>
        </xdr:nvSpPr>
        <xdr:spPr bwMode="auto">
          <a:xfrm rot="5400000">
            <a:off x="439" y="1339"/>
            <a:ext cx="136" cy="9"/>
          </a:xfrm>
          <a:custGeom>
            <a:avLst/>
            <a:gdLst>
              <a:gd name="T0" fmla="*/ 1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47 w 21600"/>
              <a:gd name="T13" fmla="*/ 4800 h 21600"/>
              <a:gd name="T14" fmla="*/ 17153 w 21600"/>
              <a:gd name="T15" fmla="*/ 168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CC99"/>
          </a:solidFill>
          <a:ln w="3175">
            <a:solidFill>
              <a:srgbClr val="000000"/>
            </a:solidFill>
            <a:miter lim="800000"/>
            <a:headEnd/>
            <a:tailEnd/>
          </a:ln>
        </xdr:spPr>
      </xdr:sp>
      <xdr:sp macro="" textlink="">
        <xdr:nvSpPr>
          <xdr:cNvPr id="92825" name="AutoShape 748">
            <a:extLst>
              <a:ext uri="{FF2B5EF4-FFF2-40B4-BE49-F238E27FC236}">
                <a16:creationId xmlns:a16="http://schemas.microsoft.com/office/drawing/2014/main" id="{8467ED29-9DF2-B7A7-9636-2BEC00044CF0}"/>
              </a:ext>
            </a:extLst>
          </xdr:cNvPr>
          <xdr:cNvSpPr>
            <a:spLocks noChangeArrowheads="1"/>
          </xdr:cNvSpPr>
        </xdr:nvSpPr>
        <xdr:spPr bwMode="auto">
          <a:xfrm rot="-5400000">
            <a:off x="514" y="1339"/>
            <a:ext cx="136" cy="9"/>
          </a:xfrm>
          <a:custGeom>
            <a:avLst/>
            <a:gdLst>
              <a:gd name="T0" fmla="*/ 1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47 w 21600"/>
              <a:gd name="T13" fmla="*/ 4800 h 21600"/>
              <a:gd name="T14" fmla="*/ 17153 w 21600"/>
              <a:gd name="T15" fmla="*/ 168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CC99"/>
          </a:solidFill>
          <a:ln w="3175">
            <a:solidFill>
              <a:srgbClr val="000000"/>
            </a:solidFill>
            <a:miter lim="800000"/>
            <a:headEnd/>
            <a:tailEnd/>
          </a:ln>
        </xdr:spPr>
      </xdr:sp>
      <xdr:sp macro="" textlink="">
        <xdr:nvSpPr>
          <xdr:cNvPr id="92826" name="Rectangle 749" descr="Large confetti">
            <a:extLst>
              <a:ext uri="{FF2B5EF4-FFF2-40B4-BE49-F238E27FC236}">
                <a16:creationId xmlns:a16="http://schemas.microsoft.com/office/drawing/2014/main" id="{E1D9FF11-127D-545C-1027-10A38E669549}"/>
              </a:ext>
            </a:extLst>
          </xdr:cNvPr>
          <xdr:cNvSpPr>
            <a:spLocks noChangeArrowheads="1"/>
          </xdr:cNvSpPr>
        </xdr:nvSpPr>
        <xdr:spPr bwMode="auto">
          <a:xfrm>
            <a:off x="512" y="1241"/>
            <a:ext cx="64" cy="204"/>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22</xdr:col>
      <xdr:colOff>201386</xdr:colOff>
      <xdr:row>20</xdr:row>
      <xdr:rowOff>166007</xdr:rowOff>
    </xdr:from>
    <xdr:to>
      <xdr:col>23</xdr:col>
      <xdr:colOff>19050</xdr:colOff>
      <xdr:row>22</xdr:row>
      <xdr:rowOff>95250</xdr:rowOff>
    </xdr:to>
    <xdr:grpSp>
      <xdr:nvGrpSpPr>
        <xdr:cNvPr id="92279" name="Group 750">
          <a:extLst>
            <a:ext uri="{FF2B5EF4-FFF2-40B4-BE49-F238E27FC236}">
              <a16:creationId xmlns:a16="http://schemas.microsoft.com/office/drawing/2014/main" id="{3969570A-26A9-A3D1-CEC5-8D59EA2BE60F}"/>
            </a:ext>
          </a:extLst>
        </xdr:cNvPr>
        <xdr:cNvGrpSpPr>
          <a:grpSpLocks/>
        </xdr:cNvGrpSpPr>
      </xdr:nvGrpSpPr>
      <xdr:grpSpPr bwMode="auto">
        <a:xfrm>
          <a:off x="14429655" y="4696385"/>
          <a:ext cx="464403" cy="383881"/>
          <a:chOff x="320" y="1241"/>
          <a:chExt cx="64" cy="221"/>
        </a:xfrm>
      </xdr:grpSpPr>
      <xdr:sp macro="" textlink="">
        <xdr:nvSpPr>
          <xdr:cNvPr id="92814" name="Rectangle 751" descr="Large confetti">
            <a:extLst>
              <a:ext uri="{FF2B5EF4-FFF2-40B4-BE49-F238E27FC236}">
                <a16:creationId xmlns:a16="http://schemas.microsoft.com/office/drawing/2014/main" id="{2C52D1E9-9401-3547-41B5-F0555B67DEAD}"/>
              </a:ext>
            </a:extLst>
          </xdr:cNvPr>
          <xdr:cNvSpPr>
            <a:spLocks noChangeArrowheads="1"/>
          </xdr:cNvSpPr>
        </xdr:nvSpPr>
        <xdr:spPr bwMode="auto">
          <a:xfrm>
            <a:off x="320" y="1258"/>
            <a:ext cx="64" cy="187"/>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815" name="Rectangle 752" descr="Large confetti">
            <a:extLst>
              <a:ext uri="{FF2B5EF4-FFF2-40B4-BE49-F238E27FC236}">
                <a16:creationId xmlns:a16="http://schemas.microsoft.com/office/drawing/2014/main" id="{14DA47FE-47AF-292D-8D38-34C79C9B50E1}"/>
              </a:ext>
            </a:extLst>
          </xdr:cNvPr>
          <xdr:cNvSpPr>
            <a:spLocks noChangeArrowheads="1"/>
          </xdr:cNvSpPr>
        </xdr:nvSpPr>
        <xdr:spPr bwMode="auto">
          <a:xfrm>
            <a:off x="329" y="1241"/>
            <a:ext cx="46" cy="17"/>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816" name="Rectangle 753" descr="Large confetti">
            <a:extLst>
              <a:ext uri="{FF2B5EF4-FFF2-40B4-BE49-F238E27FC236}">
                <a16:creationId xmlns:a16="http://schemas.microsoft.com/office/drawing/2014/main" id="{9DCF21F1-670C-2374-79A6-F32D81E4D454}"/>
              </a:ext>
            </a:extLst>
          </xdr:cNvPr>
          <xdr:cNvSpPr>
            <a:spLocks noChangeArrowheads="1"/>
          </xdr:cNvSpPr>
        </xdr:nvSpPr>
        <xdr:spPr bwMode="auto">
          <a:xfrm>
            <a:off x="329" y="1445"/>
            <a:ext cx="46" cy="17"/>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nvGrpSpPr>
          <xdr:cNvPr id="92817" name="Group 754">
            <a:extLst>
              <a:ext uri="{FF2B5EF4-FFF2-40B4-BE49-F238E27FC236}">
                <a16:creationId xmlns:a16="http://schemas.microsoft.com/office/drawing/2014/main" id="{113827BF-9413-141E-25F2-F934270CC215}"/>
              </a:ext>
            </a:extLst>
          </xdr:cNvPr>
          <xdr:cNvGrpSpPr>
            <a:grpSpLocks/>
          </xdr:cNvGrpSpPr>
        </xdr:nvGrpSpPr>
        <xdr:grpSpPr bwMode="auto">
          <a:xfrm>
            <a:off x="327" y="1298"/>
            <a:ext cx="49" cy="34"/>
            <a:chOff x="449" y="1326"/>
            <a:chExt cx="49" cy="34"/>
          </a:xfrm>
        </xdr:grpSpPr>
        <xdr:sp macro="" textlink="">
          <xdr:nvSpPr>
            <xdr:cNvPr id="92818" name="Rectangle 755">
              <a:extLst>
                <a:ext uri="{FF2B5EF4-FFF2-40B4-BE49-F238E27FC236}">
                  <a16:creationId xmlns:a16="http://schemas.microsoft.com/office/drawing/2014/main" id="{88D2AF78-ABC3-0F1A-ACB1-EFE56644C44C}"/>
                </a:ext>
              </a:extLst>
            </xdr:cNvPr>
            <xdr:cNvSpPr>
              <a:spLocks noChangeArrowheads="1"/>
            </xdr:cNvSpPr>
          </xdr:nvSpPr>
          <xdr:spPr bwMode="auto">
            <a:xfrm>
              <a:off x="449" y="1326"/>
              <a:ext cx="4" cy="34"/>
            </a:xfrm>
            <a:prstGeom prst="rect">
              <a:avLst/>
            </a:prstGeom>
            <a:solidFill>
              <a:srgbClr val="00CC99"/>
            </a:solidFill>
            <a:ln w="3175">
              <a:solidFill>
                <a:srgbClr val="000000"/>
              </a:solidFill>
              <a:miter lim="800000"/>
              <a:headEnd/>
              <a:tailEnd/>
            </a:ln>
          </xdr:spPr>
        </xdr:sp>
        <xdr:sp macro="" textlink="">
          <xdr:nvSpPr>
            <xdr:cNvPr id="92819" name="Rectangle 756">
              <a:extLst>
                <a:ext uri="{FF2B5EF4-FFF2-40B4-BE49-F238E27FC236}">
                  <a16:creationId xmlns:a16="http://schemas.microsoft.com/office/drawing/2014/main" id="{82153C29-0454-9D29-BAF5-A8206F15040E}"/>
                </a:ext>
              </a:extLst>
            </xdr:cNvPr>
            <xdr:cNvSpPr>
              <a:spLocks noChangeArrowheads="1"/>
            </xdr:cNvSpPr>
          </xdr:nvSpPr>
          <xdr:spPr bwMode="auto">
            <a:xfrm>
              <a:off x="458" y="1326"/>
              <a:ext cx="4" cy="34"/>
            </a:xfrm>
            <a:prstGeom prst="rect">
              <a:avLst/>
            </a:prstGeom>
            <a:solidFill>
              <a:srgbClr val="00CC99"/>
            </a:solidFill>
            <a:ln w="3175">
              <a:solidFill>
                <a:srgbClr val="000000"/>
              </a:solidFill>
              <a:miter lim="800000"/>
              <a:headEnd/>
              <a:tailEnd/>
            </a:ln>
          </xdr:spPr>
        </xdr:sp>
        <xdr:sp macro="" textlink="">
          <xdr:nvSpPr>
            <xdr:cNvPr id="92820" name="Rectangle 757">
              <a:extLst>
                <a:ext uri="{FF2B5EF4-FFF2-40B4-BE49-F238E27FC236}">
                  <a16:creationId xmlns:a16="http://schemas.microsoft.com/office/drawing/2014/main" id="{B2FC9715-856D-9EFB-6D81-D7A11F16A8F5}"/>
                </a:ext>
              </a:extLst>
            </xdr:cNvPr>
            <xdr:cNvSpPr>
              <a:spLocks noChangeArrowheads="1"/>
            </xdr:cNvSpPr>
          </xdr:nvSpPr>
          <xdr:spPr bwMode="auto">
            <a:xfrm>
              <a:off x="467" y="1326"/>
              <a:ext cx="4" cy="34"/>
            </a:xfrm>
            <a:prstGeom prst="rect">
              <a:avLst/>
            </a:prstGeom>
            <a:solidFill>
              <a:srgbClr val="00CC99"/>
            </a:solidFill>
            <a:ln w="3175">
              <a:solidFill>
                <a:srgbClr val="000000"/>
              </a:solidFill>
              <a:miter lim="800000"/>
              <a:headEnd/>
              <a:tailEnd/>
            </a:ln>
          </xdr:spPr>
        </xdr:sp>
        <xdr:sp macro="" textlink="">
          <xdr:nvSpPr>
            <xdr:cNvPr id="92821" name="Rectangle 758">
              <a:extLst>
                <a:ext uri="{FF2B5EF4-FFF2-40B4-BE49-F238E27FC236}">
                  <a16:creationId xmlns:a16="http://schemas.microsoft.com/office/drawing/2014/main" id="{55498567-A1EA-9853-6C6F-1E12F1FAE8CC}"/>
                </a:ext>
              </a:extLst>
            </xdr:cNvPr>
            <xdr:cNvSpPr>
              <a:spLocks noChangeArrowheads="1"/>
            </xdr:cNvSpPr>
          </xdr:nvSpPr>
          <xdr:spPr bwMode="auto">
            <a:xfrm>
              <a:off x="476" y="1326"/>
              <a:ext cx="4" cy="34"/>
            </a:xfrm>
            <a:prstGeom prst="rect">
              <a:avLst/>
            </a:prstGeom>
            <a:solidFill>
              <a:srgbClr val="00CC99"/>
            </a:solidFill>
            <a:ln w="3175">
              <a:solidFill>
                <a:srgbClr val="000000"/>
              </a:solidFill>
              <a:miter lim="800000"/>
              <a:headEnd/>
              <a:tailEnd/>
            </a:ln>
          </xdr:spPr>
        </xdr:sp>
        <xdr:sp macro="" textlink="">
          <xdr:nvSpPr>
            <xdr:cNvPr id="92822" name="Rectangle 759">
              <a:extLst>
                <a:ext uri="{FF2B5EF4-FFF2-40B4-BE49-F238E27FC236}">
                  <a16:creationId xmlns:a16="http://schemas.microsoft.com/office/drawing/2014/main" id="{270E0A55-9FC6-1151-A875-350315870B2F}"/>
                </a:ext>
              </a:extLst>
            </xdr:cNvPr>
            <xdr:cNvSpPr>
              <a:spLocks noChangeArrowheads="1"/>
            </xdr:cNvSpPr>
          </xdr:nvSpPr>
          <xdr:spPr bwMode="auto">
            <a:xfrm>
              <a:off x="485" y="1326"/>
              <a:ext cx="4" cy="34"/>
            </a:xfrm>
            <a:prstGeom prst="rect">
              <a:avLst/>
            </a:prstGeom>
            <a:solidFill>
              <a:srgbClr val="00CC99"/>
            </a:solidFill>
            <a:ln w="3175">
              <a:solidFill>
                <a:srgbClr val="000000"/>
              </a:solidFill>
              <a:miter lim="800000"/>
              <a:headEnd/>
              <a:tailEnd/>
            </a:ln>
          </xdr:spPr>
        </xdr:sp>
        <xdr:sp macro="" textlink="">
          <xdr:nvSpPr>
            <xdr:cNvPr id="92823" name="Rectangle 760">
              <a:extLst>
                <a:ext uri="{FF2B5EF4-FFF2-40B4-BE49-F238E27FC236}">
                  <a16:creationId xmlns:a16="http://schemas.microsoft.com/office/drawing/2014/main" id="{519F2A38-AD88-12A4-23A5-5D24F743DB3D}"/>
                </a:ext>
              </a:extLst>
            </xdr:cNvPr>
            <xdr:cNvSpPr>
              <a:spLocks noChangeArrowheads="1"/>
            </xdr:cNvSpPr>
          </xdr:nvSpPr>
          <xdr:spPr bwMode="auto">
            <a:xfrm>
              <a:off x="494" y="1326"/>
              <a:ext cx="4" cy="34"/>
            </a:xfrm>
            <a:prstGeom prst="rect">
              <a:avLst/>
            </a:prstGeom>
            <a:solidFill>
              <a:srgbClr val="00CC99"/>
            </a:solidFill>
            <a:ln w="3175">
              <a:solidFill>
                <a:srgbClr val="000000"/>
              </a:solidFill>
              <a:miter lim="800000"/>
              <a:headEnd/>
              <a:tailEnd/>
            </a:ln>
          </xdr:spPr>
        </xdr:sp>
      </xdr:grpSp>
    </xdr:grpSp>
    <xdr:clientData/>
  </xdr:twoCellAnchor>
  <xdr:twoCellAnchor>
    <xdr:from>
      <xdr:col>17</xdr:col>
      <xdr:colOff>242207</xdr:colOff>
      <xdr:row>25</xdr:row>
      <xdr:rowOff>201386</xdr:rowOff>
    </xdr:from>
    <xdr:to>
      <xdr:col>19</xdr:col>
      <xdr:colOff>70757</xdr:colOff>
      <xdr:row>28</xdr:row>
      <xdr:rowOff>0</xdr:rowOff>
    </xdr:to>
    <xdr:sp macro="" textlink="">
      <xdr:nvSpPr>
        <xdr:cNvPr id="92280" name="Rectangle 761" descr="Small checker board">
          <a:extLst>
            <a:ext uri="{FF2B5EF4-FFF2-40B4-BE49-F238E27FC236}">
              <a16:creationId xmlns:a16="http://schemas.microsoft.com/office/drawing/2014/main" id="{14F44A88-B1F8-18C9-05CA-6BC4928C95F2}"/>
            </a:ext>
          </a:extLst>
        </xdr:cNvPr>
        <xdr:cNvSpPr>
          <a:spLocks noChangeArrowheads="1"/>
        </xdr:cNvSpPr>
      </xdr:nvSpPr>
      <xdr:spPr bwMode="auto">
        <a:xfrm>
          <a:off x="11253107" y="5894614"/>
          <a:ext cx="1123950" cy="484415"/>
        </a:xfrm>
        <a:prstGeom prst="rect">
          <a:avLst/>
        </a:prstGeom>
        <a:blipFill dpi="0" rotWithShape="0">
          <a:blip xmlns:r="http://schemas.openxmlformats.org/officeDocument/2006/relationships" r:embed="rId141"/>
          <a:srcRect/>
          <a:tile tx="0" ty="0" sx="100000" sy="100000" flip="none" algn="tl"/>
        </a:blipFill>
        <a:ln w="9525">
          <a:solidFill>
            <a:srgbClr val="000000"/>
          </a:solidFill>
          <a:miter lim="800000"/>
          <a:headEnd/>
          <a:tailEnd/>
        </a:ln>
      </xdr:spPr>
    </xdr:sp>
    <xdr:clientData/>
  </xdr:twoCellAnchor>
  <xdr:twoCellAnchor>
    <xdr:from>
      <xdr:col>27</xdr:col>
      <xdr:colOff>476250</xdr:colOff>
      <xdr:row>2</xdr:row>
      <xdr:rowOff>70757</xdr:rowOff>
    </xdr:from>
    <xdr:to>
      <xdr:col>28</xdr:col>
      <xdr:colOff>152400</xdr:colOff>
      <xdr:row>6</xdr:row>
      <xdr:rowOff>62593</xdr:rowOff>
    </xdr:to>
    <xdr:grpSp>
      <xdr:nvGrpSpPr>
        <xdr:cNvPr id="92281" name="Group 762">
          <a:extLst>
            <a:ext uri="{FF2B5EF4-FFF2-40B4-BE49-F238E27FC236}">
              <a16:creationId xmlns:a16="http://schemas.microsoft.com/office/drawing/2014/main" id="{D9ADA871-3C67-A30A-27FA-BA3BA6177B16}"/>
            </a:ext>
          </a:extLst>
        </xdr:cNvPr>
        <xdr:cNvGrpSpPr>
          <a:grpSpLocks/>
        </xdr:cNvGrpSpPr>
      </xdr:nvGrpSpPr>
      <xdr:grpSpPr bwMode="auto">
        <a:xfrm rot="1271644">
          <a:off x="17938216" y="477370"/>
          <a:ext cx="322890" cy="901114"/>
          <a:chOff x="245" y="1227"/>
          <a:chExt cx="53" cy="172"/>
        </a:xfrm>
      </xdr:grpSpPr>
      <xdr:sp macro="" textlink="">
        <xdr:nvSpPr>
          <xdr:cNvPr id="92800" name="Rectangle 763" descr="Large confetti">
            <a:extLst>
              <a:ext uri="{FF2B5EF4-FFF2-40B4-BE49-F238E27FC236}">
                <a16:creationId xmlns:a16="http://schemas.microsoft.com/office/drawing/2014/main" id="{F7C97FAF-C8E9-8BAE-B615-1FA1EE4A7A25}"/>
              </a:ext>
            </a:extLst>
          </xdr:cNvPr>
          <xdr:cNvSpPr>
            <a:spLocks noChangeArrowheads="1"/>
          </xdr:cNvSpPr>
        </xdr:nvSpPr>
        <xdr:spPr bwMode="auto">
          <a:xfrm>
            <a:off x="256" y="1227"/>
            <a:ext cx="33" cy="15"/>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801" name="Rectangle 764" descr="Large confetti">
            <a:extLst>
              <a:ext uri="{FF2B5EF4-FFF2-40B4-BE49-F238E27FC236}">
                <a16:creationId xmlns:a16="http://schemas.microsoft.com/office/drawing/2014/main" id="{1EED245C-1347-91AD-86A5-939AD6428082}"/>
              </a:ext>
            </a:extLst>
          </xdr:cNvPr>
          <xdr:cNvSpPr>
            <a:spLocks noChangeArrowheads="1"/>
          </xdr:cNvSpPr>
        </xdr:nvSpPr>
        <xdr:spPr bwMode="auto">
          <a:xfrm>
            <a:off x="245" y="1385"/>
            <a:ext cx="53" cy="8"/>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802" name="AutoShape 765" descr="Large confetti">
            <a:extLst>
              <a:ext uri="{FF2B5EF4-FFF2-40B4-BE49-F238E27FC236}">
                <a16:creationId xmlns:a16="http://schemas.microsoft.com/office/drawing/2014/main" id="{C953A564-0796-FC7F-E5D9-166AB807C64E}"/>
              </a:ext>
            </a:extLst>
          </xdr:cNvPr>
          <xdr:cNvSpPr>
            <a:spLocks noChangeArrowheads="1"/>
          </xdr:cNvSpPr>
        </xdr:nvSpPr>
        <xdr:spPr bwMode="auto">
          <a:xfrm>
            <a:off x="245" y="1394"/>
            <a:ext cx="53" cy="5"/>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83 w 21600"/>
              <a:gd name="T13" fmla="*/ 4320 h 21600"/>
              <a:gd name="T14" fmla="*/ 17117 w 21600"/>
              <a:gd name="T15" fmla="*/ 1728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nvGrpSpPr>
          <xdr:cNvPr id="92803" name="Group 766">
            <a:extLst>
              <a:ext uri="{FF2B5EF4-FFF2-40B4-BE49-F238E27FC236}">
                <a16:creationId xmlns:a16="http://schemas.microsoft.com/office/drawing/2014/main" id="{92606F88-B972-6CAF-4E90-0D13A9392E3E}"/>
              </a:ext>
            </a:extLst>
          </xdr:cNvPr>
          <xdr:cNvGrpSpPr>
            <a:grpSpLocks/>
          </xdr:cNvGrpSpPr>
        </xdr:nvGrpSpPr>
        <xdr:grpSpPr bwMode="auto">
          <a:xfrm>
            <a:off x="245" y="1242"/>
            <a:ext cx="53" cy="41"/>
            <a:chOff x="245" y="1268"/>
            <a:chExt cx="53" cy="41"/>
          </a:xfrm>
        </xdr:grpSpPr>
        <xdr:sp macro="" textlink="">
          <xdr:nvSpPr>
            <xdr:cNvPr id="92810" name="Rectangle 767" descr="Large confetti">
              <a:extLst>
                <a:ext uri="{FF2B5EF4-FFF2-40B4-BE49-F238E27FC236}">
                  <a16:creationId xmlns:a16="http://schemas.microsoft.com/office/drawing/2014/main" id="{EE60EA70-7344-2B4D-28C7-CBCF0E44F1CF}"/>
                </a:ext>
              </a:extLst>
            </xdr:cNvPr>
            <xdr:cNvSpPr>
              <a:spLocks noChangeArrowheads="1"/>
            </xdr:cNvSpPr>
          </xdr:nvSpPr>
          <xdr:spPr bwMode="auto">
            <a:xfrm>
              <a:off x="245" y="1268"/>
              <a:ext cx="53" cy="41"/>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811" name="Oval 768">
              <a:extLst>
                <a:ext uri="{FF2B5EF4-FFF2-40B4-BE49-F238E27FC236}">
                  <a16:creationId xmlns:a16="http://schemas.microsoft.com/office/drawing/2014/main" id="{7A48D9A5-E8F5-BC3C-1910-91191B7A8004}"/>
                </a:ext>
              </a:extLst>
            </xdr:cNvPr>
            <xdr:cNvSpPr>
              <a:spLocks noChangeArrowheads="1"/>
            </xdr:cNvSpPr>
          </xdr:nvSpPr>
          <xdr:spPr bwMode="auto">
            <a:xfrm>
              <a:off x="287" y="1277"/>
              <a:ext cx="8" cy="7"/>
            </a:xfrm>
            <a:prstGeom prst="ellipse">
              <a:avLst/>
            </a:prstGeom>
            <a:solidFill>
              <a:srgbClr val="00CC99"/>
            </a:solidFill>
            <a:ln w="3175">
              <a:solidFill>
                <a:srgbClr val="000000"/>
              </a:solidFill>
              <a:round/>
              <a:headEnd/>
              <a:tailEnd/>
            </a:ln>
          </xdr:spPr>
        </xdr:sp>
        <xdr:sp macro="" textlink="">
          <xdr:nvSpPr>
            <xdr:cNvPr id="92812" name="Oval 769">
              <a:extLst>
                <a:ext uri="{FF2B5EF4-FFF2-40B4-BE49-F238E27FC236}">
                  <a16:creationId xmlns:a16="http://schemas.microsoft.com/office/drawing/2014/main" id="{396F020A-6234-669B-4FAA-99A2F961C771}"/>
                </a:ext>
              </a:extLst>
            </xdr:cNvPr>
            <xdr:cNvSpPr>
              <a:spLocks noChangeArrowheads="1"/>
            </xdr:cNvSpPr>
          </xdr:nvSpPr>
          <xdr:spPr bwMode="auto">
            <a:xfrm>
              <a:off x="268" y="1288"/>
              <a:ext cx="7" cy="6"/>
            </a:xfrm>
            <a:prstGeom prst="ellipse">
              <a:avLst/>
            </a:prstGeom>
            <a:solidFill>
              <a:srgbClr val="00CC99"/>
            </a:solidFill>
            <a:ln w="3175">
              <a:solidFill>
                <a:srgbClr val="000000"/>
              </a:solidFill>
              <a:round/>
              <a:headEnd/>
              <a:tailEnd/>
            </a:ln>
          </xdr:spPr>
        </xdr:sp>
        <xdr:sp macro="" textlink="">
          <xdr:nvSpPr>
            <xdr:cNvPr id="92813" name="Oval 770">
              <a:extLst>
                <a:ext uri="{FF2B5EF4-FFF2-40B4-BE49-F238E27FC236}">
                  <a16:creationId xmlns:a16="http://schemas.microsoft.com/office/drawing/2014/main" id="{0D3E0BCE-E01A-9AB1-2CE3-65D119D08CBF}"/>
                </a:ext>
              </a:extLst>
            </xdr:cNvPr>
            <xdr:cNvSpPr>
              <a:spLocks noChangeArrowheads="1"/>
            </xdr:cNvSpPr>
          </xdr:nvSpPr>
          <xdr:spPr bwMode="auto">
            <a:xfrm>
              <a:off x="248" y="1299"/>
              <a:ext cx="8" cy="7"/>
            </a:xfrm>
            <a:prstGeom prst="ellipse">
              <a:avLst/>
            </a:prstGeom>
            <a:solidFill>
              <a:srgbClr val="00CC99"/>
            </a:solidFill>
            <a:ln w="3175">
              <a:solidFill>
                <a:srgbClr val="000000"/>
              </a:solidFill>
              <a:round/>
              <a:headEnd/>
              <a:tailEnd/>
            </a:ln>
          </xdr:spPr>
        </xdr:sp>
      </xdr:grpSp>
      <xdr:grpSp>
        <xdr:nvGrpSpPr>
          <xdr:cNvPr id="92804" name="Group 771">
            <a:extLst>
              <a:ext uri="{FF2B5EF4-FFF2-40B4-BE49-F238E27FC236}">
                <a16:creationId xmlns:a16="http://schemas.microsoft.com/office/drawing/2014/main" id="{2FDCA0F6-41B6-4463-CF92-57C3D2A85554}"/>
              </a:ext>
            </a:extLst>
          </xdr:cNvPr>
          <xdr:cNvGrpSpPr>
            <a:grpSpLocks/>
          </xdr:cNvGrpSpPr>
        </xdr:nvGrpSpPr>
        <xdr:grpSpPr bwMode="auto">
          <a:xfrm>
            <a:off x="245" y="1343"/>
            <a:ext cx="53" cy="41"/>
            <a:chOff x="245" y="1268"/>
            <a:chExt cx="53" cy="41"/>
          </a:xfrm>
        </xdr:grpSpPr>
        <xdr:sp macro="" textlink="">
          <xdr:nvSpPr>
            <xdr:cNvPr id="92806" name="Rectangle 772" descr="Large confetti">
              <a:extLst>
                <a:ext uri="{FF2B5EF4-FFF2-40B4-BE49-F238E27FC236}">
                  <a16:creationId xmlns:a16="http://schemas.microsoft.com/office/drawing/2014/main" id="{77E6296F-8116-F151-214E-32EC3F83325B}"/>
                </a:ext>
              </a:extLst>
            </xdr:cNvPr>
            <xdr:cNvSpPr>
              <a:spLocks noChangeArrowheads="1"/>
            </xdr:cNvSpPr>
          </xdr:nvSpPr>
          <xdr:spPr bwMode="auto">
            <a:xfrm>
              <a:off x="245" y="1268"/>
              <a:ext cx="53" cy="41"/>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807" name="Oval 773">
              <a:extLst>
                <a:ext uri="{FF2B5EF4-FFF2-40B4-BE49-F238E27FC236}">
                  <a16:creationId xmlns:a16="http://schemas.microsoft.com/office/drawing/2014/main" id="{1A62485D-4BC2-F740-B9E4-83B272D41A7F}"/>
                </a:ext>
              </a:extLst>
            </xdr:cNvPr>
            <xdr:cNvSpPr>
              <a:spLocks noChangeArrowheads="1"/>
            </xdr:cNvSpPr>
          </xdr:nvSpPr>
          <xdr:spPr bwMode="auto">
            <a:xfrm>
              <a:off x="287" y="1277"/>
              <a:ext cx="8" cy="7"/>
            </a:xfrm>
            <a:prstGeom prst="ellipse">
              <a:avLst/>
            </a:prstGeom>
            <a:solidFill>
              <a:srgbClr val="00CC99"/>
            </a:solidFill>
            <a:ln w="3175">
              <a:solidFill>
                <a:srgbClr val="000000"/>
              </a:solidFill>
              <a:round/>
              <a:headEnd/>
              <a:tailEnd/>
            </a:ln>
          </xdr:spPr>
        </xdr:sp>
        <xdr:sp macro="" textlink="">
          <xdr:nvSpPr>
            <xdr:cNvPr id="92808" name="Oval 774">
              <a:extLst>
                <a:ext uri="{FF2B5EF4-FFF2-40B4-BE49-F238E27FC236}">
                  <a16:creationId xmlns:a16="http://schemas.microsoft.com/office/drawing/2014/main" id="{EE56E9D5-672A-1C60-D708-F1695A5CD526}"/>
                </a:ext>
              </a:extLst>
            </xdr:cNvPr>
            <xdr:cNvSpPr>
              <a:spLocks noChangeArrowheads="1"/>
            </xdr:cNvSpPr>
          </xdr:nvSpPr>
          <xdr:spPr bwMode="auto">
            <a:xfrm>
              <a:off x="268" y="1288"/>
              <a:ext cx="7" cy="6"/>
            </a:xfrm>
            <a:prstGeom prst="ellipse">
              <a:avLst/>
            </a:prstGeom>
            <a:solidFill>
              <a:srgbClr val="00CC99"/>
            </a:solidFill>
            <a:ln w="3175">
              <a:solidFill>
                <a:srgbClr val="000000"/>
              </a:solidFill>
              <a:round/>
              <a:headEnd/>
              <a:tailEnd/>
            </a:ln>
          </xdr:spPr>
        </xdr:sp>
        <xdr:sp macro="" textlink="">
          <xdr:nvSpPr>
            <xdr:cNvPr id="92809" name="Oval 775">
              <a:extLst>
                <a:ext uri="{FF2B5EF4-FFF2-40B4-BE49-F238E27FC236}">
                  <a16:creationId xmlns:a16="http://schemas.microsoft.com/office/drawing/2014/main" id="{9084B095-0FF6-F778-F4C1-25F4621706B7}"/>
                </a:ext>
              </a:extLst>
            </xdr:cNvPr>
            <xdr:cNvSpPr>
              <a:spLocks noChangeArrowheads="1"/>
            </xdr:cNvSpPr>
          </xdr:nvSpPr>
          <xdr:spPr bwMode="auto">
            <a:xfrm>
              <a:off x="248" y="1299"/>
              <a:ext cx="8" cy="7"/>
            </a:xfrm>
            <a:prstGeom prst="ellipse">
              <a:avLst/>
            </a:prstGeom>
            <a:solidFill>
              <a:srgbClr val="00CC99"/>
            </a:solidFill>
            <a:ln w="3175">
              <a:solidFill>
                <a:srgbClr val="000000"/>
              </a:solidFill>
              <a:round/>
              <a:headEnd/>
              <a:tailEnd/>
            </a:ln>
          </xdr:spPr>
        </xdr:sp>
      </xdr:grpSp>
      <xdr:sp macro="" textlink="">
        <xdr:nvSpPr>
          <xdr:cNvPr id="92805" name="Rectangle 776">
            <a:extLst>
              <a:ext uri="{FF2B5EF4-FFF2-40B4-BE49-F238E27FC236}">
                <a16:creationId xmlns:a16="http://schemas.microsoft.com/office/drawing/2014/main" id="{40FEAD9B-30B4-9109-7651-1119DBA0C871}"/>
              </a:ext>
            </a:extLst>
          </xdr:cNvPr>
          <xdr:cNvSpPr>
            <a:spLocks noChangeArrowheads="1"/>
          </xdr:cNvSpPr>
        </xdr:nvSpPr>
        <xdr:spPr bwMode="auto">
          <a:xfrm>
            <a:off x="245" y="1283"/>
            <a:ext cx="53" cy="60"/>
          </a:xfrm>
          <a:prstGeom prst="rect">
            <a:avLst/>
          </a:prstGeom>
          <a:solidFill>
            <a:srgbClr val="FFFFFF"/>
          </a:solidFill>
          <a:ln w="9525">
            <a:solidFill>
              <a:srgbClr val="000000"/>
            </a:solidFill>
            <a:miter lim="800000"/>
            <a:headEnd/>
            <a:tailEnd/>
          </a:ln>
        </xdr:spPr>
      </xdr:sp>
    </xdr:grpSp>
    <xdr:clientData/>
  </xdr:twoCellAnchor>
  <xdr:twoCellAnchor>
    <xdr:from>
      <xdr:col>12</xdr:col>
      <xdr:colOff>201386</xdr:colOff>
      <xdr:row>182</xdr:row>
      <xdr:rowOff>166007</xdr:rowOff>
    </xdr:from>
    <xdr:to>
      <xdr:col>13</xdr:col>
      <xdr:colOff>19050</xdr:colOff>
      <xdr:row>184</xdr:row>
      <xdr:rowOff>95250</xdr:rowOff>
    </xdr:to>
    <xdr:grpSp>
      <xdr:nvGrpSpPr>
        <xdr:cNvPr id="92282" name="Group 777">
          <a:extLst>
            <a:ext uri="{FF2B5EF4-FFF2-40B4-BE49-F238E27FC236}">
              <a16:creationId xmlns:a16="http://schemas.microsoft.com/office/drawing/2014/main" id="{2AEC10F8-0BB0-F1A0-FB06-D294D65BA383}"/>
            </a:ext>
          </a:extLst>
        </xdr:cNvPr>
        <xdr:cNvGrpSpPr>
          <a:grpSpLocks/>
        </xdr:cNvGrpSpPr>
      </xdr:nvGrpSpPr>
      <xdr:grpSpPr bwMode="auto">
        <a:xfrm>
          <a:off x="7962260" y="34468814"/>
          <a:ext cx="464403" cy="383882"/>
          <a:chOff x="320" y="1241"/>
          <a:chExt cx="64" cy="221"/>
        </a:xfrm>
      </xdr:grpSpPr>
      <xdr:sp macro="" textlink="">
        <xdr:nvSpPr>
          <xdr:cNvPr id="92790" name="Rectangle 778" descr="Large confetti">
            <a:extLst>
              <a:ext uri="{FF2B5EF4-FFF2-40B4-BE49-F238E27FC236}">
                <a16:creationId xmlns:a16="http://schemas.microsoft.com/office/drawing/2014/main" id="{DFF198B4-EE86-0496-EF03-7B584439E501}"/>
              </a:ext>
            </a:extLst>
          </xdr:cNvPr>
          <xdr:cNvSpPr>
            <a:spLocks noChangeArrowheads="1"/>
          </xdr:cNvSpPr>
        </xdr:nvSpPr>
        <xdr:spPr bwMode="auto">
          <a:xfrm>
            <a:off x="320" y="1258"/>
            <a:ext cx="64" cy="187"/>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791" name="Rectangle 779" descr="Large confetti">
            <a:extLst>
              <a:ext uri="{FF2B5EF4-FFF2-40B4-BE49-F238E27FC236}">
                <a16:creationId xmlns:a16="http://schemas.microsoft.com/office/drawing/2014/main" id="{7E56593F-BA48-8255-089F-24D565AD3A85}"/>
              </a:ext>
            </a:extLst>
          </xdr:cNvPr>
          <xdr:cNvSpPr>
            <a:spLocks noChangeArrowheads="1"/>
          </xdr:cNvSpPr>
        </xdr:nvSpPr>
        <xdr:spPr bwMode="auto">
          <a:xfrm>
            <a:off x="329" y="1241"/>
            <a:ext cx="46" cy="17"/>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792" name="Rectangle 780" descr="Large confetti">
            <a:extLst>
              <a:ext uri="{FF2B5EF4-FFF2-40B4-BE49-F238E27FC236}">
                <a16:creationId xmlns:a16="http://schemas.microsoft.com/office/drawing/2014/main" id="{EE5D1652-6464-3B99-55A8-793C96A36C6A}"/>
              </a:ext>
            </a:extLst>
          </xdr:cNvPr>
          <xdr:cNvSpPr>
            <a:spLocks noChangeArrowheads="1"/>
          </xdr:cNvSpPr>
        </xdr:nvSpPr>
        <xdr:spPr bwMode="auto">
          <a:xfrm>
            <a:off x="329" y="1445"/>
            <a:ext cx="46" cy="17"/>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nvGrpSpPr>
          <xdr:cNvPr id="92793" name="Group 781">
            <a:extLst>
              <a:ext uri="{FF2B5EF4-FFF2-40B4-BE49-F238E27FC236}">
                <a16:creationId xmlns:a16="http://schemas.microsoft.com/office/drawing/2014/main" id="{A6B11330-E1FF-41E2-A87C-7F7903A30A7F}"/>
              </a:ext>
            </a:extLst>
          </xdr:cNvPr>
          <xdr:cNvGrpSpPr>
            <a:grpSpLocks/>
          </xdr:cNvGrpSpPr>
        </xdr:nvGrpSpPr>
        <xdr:grpSpPr bwMode="auto">
          <a:xfrm>
            <a:off x="327" y="1298"/>
            <a:ext cx="49" cy="34"/>
            <a:chOff x="449" y="1326"/>
            <a:chExt cx="49" cy="34"/>
          </a:xfrm>
        </xdr:grpSpPr>
        <xdr:sp macro="" textlink="">
          <xdr:nvSpPr>
            <xdr:cNvPr id="92794" name="Rectangle 782">
              <a:extLst>
                <a:ext uri="{FF2B5EF4-FFF2-40B4-BE49-F238E27FC236}">
                  <a16:creationId xmlns:a16="http://schemas.microsoft.com/office/drawing/2014/main" id="{218BE183-8FBB-3875-F0CC-90AE57C73CC9}"/>
                </a:ext>
              </a:extLst>
            </xdr:cNvPr>
            <xdr:cNvSpPr>
              <a:spLocks noChangeArrowheads="1"/>
            </xdr:cNvSpPr>
          </xdr:nvSpPr>
          <xdr:spPr bwMode="auto">
            <a:xfrm>
              <a:off x="449" y="1326"/>
              <a:ext cx="4" cy="34"/>
            </a:xfrm>
            <a:prstGeom prst="rect">
              <a:avLst/>
            </a:prstGeom>
            <a:solidFill>
              <a:srgbClr val="00CC99"/>
            </a:solidFill>
            <a:ln w="3175">
              <a:solidFill>
                <a:srgbClr val="000000"/>
              </a:solidFill>
              <a:miter lim="800000"/>
              <a:headEnd/>
              <a:tailEnd/>
            </a:ln>
          </xdr:spPr>
        </xdr:sp>
        <xdr:sp macro="" textlink="">
          <xdr:nvSpPr>
            <xdr:cNvPr id="92795" name="Rectangle 783">
              <a:extLst>
                <a:ext uri="{FF2B5EF4-FFF2-40B4-BE49-F238E27FC236}">
                  <a16:creationId xmlns:a16="http://schemas.microsoft.com/office/drawing/2014/main" id="{8CF2E7E2-F135-63C8-1C8F-6CF1F1170EE6}"/>
                </a:ext>
              </a:extLst>
            </xdr:cNvPr>
            <xdr:cNvSpPr>
              <a:spLocks noChangeArrowheads="1"/>
            </xdr:cNvSpPr>
          </xdr:nvSpPr>
          <xdr:spPr bwMode="auto">
            <a:xfrm>
              <a:off x="458" y="1326"/>
              <a:ext cx="4" cy="34"/>
            </a:xfrm>
            <a:prstGeom prst="rect">
              <a:avLst/>
            </a:prstGeom>
            <a:solidFill>
              <a:srgbClr val="00CC99"/>
            </a:solidFill>
            <a:ln w="3175">
              <a:solidFill>
                <a:srgbClr val="000000"/>
              </a:solidFill>
              <a:miter lim="800000"/>
              <a:headEnd/>
              <a:tailEnd/>
            </a:ln>
          </xdr:spPr>
        </xdr:sp>
        <xdr:sp macro="" textlink="">
          <xdr:nvSpPr>
            <xdr:cNvPr id="92796" name="Rectangle 784">
              <a:extLst>
                <a:ext uri="{FF2B5EF4-FFF2-40B4-BE49-F238E27FC236}">
                  <a16:creationId xmlns:a16="http://schemas.microsoft.com/office/drawing/2014/main" id="{4202D81D-1D52-88CE-5481-453E3FF51F87}"/>
                </a:ext>
              </a:extLst>
            </xdr:cNvPr>
            <xdr:cNvSpPr>
              <a:spLocks noChangeArrowheads="1"/>
            </xdr:cNvSpPr>
          </xdr:nvSpPr>
          <xdr:spPr bwMode="auto">
            <a:xfrm>
              <a:off x="467" y="1326"/>
              <a:ext cx="4" cy="34"/>
            </a:xfrm>
            <a:prstGeom prst="rect">
              <a:avLst/>
            </a:prstGeom>
            <a:solidFill>
              <a:srgbClr val="00CC99"/>
            </a:solidFill>
            <a:ln w="3175">
              <a:solidFill>
                <a:srgbClr val="000000"/>
              </a:solidFill>
              <a:miter lim="800000"/>
              <a:headEnd/>
              <a:tailEnd/>
            </a:ln>
          </xdr:spPr>
        </xdr:sp>
        <xdr:sp macro="" textlink="">
          <xdr:nvSpPr>
            <xdr:cNvPr id="92797" name="Rectangle 785">
              <a:extLst>
                <a:ext uri="{FF2B5EF4-FFF2-40B4-BE49-F238E27FC236}">
                  <a16:creationId xmlns:a16="http://schemas.microsoft.com/office/drawing/2014/main" id="{398E4CC9-812E-35C0-DC08-D3AFB464E0A5}"/>
                </a:ext>
              </a:extLst>
            </xdr:cNvPr>
            <xdr:cNvSpPr>
              <a:spLocks noChangeArrowheads="1"/>
            </xdr:cNvSpPr>
          </xdr:nvSpPr>
          <xdr:spPr bwMode="auto">
            <a:xfrm>
              <a:off x="476" y="1326"/>
              <a:ext cx="4" cy="34"/>
            </a:xfrm>
            <a:prstGeom prst="rect">
              <a:avLst/>
            </a:prstGeom>
            <a:solidFill>
              <a:srgbClr val="00CC99"/>
            </a:solidFill>
            <a:ln w="3175">
              <a:solidFill>
                <a:srgbClr val="000000"/>
              </a:solidFill>
              <a:miter lim="800000"/>
              <a:headEnd/>
              <a:tailEnd/>
            </a:ln>
          </xdr:spPr>
        </xdr:sp>
        <xdr:sp macro="" textlink="">
          <xdr:nvSpPr>
            <xdr:cNvPr id="92798" name="Rectangle 786">
              <a:extLst>
                <a:ext uri="{FF2B5EF4-FFF2-40B4-BE49-F238E27FC236}">
                  <a16:creationId xmlns:a16="http://schemas.microsoft.com/office/drawing/2014/main" id="{326180F5-6B94-4900-11B0-098AE6C9EAB1}"/>
                </a:ext>
              </a:extLst>
            </xdr:cNvPr>
            <xdr:cNvSpPr>
              <a:spLocks noChangeArrowheads="1"/>
            </xdr:cNvSpPr>
          </xdr:nvSpPr>
          <xdr:spPr bwMode="auto">
            <a:xfrm>
              <a:off x="485" y="1326"/>
              <a:ext cx="4" cy="34"/>
            </a:xfrm>
            <a:prstGeom prst="rect">
              <a:avLst/>
            </a:prstGeom>
            <a:solidFill>
              <a:srgbClr val="00CC99"/>
            </a:solidFill>
            <a:ln w="3175">
              <a:solidFill>
                <a:srgbClr val="000000"/>
              </a:solidFill>
              <a:miter lim="800000"/>
              <a:headEnd/>
              <a:tailEnd/>
            </a:ln>
          </xdr:spPr>
        </xdr:sp>
        <xdr:sp macro="" textlink="">
          <xdr:nvSpPr>
            <xdr:cNvPr id="92799" name="Rectangle 787">
              <a:extLst>
                <a:ext uri="{FF2B5EF4-FFF2-40B4-BE49-F238E27FC236}">
                  <a16:creationId xmlns:a16="http://schemas.microsoft.com/office/drawing/2014/main" id="{E7D6B52A-C557-A515-15F7-DD11A4BA5FEE}"/>
                </a:ext>
              </a:extLst>
            </xdr:cNvPr>
            <xdr:cNvSpPr>
              <a:spLocks noChangeArrowheads="1"/>
            </xdr:cNvSpPr>
          </xdr:nvSpPr>
          <xdr:spPr bwMode="auto">
            <a:xfrm>
              <a:off x="494" y="1326"/>
              <a:ext cx="4" cy="34"/>
            </a:xfrm>
            <a:prstGeom prst="rect">
              <a:avLst/>
            </a:prstGeom>
            <a:solidFill>
              <a:srgbClr val="00CC99"/>
            </a:solidFill>
            <a:ln w="3175">
              <a:solidFill>
                <a:srgbClr val="000000"/>
              </a:solidFill>
              <a:miter lim="800000"/>
              <a:headEnd/>
              <a:tailEnd/>
            </a:ln>
          </xdr:spPr>
        </xdr:sp>
      </xdr:grpSp>
    </xdr:grpSp>
    <xdr:clientData/>
  </xdr:twoCellAnchor>
  <xdr:twoCellAnchor>
    <xdr:from>
      <xdr:col>15</xdr:col>
      <xdr:colOff>476250</xdr:colOff>
      <xdr:row>182</xdr:row>
      <xdr:rowOff>70757</xdr:rowOff>
    </xdr:from>
    <xdr:to>
      <xdr:col>16</xdr:col>
      <xdr:colOff>375557</xdr:colOff>
      <xdr:row>183</xdr:row>
      <xdr:rowOff>166007</xdr:rowOff>
    </xdr:to>
    <xdr:grpSp>
      <xdr:nvGrpSpPr>
        <xdr:cNvPr id="92283" name="Group 788">
          <a:extLst>
            <a:ext uri="{FF2B5EF4-FFF2-40B4-BE49-F238E27FC236}">
              <a16:creationId xmlns:a16="http://schemas.microsoft.com/office/drawing/2014/main" id="{9AA6631C-2A3B-7706-3A19-19C9951B5F2A}"/>
            </a:ext>
          </a:extLst>
        </xdr:cNvPr>
        <xdr:cNvGrpSpPr>
          <a:grpSpLocks/>
        </xdr:cNvGrpSpPr>
      </xdr:nvGrpSpPr>
      <xdr:grpSpPr bwMode="auto">
        <a:xfrm>
          <a:off x="10177343" y="34373564"/>
          <a:ext cx="546046" cy="322569"/>
          <a:chOff x="258" y="1031"/>
          <a:chExt cx="53" cy="30"/>
        </a:xfrm>
      </xdr:grpSpPr>
      <xdr:grpSp>
        <xdr:nvGrpSpPr>
          <xdr:cNvPr id="92772" name="Group 789">
            <a:extLst>
              <a:ext uri="{FF2B5EF4-FFF2-40B4-BE49-F238E27FC236}">
                <a16:creationId xmlns:a16="http://schemas.microsoft.com/office/drawing/2014/main" id="{4092CD42-FD0F-3389-09CB-6F748796B6D1}"/>
              </a:ext>
            </a:extLst>
          </xdr:cNvPr>
          <xdr:cNvGrpSpPr>
            <a:grpSpLocks/>
          </xdr:cNvGrpSpPr>
        </xdr:nvGrpSpPr>
        <xdr:grpSpPr bwMode="auto">
          <a:xfrm>
            <a:off x="258" y="1031"/>
            <a:ext cx="53" cy="30"/>
            <a:chOff x="320" y="1292"/>
            <a:chExt cx="320" cy="169"/>
          </a:xfrm>
        </xdr:grpSpPr>
        <xdr:grpSp>
          <xdr:nvGrpSpPr>
            <xdr:cNvPr id="92777" name="Group 790">
              <a:extLst>
                <a:ext uri="{FF2B5EF4-FFF2-40B4-BE49-F238E27FC236}">
                  <a16:creationId xmlns:a16="http://schemas.microsoft.com/office/drawing/2014/main" id="{2FA617CA-8084-D6F2-D957-0EAE602E2390}"/>
                </a:ext>
              </a:extLst>
            </xdr:cNvPr>
            <xdr:cNvGrpSpPr>
              <a:grpSpLocks/>
            </xdr:cNvGrpSpPr>
          </xdr:nvGrpSpPr>
          <xdr:grpSpPr bwMode="auto">
            <a:xfrm>
              <a:off x="320" y="1292"/>
              <a:ext cx="64" cy="169"/>
              <a:chOff x="320" y="1292"/>
              <a:chExt cx="64" cy="169"/>
            </a:xfrm>
          </xdr:grpSpPr>
          <xdr:sp macro="" textlink="">
            <xdr:nvSpPr>
              <xdr:cNvPr id="92785" name="Line 791">
                <a:extLst>
                  <a:ext uri="{FF2B5EF4-FFF2-40B4-BE49-F238E27FC236}">
                    <a16:creationId xmlns:a16="http://schemas.microsoft.com/office/drawing/2014/main" id="{3EC02296-B699-6859-3416-33E317C9D541}"/>
                  </a:ext>
                </a:extLst>
              </xdr:cNvPr>
              <xdr:cNvSpPr>
                <a:spLocks noChangeShapeType="1"/>
              </xdr:cNvSpPr>
            </xdr:nvSpPr>
            <xdr:spPr bwMode="auto">
              <a:xfrm>
                <a:off x="384" y="1292"/>
                <a:ext cx="0" cy="17"/>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86" name="Line 792">
                <a:extLst>
                  <a:ext uri="{FF2B5EF4-FFF2-40B4-BE49-F238E27FC236}">
                    <a16:creationId xmlns:a16="http://schemas.microsoft.com/office/drawing/2014/main" id="{9430A03A-91B8-62A2-62CB-7040BA11449A}"/>
                  </a:ext>
                </a:extLst>
              </xdr:cNvPr>
              <xdr:cNvSpPr>
                <a:spLocks noChangeShapeType="1"/>
              </xdr:cNvSpPr>
            </xdr:nvSpPr>
            <xdr:spPr bwMode="auto">
              <a:xfrm flipH="1">
                <a:off x="320" y="1309"/>
                <a:ext cx="64"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87" name="Line 793">
                <a:extLst>
                  <a:ext uri="{FF2B5EF4-FFF2-40B4-BE49-F238E27FC236}">
                    <a16:creationId xmlns:a16="http://schemas.microsoft.com/office/drawing/2014/main" id="{FA2F6A1F-EC83-01BA-3DF9-B07510947C30}"/>
                  </a:ext>
                </a:extLst>
              </xdr:cNvPr>
              <xdr:cNvSpPr>
                <a:spLocks noChangeShapeType="1"/>
              </xdr:cNvSpPr>
            </xdr:nvSpPr>
            <xdr:spPr bwMode="auto">
              <a:xfrm>
                <a:off x="320" y="1309"/>
                <a:ext cx="0" cy="34"/>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88" name="Line 794">
                <a:extLst>
                  <a:ext uri="{FF2B5EF4-FFF2-40B4-BE49-F238E27FC236}">
                    <a16:creationId xmlns:a16="http://schemas.microsoft.com/office/drawing/2014/main" id="{BB50EC4C-3219-C29F-8398-C4A452D4CDB1}"/>
                  </a:ext>
                </a:extLst>
              </xdr:cNvPr>
              <xdr:cNvSpPr>
                <a:spLocks noChangeShapeType="1"/>
              </xdr:cNvSpPr>
            </xdr:nvSpPr>
            <xdr:spPr bwMode="auto">
              <a:xfrm>
                <a:off x="320" y="1343"/>
                <a:ext cx="64"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89" name="Line 795">
                <a:extLst>
                  <a:ext uri="{FF2B5EF4-FFF2-40B4-BE49-F238E27FC236}">
                    <a16:creationId xmlns:a16="http://schemas.microsoft.com/office/drawing/2014/main" id="{6CAFBA2A-DD01-C292-7EC6-5C81993D363A}"/>
                  </a:ext>
                </a:extLst>
              </xdr:cNvPr>
              <xdr:cNvSpPr>
                <a:spLocks noChangeShapeType="1"/>
              </xdr:cNvSpPr>
            </xdr:nvSpPr>
            <xdr:spPr bwMode="auto">
              <a:xfrm>
                <a:off x="383" y="1343"/>
                <a:ext cx="0" cy="118"/>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778" name="Line 796">
              <a:extLst>
                <a:ext uri="{FF2B5EF4-FFF2-40B4-BE49-F238E27FC236}">
                  <a16:creationId xmlns:a16="http://schemas.microsoft.com/office/drawing/2014/main" id="{BE76D203-EDB4-0C54-98C8-8DE39D8BD101}"/>
                </a:ext>
              </a:extLst>
            </xdr:cNvPr>
            <xdr:cNvSpPr>
              <a:spLocks noChangeShapeType="1"/>
            </xdr:cNvSpPr>
          </xdr:nvSpPr>
          <xdr:spPr bwMode="auto">
            <a:xfrm>
              <a:off x="576" y="1292"/>
              <a:ext cx="0" cy="17"/>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79" name="Line 797">
              <a:extLst>
                <a:ext uri="{FF2B5EF4-FFF2-40B4-BE49-F238E27FC236}">
                  <a16:creationId xmlns:a16="http://schemas.microsoft.com/office/drawing/2014/main" id="{2D42BFC7-5232-32C2-313B-E8E0754C27B0}"/>
                </a:ext>
              </a:extLst>
            </xdr:cNvPr>
            <xdr:cNvSpPr>
              <a:spLocks noChangeShapeType="1"/>
            </xdr:cNvSpPr>
          </xdr:nvSpPr>
          <xdr:spPr bwMode="auto">
            <a:xfrm>
              <a:off x="576" y="1309"/>
              <a:ext cx="64"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80" name="Line 798">
              <a:extLst>
                <a:ext uri="{FF2B5EF4-FFF2-40B4-BE49-F238E27FC236}">
                  <a16:creationId xmlns:a16="http://schemas.microsoft.com/office/drawing/2014/main" id="{287F85B7-AF88-D859-1704-8FDAB39E2816}"/>
                </a:ext>
              </a:extLst>
            </xdr:cNvPr>
            <xdr:cNvSpPr>
              <a:spLocks noChangeShapeType="1"/>
            </xdr:cNvSpPr>
          </xdr:nvSpPr>
          <xdr:spPr bwMode="auto">
            <a:xfrm>
              <a:off x="640" y="1309"/>
              <a:ext cx="0" cy="34"/>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81" name="Line 799">
              <a:extLst>
                <a:ext uri="{FF2B5EF4-FFF2-40B4-BE49-F238E27FC236}">
                  <a16:creationId xmlns:a16="http://schemas.microsoft.com/office/drawing/2014/main" id="{B54E2DDC-B338-D9D2-D2D2-9F1A442204DB}"/>
                </a:ext>
              </a:extLst>
            </xdr:cNvPr>
            <xdr:cNvSpPr>
              <a:spLocks noChangeShapeType="1"/>
            </xdr:cNvSpPr>
          </xdr:nvSpPr>
          <xdr:spPr bwMode="auto">
            <a:xfrm flipH="1">
              <a:off x="576" y="1343"/>
              <a:ext cx="64"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82" name="Line 800">
              <a:extLst>
                <a:ext uri="{FF2B5EF4-FFF2-40B4-BE49-F238E27FC236}">
                  <a16:creationId xmlns:a16="http://schemas.microsoft.com/office/drawing/2014/main" id="{53DB506D-A9D5-EBD6-7905-E2C72EA83814}"/>
                </a:ext>
              </a:extLst>
            </xdr:cNvPr>
            <xdr:cNvSpPr>
              <a:spLocks noChangeShapeType="1"/>
            </xdr:cNvSpPr>
          </xdr:nvSpPr>
          <xdr:spPr bwMode="auto">
            <a:xfrm flipH="1">
              <a:off x="576" y="1343"/>
              <a:ext cx="0" cy="117"/>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83" name="Line 801">
              <a:extLst>
                <a:ext uri="{FF2B5EF4-FFF2-40B4-BE49-F238E27FC236}">
                  <a16:creationId xmlns:a16="http://schemas.microsoft.com/office/drawing/2014/main" id="{E40D3BCB-CA33-D12E-A155-F8BDD703A668}"/>
                </a:ext>
              </a:extLst>
            </xdr:cNvPr>
            <xdr:cNvSpPr>
              <a:spLocks noChangeShapeType="1"/>
            </xdr:cNvSpPr>
          </xdr:nvSpPr>
          <xdr:spPr bwMode="auto">
            <a:xfrm>
              <a:off x="384" y="1292"/>
              <a:ext cx="192"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84" name="Line 802">
              <a:extLst>
                <a:ext uri="{FF2B5EF4-FFF2-40B4-BE49-F238E27FC236}">
                  <a16:creationId xmlns:a16="http://schemas.microsoft.com/office/drawing/2014/main" id="{8298E174-34B9-2674-AB98-5746D54CCB03}"/>
                </a:ext>
              </a:extLst>
            </xdr:cNvPr>
            <xdr:cNvSpPr>
              <a:spLocks noChangeShapeType="1"/>
            </xdr:cNvSpPr>
          </xdr:nvSpPr>
          <xdr:spPr bwMode="auto">
            <a:xfrm>
              <a:off x="383" y="1460"/>
              <a:ext cx="193"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grpSp>
      <xdr:grpSp>
        <xdr:nvGrpSpPr>
          <xdr:cNvPr id="92773" name="Group 803">
            <a:extLst>
              <a:ext uri="{FF2B5EF4-FFF2-40B4-BE49-F238E27FC236}">
                <a16:creationId xmlns:a16="http://schemas.microsoft.com/office/drawing/2014/main" id="{7FED47BE-E732-B913-BF0E-EE9709D349BA}"/>
              </a:ext>
            </a:extLst>
          </xdr:cNvPr>
          <xdr:cNvGrpSpPr>
            <a:grpSpLocks/>
          </xdr:cNvGrpSpPr>
        </xdr:nvGrpSpPr>
        <xdr:grpSpPr bwMode="auto">
          <a:xfrm>
            <a:off x="268" y="1043"/>
            <a:ext cx="33" cy="17"/>
            <a:chOff x="256" y="918"/>
            <a:chExt cx="127" cy="170"/>
          </a:xfrm>
        </xdr:grpSpPr>
        <xdr:sp macro="" textlink="">
          <xdr:nvSpPr>
            <xdr:cNvPr id="92774" name="Rectangle 804" descr="Large confetti">
              <a:extLst>
                <a:ext uri="{FF2B5EF4-FFF2-40B4-BE49-F238E27FC236}">
                  <a16:creationId xmlns:a16="http://schemas.microsoft.com/office/drawing/2014/main" id="{DEACF8C0-8580-237D-A35D-D2FFA412EFA7}"/>
                </a:ext>
              </a:extLst>
            </xdr:cNvPr>
            <xdr:cNvSpPr>
              <a:spLocks noChangeArrowheads="1"/>
            </xdr:cNvSpPr>
          </xdr:nvSpPr>
          <xdr:spPr bwMode="auto">
            <a:xfrm>
              <a:off x="256" y="918"/>
              <a:ext cx="127" cy="17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775" name="Rectangle 805">
              <a:extLst>
                <a:ext uri="{FF2B5EF4-FFF2-40B4-BE49-F238E27FC236}">
                  <a16:creationId xmlns:a16="http://schemas.microsoft.com/office/drawing/2014/main" id="{77790216-0B90-4769-A695-2B3A2CC1A80E}"/>
                </a:ext>
              </a:extLst>
            </xdr:cNvPr>
            <xdr:cNvSpPr>
              <a:spLocks noChangeArrowheads="1"/>
            </xdr:cNvSpPr>
          </xdr:nvSpPr>
          <xdr:spPr bwMode="auto">
            <a:xfrm>
              <a:off x="256" y="986"/>
              <a:ext cx="34" cy="34"/>
            </a:xfrm>
            <a:prstGeom prst="rect">
              <a:avLst/>
            </a:prstGeom>
            <a:solidFill>
              <a:srgbClr val="00CC99"/>
            </a:solidFill>
            <a:ln w="3175">
              <a:solidFill>
                <a:srgbClr val="000000"/>
              </a:solidFill>
              <a:miter lim="800000"/>
              <a:headEnd/>
              <a:tailEnd/>
            </a:ln>
          </xdr:spPr>
        </xdr:sp>
        <xdr:sp macro="" textlink="">
          <xdr:nvSpPr>
            <xdr:cNvPr id="92776" name="Rectangle 806">
              <a:extLst>
                <a:ext uri="{FF2B5EF4-FFF2-40B4-BE49-F238E27FC236}">
                  <a16:creationId xmlns:a16="http://schemas.microsoft.com/office/drawing/2014/main" id="{F2E74F7A-E40F-7FD3-4566-C47F4E0A4E1C}"/>
                </a:ext>
              </a:extLst>
            </xdr:cNvPr>
            <xdr:cNvSpPr>
              <a:spLocks noChangeArrowheads="1"/>
            </xdr:cNvSpPr>
          </xdr:nvSpPr>
          <xdr:spPr bwMode="auto">
            <a:xfrm>
              <a:off x="349" y="986"/>
              <a:ext cx="34" cy="34"/>
            </a:xfrm>
            <a:prstGeom prst="rect">
              <a:avLst/>
            </a:prstGeom>
            <a:solidFill>
              <a:srgbClr val="00CC99"/>
            </a:solidFill>
            <a:ln w="3175">
              <a:solidFill>
                <a:srgbClr val="000000"/>
              </a:solidFill>
              <a:miter lim="800000"/>
              <a:headEnd/>
              <a:tailEnd/>
            </a:ln>
          </xdr:spPr>
        </xdr:sp>
      </xdr:grpSp>
    </xdr:grpSp>
    <xdr:clientData/>
  </xdr:twoCellAnchor>
  <xdr:twoCellAnchor>
    <xdr:from>
      <xdr:col>12</xdr:col>
      <xdr:colOff>283029</xdr:colOff>
      <xdr:row>187</xdr:row>
      <xdr:rowOff>141514</xdr:rowOff>
    </xdr:from>
    <xdr:to>
      <xdr:col>12</xdr:col>
      <xdr:colOff>606879</xdr:colOff>
      <xdr:row>188</xdr:row>
      <xdr:rowOff>87086</xdr:rowOff>
    </xdr:to>
    <xdr:grpSp>
      <xdr:nvGrpSpPr>
        <xdr:cNvPr id="92284" name="Group 807">
          <a:extLst>
            <a:ext uri="{FF2B5EF4-FFF2-40B4-BE49-F238E27FC236}">
              <a16:creationId xmlns:a16="http://schemas.microsoft.com/office/drawing/2014/main" id="{20CA5114-FF35-E2B9-5CEB-CA044A96F76D}"/>
            </a:ext>
          </a:extLst>
        </xdr:cNvPr>
        <xdr:cNvGrpSpPr>
          <a:grpSpLocks/>
        </xdr:cNvGrpSpPr>
      </xdr:nvGrpSpPr>
      <xdr:grpSpPr bwMode="auto">
        <a:xfrm>
          <a:off x="8043903" y="35580918"/>
          <a:ext cx="323850" cy="172890"/>
          <a:chOff x="256" y="918"/>
          <a:chExt cx="127" cy="170"/>
        </a:xfrm>
      </xdr:grpSpPr>
      <xdr:sp macro="" textlink="">
        <xdr:nvSpPr>
          <xdr:cNvPr id="92769" name="Rectangle 808" descr="Large confetti">
            <a:extLst>
              <a:ext uri="{FF2B5EF4-FFF2-40B4-BE49-F238E27FC236}">
                <a16:creationId xmlns:a16="http://schemas.microsoft.com/office/drawing/2014/main" id="{CF374E08-CAF5-E23A-A420-B28E54115A3F}"/>
              </a:ext>
            </a:extLst>
          </xdr:cNvPr>
          <xdr:cNvSpPr>
            <a:spLocks noChangeArrowheads="1"/>
          </xdr:cNvSpPr>
        </xdr:nvSpPr>
        <xdr:spPr bwMode="auto">
          <a:xfrm>
            <a:off x="256" y="918"/>
            <a:ext cx="127" cy="17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770" name="Rectangle 809">
            <a:extLst>
              <a:ext uri="{FF2B5EF4-FFF2-40B4-BE49-F238E27FC236}">
                <a16:creationId xmlns:a16="http://schemas.microsoft.com/office/drawing/2014/main" id="{73172076-ACD1-618D-29AA-92AB51F32E13}"/>
              </a:ext>
            </a:extLst>
          </xdr:cNvPr>
          <xdr:cNvSpPr>
            <a:spLocks noChangeArrowheads="1"/>
          </xdr:cNvSpPr>
        </xdr:nvSpPr>
        <xdr:spPr bwMode="auto">
          <a:xfrm>
            <a:off x="256" y="986"/>
            <a:ext cx="34" cy="34"/>
          </a:xfrm>
          <a:prstGeom prst="rect">
            <a:avLst/>
          </a:prstGeom>
          <a:solidFill>
            <a:srgbClr val="00CC99"/>
          </a:solidFill>
          <a:ln w="3175">
            <a:solidFill>
              <a:srgbClr val="000000"/>
            </a:solidFill>
            <a:miter lim="800000"/>
            <a:headEnd/>
            <a:tailEnd/>
          </a:ln>
        </xdr:spPr>
      </xdr:sp>
      <xdr:sp macro="" textlink="">
        <xdr:nvSpPr>
          <xdr:cNvPr id="92771" name="Rectangle 810">
            <a:extLst>
              <a:ext uri="{FF2B5EF4-FFF2-40B4-BE49-F238E27FC236}">
                <a16:creationId xmlns:a16="http://schemas.microsoft.com/office/drawing/2014/main" id="{F5A44362-4872-2E95-D75E-4627039BC230}"/>
              </a:ext>
            </a:extLst>
          </xdr:cNvPr>
          <xdr:cNvSpPr>
            <a:spLocks noChangeArrowheads="1"/>
          </xdr:cNvSpPr>
        </xdr:nvSpPr>
        <xdr:spPr bwMode="auto">
          <a:xfrm>
            <a:off x="349" y="986"/>
            <a:ext cx="34" cy="34"/>
          </a:xfrm>
          <a:prstGeom prst="rect">
            <a:avLst/>
          </a:prstGeom>
          <a:solidFill>
            <a:srgbClr val="00CC99"/>
          </a:solidFill>
          <a:ln w="3175">
            <a:solidFill>
              <a:srgbClr val="000000"/>
            </a:solidFill>
            <a:miter lim="800000"/>
            <a:headEnd/>
            <a:tailEnd/>
          </a:ln>
        </xdr:spPr>
      </xdr:sp>
    </xdr:grpSp>
    <xdr:clientData/>
  </xdr:twoCellAnchor>
  <xdr:twoCellAnchor>
    <xdr:from>
      <xdr:col>15</xdr:col>
      <xdr:colOff>272143</xdr:colOff>
      <xdr:row>186</xdr:row>
      <xdr:rowOff>149679</xdr:rowOff>
    </xdr:from>
    <xdr:to>
      <xdr:col>15</xdr:col>
      <xdr:colOff>595993</xdr:colOff>
      <xdr:row>187</xdr:row>
      <xdr:rowOff>114300</xdr:rowOff>
    </xdr:to>
    <xdr:grpSp>
      <xdr:nvGrpSpPr>
        <xdr:cNvPr id="92285" name="Group 811">
          <a:extLst>
            <a:ext uri="{FF2B5EF4-FFF2-40B4-BE49-F238E27FC236}">
              <a16:creationId xmlns:a16="http://schemas.microsoft.com/office/drawing/2014/main" id="{62BCBE52-4C2F-96A7-2D26-0596FE537542}"/>
            </a:ext>
          </a:extLst>
        </xdr:cNvPr>
        <xdr:cNvGrpSpPr>
          <a:grpSpLocks/>
        </xdr:cNvGrpSpPr>
      </xdr:nvGrpSpPr>
      <xdr:grpSpPr bwMode="auto">
        <a:xfrm>
          <a:off x="9973236" y="35361763"/>
          <a:ext cx="323850" cy="191941"/>
          <a:chOff x="68" y="1003"/>
          <a:chExt cx="31" cy="28"/>
        </a:xfrm>
      </xdr:grpSpPr>
      <xdr:sp macro="" textlink="">
        <xdr:nvSpPr>
          <xdr:cNvPr id="92764" name="Rectangle 812">
            <a:extLst>
              <a:ext uri="{FF2B5EF4-FFF2-40B4-BE49-F238E27FC236}">
                <a16:creationId xmlns:a16="http://schemas.microsoft.com/office/drawing/2014/main" id="{BDA99C8F-3B9D-1600-42AE-5F1E7408E274}"/>
              </a:ext>
            </a:extLst>
          </xdr:cNvPr>
          <xdr:cNvSpPr>
            <a:spLocks noChangeArrowheads="1"/>
          </xdr:cNvSpPr>
        </xdr:nvSpPr>
        <xdr:spPr bwMode="auto">
          <a:xfrm>
            <a:off x="68" y="1003"/>
            <a:ext cx="31" cy="28"/>
          </a:xfrm>
          <a:prstGeom prst="rect">
            <a:avLst/>
          </a:prstGeom>
          <a:solidFill>
            <a:srgbClr val="FFFFFF"/>
          </a:solidFill>
          <a:ln w="9525">
            <a:solidFill>
              <a:srgbClr val="000000"/>
            </a:solidFill>
            <a:miter lim="800000"/>
            <a:headEnd/>
            <a:tailEnd/>
          </a:ln>
        </xdr:spPr>
      </xdr:sp>
      <xdr:grpSp>
        <xdr:nvGrpSpPr>
          <xdr:cNvPr id="92765" name="Group 813">
            <a:extLst>
              <a:ext uri="{FF2B5EF4-FFF2-40B4-BE49-F238E27FC236}">
                <a16:creationId xmlns:a16="http://schemas.microsoft.com/office/drawing/2014/main" id="{1AAF340F-D2C4-9D3A-4D8F-239791C32B4E}"/>
              </a:ext>
            </a:extLst>
          </xdr:cNvPr>
          <xdr:cNvGrpSpPr>
            <a:grpSpLocks/>
          </xdr:cNvGrpSpPr>
        </xdr:nvGrpSpPr>
        <xdr:grpSpPr bwMode="auto">
          <a:xfrm>
            <a:off x="72" y="1009"/>
            <a:ext cx="24" cy="18"/>
            <a:chOff x="263" y="783"/>
            <a:chExt cx="24" cy="18"/>
          </a:xfrm>
        </xdr:grpSpPr>
        <xdr:sp macro="" textlink="">
          <xdr:nvSpPr>
            <xdr:cNvPr id="92766" name="Oval 814">
              <a:extLst>
                <a:ext uri="{FF2B5EF4-FFF2-40B4-BE49-F238E27FC236}">
                  <a16:creationId xmlns:a16="http://schemas.microsoft.com/office/drawing/2014/main" id="{AD7E5A81-7C99-2EBA-4FCB-6AC914E9BA82}"/>
                </a:ext>
              </a:extLst>
            </xdr:cNvPr>
            <xdr:cNvSpPr>
              <a:spLocks noChangeArrowheads="1"/>
            </xdr:cNvSpPr>
          </xdr:nvSpPr>
          <xdr:spPr bwMode="auto">
            <a:xfrm>
              <a:off x="263" y="795"/>
              <a:ext cx="7" cy="6"/>
            </a:xfrm>
            <a:prstGeom prst="ellipse">
              <a:avLst/>
            </a:prstGeom>
            <a:solidFill>
              <a:srgbClr val="FFFFFF"/>
            </a:solidFill>
            <a:ln w="9525">
              <a:solidFill>
                <a:srgbClr val="000000"/>
              </a:solidFill>
              <a:round/>
              <a:headEnd/>
              <a:tailEnd/>
            </a:ln>
          </xdr:spPr>
        </xdr:sp>
        <xdr:sp macro="" textlink="">
          <xdr:nvSpPr>
            <xdr:cNvPr id="92767" name="Oval 815">
              <a:extLst>
                <a:ext uri="{FF2B5EF4-FFF2-40B4-BE49-F238E27FC236}">
                  <a16:creationId xmlns:a16="http://schemas.microsoft.com/office/drawing/2014/main" id="{35EA33AF-0374-B205-D83B-070FA5840211}"/>
                </a:ext>
              </a:extLst>
            </xdr:cNvPr>
            <xdr:cNvSpPr>
              <a:spLocks noChangeArrowheads="1"/>
            </xdr:cNvSpPr>
          </xdr:nvSpPr>
          <xdr:spPr bwMode="auto">
            <a:xfrm>
              <a:off x="272" y="788"/>
              <a:ext cx="7" cy="6"/>
            </a:xfrm>
            <a:prstGeom prst="ellipse">
              <a:avLst/>
            </a:prstGeom>
            <a:solidFill>
              <a:srgbClr val="FFFFFF"/>
            </a:solidFill>
            <a:ln w="9525">
              <a:solidFill>
                <a:srgbClr val="000000"/>
              </a:solidFill>
              <a:round/>
              <a:headEnd/>
              <a:tailEnd/>
            </a:ln>
          </xdr:spPr>
        </xdr:sp>
        <xdr:sp macro="" textlink="">
          <xdr:nvSpPr>
            <xdr:cNvPr id="92768" name="Oval 816">
              <a:extLst>
                <a:ext uri="{FF2B5EF4-FFF2-40B4-BE49-F238E27FC236}">
                  <a16:creationId xmlns:a16="http://schemas.microsoft.com/office/drawing/2014/main" id="{05E1BF90-3202-4349-5586-1982D793CC8C}"/>
                </a:ext>
              </a:extLst>
            </xdr:cNvPr>
            <xdr:cNvSpPr>
              <a:spLocks noChangeArrowheads="1"/>
            </xdr:cNvSpPr>
          </xdr:nvSpPr>
          <xdr:spPr bwMode="auto">
            <a:xfrm>
              <a:off x="280" y="783"/>
              <a:ext cx="7" cy="6"/>
            </a:xfrm>
            <a:prstGeom prst="ellipse">
              <a:avLst/>
            </a:prstGeom>
            <a:solidFill>
              <a:srgbClr val="FFFFFF"/>
            </a:solidFill>
            <a:ln w="9525">
              <a:solidFill>
                <a:srgbClr val="000000"/>
              </a:solidFill>
              <a:round/>
              <a:headEnd/>
              <a:tailEnd/>
            </a:ln>
          </xdr:spPr>
        </xdr:sp>
      </xdr:grpSp>
    </xdr:grpSp>
    <xdr:clientData/>
  </xdr:twoCellAnchor>
  <xdr:twoCellAnchor>
    <xdr:from>
      <xdr:col>9</xdr:col>
      <xdr:colOff>201386</xdr:colOff>
      <xdr:row>183</xdr:row>
      <xdr:rowOff>95250</xdr:rowOff>
    </xdr:from>
    <xdr:to>
      <xdr:col>9</xdr:col>
      <xdr:colOff>636814</xdr:colOff>
      <xdr:row>185</xdr:row>
      <xdr:rowOff>78921</xdr:rowOff>
    </xdr:to>
    <xdr:grpSp>
      <xdr:nvGrpSpPr>
        <xdr:cNvPr id="92286" name="Group 817">
          <a:extLst>
            <a:ext uri="{FF2B5EF4-FFF2-40B4-BE49-F238E27FC236}">
              <a16:creationId xmlns:a16="http://schemas.microsoft.com/office/drawing/2014/main" id="{3EF91560-52C9-1E1A-6B1E-F60200E54C9E}"/>
            </a:ext>
          </a:extLst>
        </xdr:cNvPr>
        <xdr:cNvGrpSpPr>
          <a:grpSpLocks/>
        </xdr:cNvGrpSpPr>
      </xdr:nvGrpSpPr>
      <xdr:grpSpPr bwMode="auto">
        <a:xfrm>
          <a:off x="6022041" y="34625376"/>
          <a:ext cx="435428" cy="438310"/>
          <a:chOff x="502" y="1241"/>
          <a:chExt cx="84" cy="204"/>
        </a:xfrm>
      </xdr:grpSpPr>
      <xdr:sp macro="" textlink="">
        <xdr:nvSpPr>
          <xdr:cNvPr id="92761" name="AutoShape 818">
            <a:extLst>
              <a:ext uri="{FF2B5EF4-FFF2-40B4-BE49-F238E27FC236}">
                <a16:creationId xmlns:a16="http://schemas.microsoft.com/office/drawing/2014/main" id="{D2AD27B8-8771-CB0B-90BA-3A2B3617C4F4}"/>
              </a:ext>
            </a:extLst>
          </xdr:cNvPr>
          <xdr:cNvSpPr>
            <a:spLocks noChangeArrowheads="1"/>
          </xdr:cNvSpPr>
        </xdr:nvSpPr>
        <xdr:spPr bwMode="auto">
          <a:xfrm rot="5400000">
            <a:off x="439" y="1339"/>
            <a:ext cx="136" cy="9"/>
          </a:xfrm>
          <a:custGeom>
            <a:avLst/>
            <a:gdLst>
              <a:gd name="T0" fmla="*/ 1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47 w 21600"/>
              <a:gd name="T13" fmla="*/ 4800 h 21600"/>
              <a:gd name="T14" fmla="*/ 17153 w 21600"/>
              <a:gd name="T15" fmla="*/ 168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CC99"/>
          </a:solidFill>
          <a:ln w="3175">
            <a:solidFill>
              <a:srgbClr val="000000"/>
            </a:solidFill>
            <a:miter lim="800000"/>
            <a:headEnd/>
            <a:tailEnd/>
          </a:ln>
        </xdr:spPr>
      </xdr:sp>
      <xdr:sp macro="" textlink="">
        <xdr:nvSpPr>
          <xdr:cNvPr id="92762" name="AutoShape 819">
            <a:extLst>
              <a:ext uri="{FF2B5EF4-FFF2-40B4-BE49-F238E27FC236}">
                <a16:creationId xmlns:a16="http://schemas.microsoft.com/office/drawing/2014/main" id="{B3D2DC77-6B81-5AB2-1D13-8F89E2C3FE02}"/>
              </a:ext>
            </a:extLst>
          </xdr:cNvPr>
          <xdr:cNvSpPr>
            <a:spLocks noChangeArrowheads="1"/>
          </xdr:cNvSpPr>
        </xdr:nvSpPr>
        <xdr:spPr bwMode="auto">
          <a:xfrm rot="-5400000">
            <a:off x="514" y="1339"/>
            <a:ext cx="136" cy="9"/>
          </a:xfrm>
          <a:custGeom>
            <a:avLst/>
            <a:gdLst>
              <a:gd name="T0" fmla="*/ 1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47 w 21600"/>
              <a:gd name="T13" fmla="*/ 4800 h 21600"/>
              <a:gd name="T14" fmla="*/ 17153 w 21600"/>
              <a:gd name="T15" fmla="*/ 168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CC99"/>
          </a:solidFill>
          <a:ln w="3175">
            <a:solidFill>
              <a:srgbClr val="000000"/>
            </a:solidFill>
            <a:miter lim="800000"/>
            <a:headEnd/>
            <a:tailEnd/>
          </a:ln>
        </xdr:spPr>
      </xdr:sp>
      <xdr:sp macro="" textlink="">
        <xdr:nvSpPr>
          <xdr:cNvPr id="92763" name="Rectangle 820" descr="Large confetti">
            <a:extLst>
              <a:ext uri="{FF2B5EF4-FFF2-40B4-BE49-F238E27FC236}">
                <a16:creationId xmlns:a16="http://schemas.microsoft.com/office/drawing/2014/main" id="{AC24AB15-2C4F-8AC9-5FF6-5B7838B18B1A}"/>
              </a:ext>
            </a:extLst>
          </xdr:cNvPr>
          <xdr:cNvSpPr>
            <a:spLocks noChangeArrowheads="1"/>
          </xdr:cNvSpPr>
        </xdr:nvSpPr>
        <xdr:spPr bwMode="auto">
          <a:xfrm>
            <a:off x="512" y="1241"/>
            <a:ext cx="64" cy="204"/>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14</xdr:col>
      <xdr:colOff>476250</xdr:colOff>
      <xdr:row>175</xdr:row>
      <xdr:rowOff>70757</xdr:rowOff>
    </xdr:from>
    <xdr:to>
      <xdr:col>15</xdr:col>
      <xdr:colOff>152400</xdr:colOff>
      <xdr:row>179</xdr:row>
      <xdr:rowOff>59871</xdr:rowOff>
    </xdr:to>
    <xdr:grpSp>
      <xdr:nvGrpSpPr>
        <xdr:cNvPr id="92287" name="Group 821">
          <a:extLst>
            <a:ext uri="{FF2B5EF4-FFF2-40B4-BE49-F238E27FC236}">
              <a16:creationId xmlns:a16="http://schemas.microsoft.com/office/drawing/2014/main" id="{E64B484B-7428-2D6A-6E43-91171AD0F4DB}"/>
            </a:ext>
          </a:extLst>
        </xdr:cNvPr>
        <xdr:cNvGrpSpPr>
          <a:grpSpLocks/>
        </xdr:cNvGrpSpPr>
      </xdr:nvGrpSpPr>
      <xdr:grpSpPr bwMode="auto">
        <a:xfrm rot="1271644">
          <a:off x="9530603" y="32747110"/>
          <a:ext cx="322890" cy="917601"/>
          <a:chOff x="245" y="1227"/>
          <a:chExt cx="53" cy="172"/>
        </a:xfrm>
      </xdr:grpSpPr>
      <xdr:sp macro="" textlink="">
        <xdr:nvSpPr>
          <xdr:cNvPr id="92747" name="Rectangle 822" descr="Large confetti">
            <a:extLst>
              <a:ext uri="{FF2B5EF4-FFF2-40B4-BE49-F238E27FC236}">
                <a16:creationId xmlns:a16="http://schemas.microsoft.com/office/drawing/2014/main" id="{B02C6B7F-D55E-BEA0-71B2-C87BC0404F78}"/>
              </a:ext>
            </a:extLst>
          </xdr:cNvPr>
          <xdr:cNvSpPr>
            <a:spLocks noChangeArrowheads="1"/>
          </xdr:cNvSpPr>
        </xdr:nvSpPr>
        <xdr:spPr bwMode="auto">
          <a:xfrm>
            <a:off x="256" y="1227"/>
            <a:ext cx="33" cy="15"/>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748" name="Rectangle 823" descr="Large confetti">
            <a:extLst>
              <a:ext uri="{FF2B5EF4-FFF2-40B4-BE49-F238E27FC236}">
                <a16:creationId xmlns:a16="http://schemas.microsoft.com/office/drawing/2014/main" id="{550E3C56-ECEC-7880-6711-F4CD1C8AA3DB}"/>
              </a:ext>
            </a:extLst>
          </xdr:cNvPr>
          <xdr:cNvSpPr>
            <a:spLocks noChangeArrowheads="1"/>
          </xdr:cNvSpPr>
        </xdr:nvSpPr>
        <xdr:spPr bwMode="auto">
          <a:xfrm>
            <a:off x="245" y="1385"/>
            <a:ext cx="53" cy="8"/>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749" name="AutoShape 824" descr="Large confetti">
            <a:extLst>
              <a:ext uri="{FF2B5EF4-FFF2-40B4-BE49-F238E27FC236}">
                <a16:creationId xmlns:a16="http://schemas.microsoft.com/office/drawing/2014/main" id="{5A6ED3A2-6F32-9F3F-1E73-61FA418107DD}"/>
              </a:ext>
            </a:extLst>
          </xdr:cNvPr>
          <xdr:cNvSpPr>
            <a:spLocks noChangeArrowheads="1"/>
          </xdr:cNvSpPr>
        </xdr:nvSpPr>
        <xdr:spPr bwMode="auto">
          <a:xfrm>
            <a:off x="245" y="1394"/>
            <a:ext cx="53" cy="5"/>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483 w 21600"/>
              <a:gd name="T13" fmla="*/ 4320 h 21600"/>
              <a:gd name="T14" fmla="*/ 17117 w 21600"/>
              <a:gd name="T15" fmla="*/ 1728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nvGrpSpPr>
          <xdr:cNvPr id="92750" name="Group 825">
            <a:extLst>
              <a:ext uri="{FF2B5EF4-FFF2-40B4-BE49-F238E27FC236}">
                <a16:creationId xmlns:a16="http://schemas.microsoft.com/office/drawing/2014/main" id="{1510079A-8E7C-7EEF-91B6-247554ACC71A}"/>
              </a:ext>
            </a:extLst>
          </xdr:cNvPr>
          <xdr:cNvGrpSpPr>
            <a:grpSpLocks/>
          </xdr:cNvGrpSpPr>
        </xdr:nvGrpSpPr>
        <xdr:grpSpPr bwMode="auto">
          <a:xfrm>
            <a:off x="245" y="1242"/>
            <a:ext cx="53" cy="41"/>
            <a:chOff x="245" y="1268"/>
            <a:chExt cx="53" cy="41"/>
          </a:xfrm>
        </xdr:grpSpPr>
        <xdr:sp macro="" textlink="">
          <xdr:nvSpPr>
            <xdr:cNvPr id="92757" name="Rectangle 826" descr="Large confetti">
              <a:extLst>
                <a:ext uri="{FF2B5EF4-FFF2-40B4-BE49-F238E27FC236}">
                  <a16:creationId xmlns:a16="http://schemas.microsoft.com/office/drawing/2014/main" id="{AA83C42B-7854-61BB-9DC7-532D51BE265C}"/>
                </a:ext>
              </a:extLst>
            </xdr:cNvPr>
            <xdr:cNvSpPr>
              <a:spLocks noChangeArrowheads="1"/>
            </xdr:cNvSpPr>
          </xdr:nvSpPr>
          <xdr:spPr bwMode="auto">
            <a:xfrm>
              <a:off x="245" y="1268"/>
              <a:ext cx="53" cy="41"/>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758" name="Oval 827">
              <a:extLst>
                <a:ext uri="{FF2B5EF4-FFF2-40B4-BE49-F238E27FC236}">
                  <a16:creationId xmlns:a16="http://schemas.microsoft.com/office/drawing/2014/main" id="{E21F491C-34BD-11C6-389A-B82CD3B5A36D}"/>
                </a:ext>
              </a:extLst>
            </xdr:cNvPr>
            <xdr:cNvSpPr>
              <a:spLocks noChangeArrowheads="1"/>
            </xdr:cNvSpPr>
          </xdr:nvSpPr>
          <xdr:spPr bwMode="auto">
            <a:xfrm>
              <a:off x="287" y="1277"/>
              <a:ext cx="8" cy="7"/>
            </a:xfrm>
            <a:prstGeom prst="ellipse">
              <a:avLst/>
            </a:prstGeom>
            <a:solidFill>
              <a:srgbClr val="00CC99"/>
            </a:solidFill>
            <a:ln w="3175">
              <a:solidFill>
                <a:srgbClr val="000000"/>
              </a:solidFill>
              <a:round/>
              <a:headEnd/>
              <a:tailEnd/>
            </a:ln>
          </xdr:spPr>
        </xdr:sp>
        <xdr:sp macro="" textlink="">
          <xdr:nvSpPr>
            <xdr:cNvPr id="92759" name="Oval 828">
              <a:extLst>
                <a:ext uri="{FF2B5EF4-FFF2-40B4-BE49-F238E27FC236}">
                  <a16:creationId xmlns:a16="http://schemas.microsoft.com/office/drawing/2014/main" id="{B49497E7-E348-F2DA-28C2-4EEB2FA68862}"/>
                </a:ext>
              </a:extLst>
            </xdr:cNvPr>
            <xdr:cNvSpPr>
              <a:spLocks noChangeArrowheads="1"/>
            </xdr:cNvSpPr>
          </xdr:nvSpPr>
          <xdr:spPr bwMode="auto">
            <a:xfrm>
              <a:off x="268" y="1288"/>
              <a:ext cx="7" cy="6"/>
            </a:xfrm>
            <a:prstGeom prst="ellipse">
              <a:avLst/>
            </a:prstGeom>
            <a:solidFill>
              <a:srgbClr val="00CC99"/>
            </a:solidFill>
            <a:ln w="3175">
              <a:solidFill>
                <a:srgbClr val="000000"/>
              </a:solidFill>
              <a:round/>
              <a:headEnd/>
              <a:tailEnd/>
            </a:ln>
          </xdr:spPr>
        </xdr:sp>
        <xdr:sp macro="" textlink="">
          <xdr:nvSpPr>
            <xdr:cNvPr id="92760" name="Oval 829">
              <a:extLst>
                <a:ext uri="{FF2B5EF4-FFF2-40B4-BE49-F238E27FC236}">
                  <a16:creationId xmlns:a16="http://schemas.microsoft.com/office/drawing/2014/main" id="{BF734974-A8DC-232E-B465-8A7345D5987D}"/>
                </a:ext>
              </a:extLst>
            </xdr:cNvPr>
            <xdr:cNvSpPr>
              <a:spLocks noChangeArrowheads="1"/>
            </xdr:cNvSpPr>
          </xdr:nvSpPr>
          <xdr:spPr bwMode="auto">
            <a:xfrm>
              <a:off x="248" y="1299"/>
              <a:ext cx="8" cy="7"/>
            </a:xfrm>
            <a:prstGeom prst="ellipse">
              <a:avLst/>
            </a:prstGeom>
            <a:solidFill>
              <a:srgbClr val="00CC99"/>
            </a:solidFill>
            <a:ln w="3175">
              <a:solidFill>
                <a:srgbClr val="000000"/>
              </a:solidFill>
              <a:round/>
              <a:headEnd/>
              <a:tailEnd/>
            </a:ln>
          </xdr:spPr>
        </xdr:sp>
      </xdr:grpSp>
      <xdr:grpSp>
        <xdr:nvGrpSpPr>
          <xdr:cNvPr id="92751" name="Group 830">
            <a:extLst>
              <a:ext uri="{FF2B5EF4-FFF2-40B4-BE49-F238E27FC236}">
                <a16:creationId xmlns:a16="http://schemas.microsoft.com/office/drawing/2014/main" id="{3E379113-FE0B-122E-B395-ED888742A731}"/>
              </a:ext>
            </a:extLst>
          </xdr:cNvPr>
          <xdr:cNvGrpSpPr>
            <a:grpSpLocks/>
          </xdr:cNvGrpSpPr>
        </xdr:nvGrpSpPr>
        <xdr:grpSpPr bwMode="auto">
          <a:xfrm>
            <a:off x="245" y="1343"/>
            <a:ext cx="53" cy="41"/>
            <a:chOff x="245" y="1268"/>
            <a:chExt cx="53" cy="41"/>
          </a:xfrm>
        </xdr:grpSpPr>
        <xdr:sp macro="" textlink="">
          <xdr:nvSpPr>
            <xdr:cNvPr id="92753" name="Rectangle 831" descr="Large confetti">
              <a:extLst>
                <a:ext uri="{FF2B5EF4-FFF2-40B4-BE49-F238E27FC236}">
                  <a16:creationId xmlns:a16="http://schemas.microsoft.com/office/drawing/2014/main" id="{FE2CE6BF-9261-6485-60EE-D79BD19CF76D}"/>
                </a:ext>
              </a:extLst>
            </xdr:cNvPr>
            <xdr:cNvSpPr>
              <a:spLocks noChangeArrowheads="1"/>
            </xdr:cNvSpPr>
          </xdr:nvSpPr>
          <xdr:spPr bwMode="auto">
            <a:xfrm>
              <a:off x="245" y="1268"/>
              <a:ext cx="53" cy="41"/>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2754" name="Oval 832">
              <a:extLst>
                <a:ext uri="{FF2B5EF4-FFF2-40B4-BE49-F238E27FC236}">
                  <a16:creationId xmlns:a16="http://schemas.microsoft.com/office/drawing/2014/main" id="{DFEEE421-6DC8-41F0-C717-A24D11E174B8}"/>
                </a:ext>
              </a:extLst>
            </xdr:cNvPr>
            <xdr:cNvSpPr>
              <a:spLocks noChangeArrowheads="1"/>
            </xdr:cNvSpPr>
          </xdr:nvSpPr>
          <xdr:spPr bwMode="auto">
            <a:xfrm>
              <a:off x="287" y="1277"/>
              <a:ext cx="8" cy="7"/>
            </a:xfrm>
            <a:prstGeom prst="ellipse">
              <a:avLst/>
            </a:prstGeom>
            <a:solidFill>
              <a:srgbClr val="00CC99"/>
            </a:solidFill>
            <a:ln w="3175">
              <a:solidFill>
                <a:srgbClr val="000000"/>
              </a:solidFill>
              <a:round/>
              <a:headEnd/>
              <a:tailEnd/>
            </a:ln>
          </xdr:spPr>
        </xdr:sp>
        <xdr:sp macro="" textlink="">
          <xdr:nvSpPr>
            <xdr:cNvPr id="92755" name="Oval 833">
              <a:extLst>
                <a:ext uri="{FF2B5EF4-FFF2-40B4-BE49-F238E27FC236}">
                  <a16:creationId xmlns:a16="http://schemas.microsoft.com/office/drawing/2014/main" id="{9E3817B6-87A6-218D-B9C7-71915FA8C8AC}"/>
                </a:ext>
              </a:extLst>
            </xdr:cNvPr>
            <xdr:cNvSpPr>
              <a:spLocks noChangeArrowheads="1"/>
            </xdr:cNvSpPr>
          </xdr:nvSpPr>
          <xdr:spPr bwMode="auto">
            <a:xfrm>
              <a:off x="268" y="1288"/>
              <a:ext cx="7" cy="6"/>
            </a:xfrm>
            <a:prstGeom prst="ellipse">
              <a:avLst/>
            </a:prstGeom>
            <a:solidFill>
              <a:srgbClr val="00CC99"/>
            </a:solidFill>
            <a:ln w="3175">
              <a:solidFill>
                <a:srgbClr val="000000"/>
              </a:solidFill>
              <a:round/>
              <a:headEnd/>
              <a:tailEnd/>
            </a:ln>
          </xdr:spPr>
        </xdr:sp>
        <xdr:sp macro="" textlink="">
          <xdr:nvSpPr>
            <xdr:cNvPr id="92756" name="Oval 834">
              <a:extLst>
                <a:ext uri="{FF2B5EF4-FFF2-40B4-BE49-F238E27FC236}">
                  <a16:creationId xmlns:a16="http://schemas.microsoft.com/office/drawing/2014/main" id="{F570CE15-9AA1-1728-3E9A-D5A0DAA15808}"/>
                </a:ext>
              </a:extLst>
            </xdr:cNvPr>
            <xdr:cNvSpPr>
              <a:spLocks noChangeArrowheads="1"/>
            </xdr:cNvSpPr>
          </xdr:nvSpPr>
          <xdr:spPr bwMode="auto">
            <a:xfrm>
              <a:off x="248" y="1299"/>
              <a:ext cx="8" cy="7"/>
            </a:xfrm>
            <a:prstGeom prst="ellipse">
              <a:avLst/>
            </a:prstGeom>
            <a:solidFill>
              <a:srgbClr val="00CC99"/>
            </a:solidFill>
            <a:ln w="3175">
              <a:solidFill>
                <a:srgbClr val="000000"/>
              </a:solidFill>
              <a:round/>
              <a:headEnd/>
              <a:tailEnd/>
            </a:ln>
          </xdr:spPr>
        </xdr:sp>
      </xdr:grpSp>
      <xdr:sp macro="" textlink="">
        <xdr:nvSpPr>
          <xdr:cNvPr id="92752" name="Rectangle 835">
            <a:extLst>
              <a:ext uri="{FF2B5EF4-FFF2-40B4-BE49-F238E27FC236}">
                <a16:creationId xmlns:a16="http://schemas.microsoft.com/office/drawing/2014/main" id="{3DEB1E7D-AE46-5979-03BA-B29B6F2C96C8}"/>
              </a:ext>
            </a:extLst>
          </xdr:cNvPr>
          <xdr:cNvSpPr>
            <a:spLocks noChangeArrowheads="1"/>
          </xdr:cNvSpPr>
        </xdr:nvSpPr>
        <xdr:spPr bwMode="auto">
          <a:xfrm>
            <a:off x="245" y="1283"/>
            <a:ext cx="53" cy="60"/>
          </a:xfrm>
          <a:prstGeom prst="rect">
            <a:avLst/>
          </a:prstGeom>
          <a:solidFill>
            <a:srgbClr val="FFFFFF"/>
          </a:solidFill>
          <a:ln w="9525">
            <a:solidFill>
              <a:srgbClr val="000000"/>
            </a:solidFill>
            <a:miter lim="800000"/>
            <a:headEnd/>
            <a:tailEnd/>
          </a:ln>
        </xdr:spPr>
      </xdr:sp>
    </xdr:grpSp>
    <xdr:clientData/>
  </xdr:twoCellAnchor>
  <xdr:twoCellAnchor>
    <xdr:from>
      <xdr:col>2</xdr:col>
      <xdr:colOff>547007</xdr:colOff>
      <xdr:row>188</xdr:row>
      <xdr:rowOff>70757</xdr:rowOff>
    </xdr:from>
    <xdr:to>
      <xdr:col>4</xdr:col>
      <xdr:colOff>242207</xdr:colOff>
      <xdr:row>189</xdr:row>
      <xdr:rowOff>149679</xdr:rowOff>
    </xdr:to>
    <xdr:grpSp>
      <xdr:nvGrpSpPr>
        <xdr:cNvPr id="92288" name="Group 845">
          <a:extLst>
            <a:ext uri="{FF2B5EF4-FFF2-40B4-BE49-F238E27FC236}">
              <a16:creationId xmlns:a16="http://schemas.microsoft.com/office/drawing/2014/main" id="{9ADA2B49-66F8-FA6E-9501-3C8C7E7D8E09}"/>
            </a:ext>
          </a:extLst>
        </xdr:cNvPr>
        <xdr:cNvGrpSpPr>
          <a:grpSpLocks/>
        </xdr:cNvGrpSpPr>
      </xdr:nvGrpSpPr>
      <xdr:grpSpPr bwMode="auto">
        <a:xfrm>
          <a:off x="1840486" y="35737479"/>
          <a:ext cx="988679" cy="306242"/>
          <a:chOff x="177" y="1357"/>
          <a:chExt cx="204" cy="30"/>
        </a:xfrm>
      </xdr:grpSpPr>
      <xdr:sp macro="" textlink="">
        <xdr:nvSpPr>
          <xdr:cNvPr id="92739" name="Rectangle 846" descr="Small checker board">
            <a:extLst>
              <a:ext uri="{FF2B5EF4-FFF2-40B4-BE49-F238E27FC236}">
                <a16:creationId xmlns:a16="http://schemas.microsoft.com/office/drawing/2014/main" id="{4E313DD8-6E4D-13B0-68AA-885846C04CD8}"/>
              </a:ext>
            </a:extLst>
          </xdr:cNvPr>
          <xdr:cNvSpPr>
            <a:spLocks noChangeArrowheads="1"/>
          </xdr:cNvSpPr>
        </xdr:nvSpPr>
        <xdr:spPr bwMode="auto">
          <a:xfrm>
            <a:off x="333" y="1365"/>
            <a:ext cx="21" cy="4"/>
          </a:xfrm>
          <a:prstGeom prst="rect">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740" name="Rectangle 847" descr="Small checker board">
            <a:extLst>
              <a:ext uri="{FF2B5EF4-FFF2-40B4-BE49-F238E27FC236}">
                <a16:creationId xmlns:a16="http://schemas.microsoft.com/office/drawing/2014/main" id="{05542990-2C3F-D281-EF76-A3CCD9732435}"/>
              </a:ext>
            </a:extLst>
          </xdr:cNvPr>
          <xdr:cNvSpPr>
            <a:spLocks noChangeArrowheads="1"/>
          </xdr:cNvSpPr>
        </xdr:nvSpPr>
        <xdr:spPr bwMode="auto">
          <a:xfrm>
            <a:off x="333" y="1379"/>
            <a:ext cx="21" cy="4"/>
          </a:xfrm>
          <a:prstGeom prst="rect">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741" name="AutoShape 848" descr="Small checker board">
            <a:extLst>
              <a:ext uri="{FF2B5EF4-FFF2-40B4-BE49-F238E27FC236}">
                <a16:creationId xmlns:a16="http://schemas.microsoft.com/office/drawing/2014/main" id="{918C7449-F944-5C80-BEFE-4EB70D083489}"/>
              </a:ext>
            </a:extLst>
          </xdr:cNvPr>
          <xdr:cNvSpPr>
            <a:spLocks noChangeArrowheads="1"/>
          </xdr:cNvSpPr>
        </xdr:nvSpPr>
        <xdr:spPr bwMode="auto">
          <a:xfrm rot="5364902">
            <a:off x="349" y="1340"/>
            <a:ext cx="13" cy="50"/>
          </a:xfrm>
          <a:prstGeom prst="triangle">
            <a:avLst>
              <a:gd name="adj" fmla="val 50000"/>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742" name="AutoShape 849" descr="Small checker board">
            <a:extLst>
              <a:ext uri="{FF2B5EF4-FFF2-40B4-BE49-F238E27FC236}">
                <a16:creationId xmlns:a16="http://schemas.microsoft.com/office/drawing/2014/main" id="{3C0C5465-634B-EC3C-3AE1-0C18EAD2CBFD}"/>
              </a:ext>
            </a:extLst>
          </xdr:cNvPr>
          <xdr:cNvSpPr>
            <a:spLocks noChangeArrowheads="1"/>
          </xdr:cNvSpPr>
        </xdr:nvSpPr>
        <xdr:spPr bwMode="auto">
          <a:xfrm rot="5364902">
            <a:off x="349" y="1356"/>
            <a:ext cx="13" cy="50"/>
          </a:xfrm>
          <a:prstGeom prst="triangle">
            <a:avLst>
              <a:gd name="adj" fmla="val 50000"/>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743" name="Rectangle 850" descr="Small checker board">
            <a:extLst>
              <a:ext uri="{FF2B5EF4-FFF2-40B4-BE49-F238E27FC236}">
                <a16:creationId xmlns:a16="http://schemas.microsoft.com/office/drawing/2014/main" id="{3C1024C2-F229-F531-3C25-3B7CAA95FE04}"/>
              </a:ext>
            </a:extLst>
          </xdr:cNvPr>
          <xdr:cNvSpPr>
            <a:spLocks noChangeArrowheads="1"/>
          </xdr:cNvSpPr>
        </xdr:nvSpPr>
        <xdr:spPr bwMode="auto">
          <a:xfrm flipH="1">
            <a:off x="204" y="1364"/>
            <a:ext cx="21" cy="3"/>
          </a:xfrm>
          <a:prstGeom prst="rect">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744" name="Rectangle 851" descr="Small checker board">
            <a:extLst>
              <a:ext uri="{FF2B5EF4-FFF2-40B4-BE49-F238E27FC236}">
                <a16:creationId xmlns:a16="http://schemas.microsoft.com/office/drawing/2014/main" id="{D9B42396-92F9-F15C-D45F-53C38EF4B422}"/>
              </a:ext>
            </a:extLst>
          </xdr:cNvPr>
          <xdr:cNvSpPr>
            <a:spLocks noChangeArrowheads="1"/>
          </xdr:cNvSpPr>
        </xdr:nvSpPr>
        <xdr:spPr bwMode="auto">
          <a:xfrm flipH="1">
            <a:off x="204" y="1378"/>
            <a:ext cx="21" cy="3"/>
          </a:xfrm>
          <a:prstGeom prst="rect">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745" name="AutoShape 852" descr="Small checker board">
            <a:extLst>
              <a:ext uri="{FF2B5EF4-FFF2-40B4-BE49-F238E27FC236}">
                <a16:creationId xmlns:a16="http://schemas.microsoft.com/office/drawing/2014/main" id="{02D6D67F-2160-CC3D-B93E-A96328159367}"/>
              </a:ext>
            </a:extLst>
          </xdr:cNvPr>
          <xdr:cNvSpPr>
            <a:spLocks noChangeArrowheads="1"/>
          </xdr:cNvSpPr>
        </xdr:nvSpPr>
        <xdr:spPr bwMode="auto">
          <a:xfrm rot="16235098" flipH="1">
            <a:off x="195" y="1339"/>
            <a:ext cx="13" cy="50"/>
          </a:xfrm>
          <a:prstGeom prst="triangle">
            <a:avLst>
              <a:gd name="adj" fmla="val 50000"/>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sp macro="" textlink="">
        <xdr:nvSpPr>
          <xdr:cNvPr id="92746" name="AutoShape 853" descr="Small checker board">
            <a:extLst>
              <a:ext uri="{FF2B5EF4-FFF2-40B4-BE49-F238E27FC236}">
                <a16:creationId xmlns:a16="http://schemas.microsoft.com/office/drawing/2014/main" id="{BE1B9C93-458B-D099-CEE5-B8DFE2102F2B}"/>
              </a:ext>
            </a:extLst>
          </xdr:cNvPr>
          <xdr:cNvSpPr>
            <a:spLocks noChangeArrowheads="1"/>
          </xdr:cNvSpPr>
        </xdr:nvSpPr>
        <xdr:spPr bwMode="auto">
          <a:xfrm rot="16235098" flipH="1">
            <a:off x="195" y="1353"/>
            <a:ext cx="14" cy="50"/>
          </a:xfrm>
          <a:prstGeom prst="triangle">
            <a:avLst>
              <a:gd name="adj" fmla="val 50000"/>
            </a:avLst>
          </a:prstGeom>
          <a:blipFill dpi="0" rotWithShape="0">
            <a:blip xmlns:r="http://schemas.openxmlformats.org/officeDocument/2006/relationships" r:embed="rId139"/>
            <a:srcRect/>
            <a:tile tx="0" ty="0" sx="100000" sy="100000" flip="none" algn="tl"/>
          </a:blipFill>
          <a:ln w="9525">
            <a:solidFill>
              <a:srgbClr val="000000"/>
            </a:solidFill>
            <a:miter lim="800000"/>
            <a:headEnd/>
            <a:tailEnd/>
          </a:ln>
        </xdr:spPr>
      </xdr:sp>
    </xdr:grpSp>
    <xdr:clientData/>
  </xdr:twoCellAnchor>
  <xdr:twoCellAnchor>
    <xdr:from>
      <xdr:col>12</xdr:col>
      <xdr:colOff>617764</xdr:colOff>
      <xdr:row>206</xdr:row>
      <xdr:rowOff>19050</xdr:rowOff>
    </xdr:from>
    <xdr:to>
      <xdr:col>15</xdr:col>
      <xdr:colOff>636814</xdr:colOff>
      <xdr:row>218</xdr:row>
      <xdr:rowOff>92529</xdr:rowOff>
    </xdr:to>
    <xdr:grpSp>
      <xdr:nvGrpSpPr>
        <xdr:cNvPr id="92289" name="Group 854">
          <a:extLst>
            <a:ext uri="{FF2B5EF4-FFF2-40B4-BE49-F238E27FC236}">
              <a16:creationId xmlns:a16="http://schemas.microsoft.com/office/drawing/2014/main" id="{AB1CD331-5202-3299-10D4-D51240D36DC7}"/>
            </a:ext>
          </a:extLst>
        </xdr:cNvPr>
        <xdr:cNvGrpSpPr>
          <a:grpSpLocks/>
        </xdr:cNvGrpSpPr>
      </xdr:nvGrpSpPr>
      <xdr:grpSpPr bwMode="auto">
        <a:xfrm>
          <a:off x="8378638" y="39009117"/>
          <a:ext cx="1959269" cy="2186588"/>
          <a:chOff x="690" y="335"/>
          <a:chExt cx="194" cy="208"/>
        </a:xfrm>
      </xdr:grpSpPr>
      <xdr:grpSp>
        <xdr:nvGrpSpPr>
          <xdr:cNvPr id="92631" name="Group 855">
            <a:extLst>
              <a:ext uri="{FF2B5EF4-FFF2-40B4-BE49-F238E27FC236}">
                <a16:creationId xmlns:a16="http://schemas.microsoft.com/office/drawing/2014/main" id="{0820D6E9-C5CF-2BE0-C260-0710CD72BB5D}"/>
              </a:ext>
            </a:extLst>
          </xdr:cNvPr>
          <xdr:cNvGrpSpPr>
            <a:grpSpLocks/>
          </xdr:cNvGrpSpPr>
        </xdr:nvGrpSpPr>
        <xdr:grpSpPr bwMode="auto">
          <a:xfrm>
            <a:off x="730" y="522"/>
            <a:ext cx="113" cy="21"/>
            <a:chOff x="272" y="436"/>
            <a:chExt cx="113" cy="21"/>
          </a:xfrm>
        </xdr:grpSpPr>
        <xdr:sp macro="" textlink="">
          <xdr:nvSpPr>
            <xdr:cNvPr id="92732" name="Rectangle 856">
              <a:extLst>
                <a:ext uri="{FF2B5EF4-FFF2-40B4-BE49-F238E27FC236}">
                  <a16:creationId xmlns:a16="http://schemas.microsoft.com/office/drawing/2014/main" id="{C7870C72-B3E6-8AE0-7C1A-00BAC4D3F24D}"/>
                </a:ext>
              </a:extLst>
            </xdr:cNvPr>
            <xdr:cNvSpPr>
              <a:spLocks noChangeArrowheads="1"/>
            </xdr:cNvSpPr>
          </xdr:nvSpPr>
          <xdr:spPr bwMode="auto">
            <a:xfrm>
              <a:off x="272" y="442"/>
              <a:ext cx="113" cy="15"/>
            </a:xfrm>
            <a:prstGeom prst="rect">
              <a:avLst/>
            </a:prstGeom>
            <a:solidFill>
              <a:srgbClr val="FFFFFF"/>
            </a:solidFill>
            <a:ln w="9525">
              <a:solidFill>
                <a:srgbClr val="000000"/>
              </a:solidFill>
              <a:miter lim="800000"/>
              <a:headEnd/>
              <a:tailEnd/>
            </a:ln>
          </xdr:spPr>
        </xdr:sp>
        <xdr:sp macro="" textlink="">
          <xdr:nvSpPr>
            <xdr:cNvPr id="92733" name="Rectangle 857">
              <a:extLst>
                <a:ext uri="{FF2B5EF4-FFF2-40B4-BE49-F238E27FC236}">
                  <a16:creationId xmlns:a16="http://schemas.microsoft.com/office/drawing/2014/main" id="{DE93AB41-0F9A-CA53-75E7-8CE937A820FA}"/>
                </a:ext>
              </a:extLst>
            </xdr:cNvPr>
            <xdr:cNvSpPr>
              <a:spLocks noChangeArrowheads="1"/>
            </xdr:cNvSpPr>
          </xdr:nvSpPr>
          <xdr:spPr bwMode="auto">
            <a:xfrm>
              <a:off x="371" y="436"/>
              <a:ext cx="6" cy="6"/>
            </a:xfrm>
            <a:prstGeom prst="rect">
              <a:avLst/>
            </a:prstGeom>
            <a:solidFill>
              <a:srgbClr val="FFFFFF"/>
            </a:solidFill>
            <a:ln w="9525">
              <a:solidFill>
                <a:srgbClr val="000000"/>
              </a:solidFill>
              <a:miter lim="800000"/>
              <a:headEnd/>
              <a:tailEnd/>
            </a:ln>
          </xdr:spPr>
        </xdr:sp>
        <xdr:sp macro="" textlink="">
          <xdr:nvSpPr>
            <xdr:cNvPr id="92734" name="Rectangle 858">
              <a:extLst>
                <a:ext uri="{FF2B5EF4-FFF2-40B4-BE49-F238E27FC236}">
                  <a16:creationId xmlns:a16="http://schemas.microsoft.com/office/drawing/2014/main" id="{0E949392-8428-C9B1-5C0B-EDB28535A7B5}"/>
                </a:ext>
              </a:extLst>
            </xdr:cNvPr>
            <xdr:cNvSpPr>
              <a:spLocks noChangeArrowheads="1"/>
            </xdr:cNvSpPr>
          </xdr:nvSpPr>
          <xdr:spPr bwMode="auto">
            <a:xfrm>
              <a:off x="279" y="436"/>
              <a:ext cx="6" cy="6"/>
            </a:xfrm>
            <a:prstGeom prst="rect">
              <a:avLst/>
            </a:prstGeom>
            <a:solidFill>
              <a:srgbClr val="FFFFFF"/>
            </a:solidFill>
            <a:ln w="9525">
              <a:solidFill>
                <a:srgbClr val="000000"/>
              </a:solidFill>
              <a:miter lim="800000"/>
              <a:headEnd/>
              <a:tailEnd/>
            </a:ln>
          </xdr:spPr>
        </xdr:sp>
        <xdr:sp macro="" textlink="">
          <xdr:nvSpPr>
            <xdr:cNvPr id="92735" name="Rectangle 859">
              <a:extLst>
                <a:ext uri="{FF2B5EF4-FFF2-40B4-BE49-F238E27FC236}">
                  <a16:creationId xmlns:a16="http://schemas.microsoft.com/office/drawing/2014/main" id="{04D0B1FA-62EF-EB5B-9DC2-02178817811C}"/>
                </a:ext>
              </a:extLst>
            </xdr:cNvPr>
            <xdr:cNvSpPr>
              <a:spLocks noChangeArrowheads="1"/>
            </xdr:cNvSpPr>
          </xdr:nvSpPr>
          <xdr:spPr bwMode="auto">
            <a:xfrm>
              <a:off x="298" y="436"/>
              <a:ext cx="6" cy="6"/>
            </a:xfrm>
            <a:prstGeom prst="rect">
              <a:avLst/>
            </a:prstGeom>
            <a:solidFill>
              <a:srgbClr val="FFFFFF"/>
            </a:solidFill>
            <a:ln w="9525">
              <a:solidFill>
                <a:srgbClr val="000000"/>
              </a:solidFill>
              <a:miter lim="800000"/>
              <a:headEnd/>
              <a:tailEnd/>
            </a:ln>
          </xdr:spPr>
        </xdr:sp>
        <xdr:sp macro="" textlink="">
          <xdr:nvSpPr>
            <xdr:cNvPr id="92736" name="Rectangle 860">
              <a:extLst>
                <a:ext uri="{FF2B5EF4-FFF2-40B4-BE49-F238E27FC236}">
                  <a16:creationId xmlns:a16="http://schemas.microsoft.com/office/drawing/2014/main" id="{F03E2750-0F54-65C6-192F-4DD10CBCDAFB}"/>
                </a:ext>
              </a:extLst>
            </xdr:cNvPr>
            <xdr:cNvSpPr>
              <a:spLocks noChangeArrowheads="1"/>
            </xdr:cNvSpPr>
          </xdr:nvSpPr>
          <xdr:spPr bwMode="auto">
            <a:xfrm>
              <a:off x="318" y="436"/>
              <a:ext cx="6" cy="6"/>
            </a:xfrm>
            <a:prstGeom prst="rect">
              <a:avLst/>
            </a:prstGeom>
            <a:solidFill>
              <a:srgbClr val="FFFFFF"/>
            </a:solidFill>
            <a:ln w="9525">
              <a:solidFill>
                <a:srgbClr val="000000"/>
              </a:solidFill>
              <a:miter lim="800000"/>
              <a:headEnd/>
              <a:tailEnd/>
            </a:ln>
          </xdr:spPr>
        </xdr:sp>
        <xdr:sp macro="" textlink="">
          <xdr:nvSpPr>
            <xdr:cNvPr id="92737" name="Rectangle 861">
              <a:extLst>
                <a:ext uri="{FF2B5EF4-FFF2-40B4-BE49-F238E27FC236}">
                  <a16:creationId xmlns:a16="http://schemas.microsoft.com/office/drawing/2014/main" id="{7C6B45F0-6496-7F12-F0D8-E060018523B7}"/>
                </a:ext>
              </a:extLst>
            </xdr:cNvPr>
            <xdr:cNvSpPr>
              <a:spLocks noChangeArrowheads="1"/>
            </xdr:cNvSpPr>
          </xdr:nvSpPr>
          <xdr:spPr bwMode="auto">
            <a:xfrm>
              <a:off x="337" y="436"/>
              <a:ext cx="6" cy="6"/>
            </a:xfrm>
            <a:prstGeom prst="rect">
              <a:avLst/>
            </a:prstGeom>
            <a:solidFill>
              <a:srgbClr val="FFFFFF"/>
            </a:solidFill>
            <a:ln w="9525">
              <a:solidFill>
                <a:srgbClr val="000000"/>
              </a:solidFill>
              <a:miter lim="800000"/>
              <a:headEnd/>
              <a:tailEnd/>
            </a:ln>
          </xdr:spPr>
        </xdr:sp>
        <xdr:sp macro="" textlink="">
          <xdr:nvSpPr>
            <xdr:cNvPr id="92738" name="Rectangle 862">
              <a:extLst>
                <a:ext uri="{FF2B5EF4-FFF2-40B4-BE49-F238E27FC236}">
                  <a16:creationId xmlns:a16="http://schemas.microsoft.com/office/drawing/2014/main" id="{9C691373-8824-3BBF-9A2D-943684787E4B}"/>
                </a:ext>
              </a:extLst>
            </xdr:cNvPr>
            <xdr:cNvSpPr>
              <a:spLocks noChangeArrowheads="1"/>
            </xdr:cNvSpPr>
          </xdr:nvSpPr>
          <xdr:spPr bwMode="auto">
            <a:xfrm>
              <a:off x="355" y="436"/>
              <a:ext cx="6" cy="6"/>
            </a:xfrm>
            <a:prstGeom prst="rect">
              <a:avLst/>
            </a:prstGeom>
            <a:solidFill>
              <a:srgbClr val="FFFFFF"/>
            </a:solidFill>
            <a:ln w="9525">
              <a:solidFill>
                <a:srgbClr val="000000"/>
              </a:solidFill>
              <a:miter lim="800000"/>
              <a:headEnd/>
              <a:tailEnd/>
            </a:ln>
          </xdr:spPr>
        </xdr:sp>
      </xdr:grpSp>
      <xdr:grpSp>
        <xdr:nvGrpSpPr>
          <xdr:cNvPr id="92632" name="Group 863">
            <a:extLst>
              <a:ext uri="{FF2B5EF4-FFF2-40B4-BE49-F238E27FC236}">
                <a16:creationId xmlns:a16="http://schemas.microsoft.com/office/drawing/2014/main" id="{D06E2984-FB89-1EF6-B98F-05A9792DB612}"/>
              </a:ext>
            </a:extLst>
          </xdr:cNvPr>
          <xdr:cNvGrpSpPr>
            <a:grpSpLocks/>
          </xdr:cNvGrpSpPr>
        </xdr:nvGrpSpPr>
        <xdr:grpSpPr bwMode="auto">
          <a:xfrm>
            <a:off x="690" y="335"/>
            <a:ext cx="194" cy="191"/>
            <a:chOff x="988" y="93"/>
            <a:chExt cx="138" cy="124"/>
          </a:xfrm>
        </xdr:grpSpPr>
        <xdr:grpSp>
          <xdr:nvGrpSpPr>
            <xdr:cNvPr id="92633" name="Group 864">
              <a:extLst>
                <a:ext uri="{FF2B5EF4-FFF2-40B4-BE49-F238E27FC236}">
                  <a16:creationId xmlns:a16="http://schemas.microsoft.com/office/drawing/2014/main" id="{5EF14CD9-9D0B-B365-FEE5-AEC1FF54C482}"/>
                </a:ext>
              </a:extLst>
            </xdr:cNvPr>
            <xdr:cNvGrpSpPr>
              <a:grpSpLocks/>
            </xdr:cNvGrpSpPr>
          </xdr:nvGrpSpPr>
          <xdr:grpSpPr bwMode="auto">
            <a:xfrm>
              <a:off x="988" y="93"/>
              <a:ext cx="138" cy="124"/>
              <a:chOff x="988" y="93"/>
              <a:chExt cx="138" cy="124"/>
            </a:xfrm>
          </xdr:grpSpPr>
          <xdr:grpSp>
            <xdr:nvGrpSpPr>
              <xdr:cNvPr id="92642" name="Group 865">
                <a:extLst>
                  <a:ext uri="{FF2B5EF4-FFF2-40B4-BE49-F238E27FC236}">
                    <a16:creationId xmlns:a16="http://schemas.microsoft.com/office/drawing/2014/main" id="{45B14D39-C02D-2AAD-8165-B08631AE5AE3}"/>
                  </a:ext>
                </a:extLst>
              </xdr:cNvPr>
              <xdr:cNvGrpSpPr>
                <a:grpSpLocks/>
              </xdr:cNvGrpSpPr>
            </xdr:nvGrpSpPr>
            <xdr:grpSpPr bwMode="auto">
              <a:xfrm>
                <a:off x="988" y="178"/>
                <a:ext cx="38" cy="31"/>
                <a:chOff x="63" y="107"/>
                <a:chExt cx="38" cy="32"/>
              </a:xfrm>
            </xdr:grpSpPr>
            <xdr:grpSp>
              <xdr:nvGrpSpPr>
                <xdr:cNvPr id="92717" name="Group 866">
                  <a:extLst>
                    <a:ext uri="{FF2B5EF4-FFF2-40B4-BE49-F238E27FC236}">
                      <a16:creationId xmlns:a16="http://schemas.microsoft.com/office/drawing/2014/main" id="{995097F7-058D-FCD2-BD8C-CD71ECBE93B8}"/>
                    </a:ext>
                  </a:extLst>
                </xdr:cNvPr>
                <xdr:cNvGrpSpPr>
                  <a:grpSpLocks/>
                </xdr:cNvGrpSpPr>
              </xdr:nvGrpSpPr>
              <xdr:grpSpPr bwMode="auto">
                <a:xfrm>
                  <a:off x="69" y="107"/>
                  <a:ext cx="26" cy="32"/>
                  <a:chOff x="172" y="107"/>
                  <a:chExt cx="26" cy="32"/>
                </a:xfrm>
              </xdr:grpSpPr>
              <xdr:sp macro="" textlink="">
                <xdr:nvSpPr>
                  <xdr:cNvPr id="92720" name="Oval 867">
                    <a:extLst>
                      <a:ext uri="{FF2B5EF4-FFF2-40B4-BE49-F238E27FC236}">
                        <a16:creationId xmlns:a16="http://schemas.microsoft.com/office/drawing/2014/main" id="{E2311B6A-53A8-6DE2-7545-DF3A7976E13C}"/>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721" name="Line 868">
                    <a:extLst>
                      <a:ext uri="{FF2B5EF4-FFF2-40B4-BE49-F238E27FC236}">
                        <a16:creationId xmlns:a16="http://schemas.microsoft.com/office/drawing/2014/main" id="{9B129264-8904-A1EC-410D-CB8572B31D18}"/>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22" name="Line 869">
                    <a:extLst>
                      <a:ext uri="{FF2B5EF4-FFF2-40B4-BE49-F238E27FC236}">
                        <a16:creationId xmlns:a16="http://schemas.microsoft.com/office/drawing/2014/main" id="{031661CD-F1DE-B622-773C-E03354D08CFA}"/>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23" name="Line 870">
                    <a:extLst>
                      <a:ext uri="{FF2B5EF4-FFF2-40B4-BE49-F238E27FC236}">
                        <a16:creationId xmlns:a16="http://schemas.microsoft.com/office/drawing/2014/main" id="{60D42E32-E956-2F1A-1E96-1ABACFECFC89}"/>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24" name="Line 871">
                    <a:extLst>
                      <a:ext uri="{FF2B5EF4-FFF2-40B4-BE49-F238E27FC236}">
                        <a16:creationId xmlns:a16="http://schemas.microsoft.com/office/drawing/2014/main" id="{2643581A-C5BB-12F8-EED7-846078DA5410}"/>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25" name="Line 872">
                    <a:extLst>
                      <a:ext uri="{FF2B5EF4-FFF2-40B4-BE49-F238E27FC236}">
                        <a16:creationId xmlns:a16="http://schemas.microsoft.com/office/drawing/2014/main" id="{7FD339AC-C9FF-3117-4093-E9D9DA4782A5}"/>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26" name="Line 873">
                    <a:extLst>
                      <a:ext uri="{FF2B5EF4-FFF2-40B4-BE49-F238E27FC236}">
                        <a16:creationId xmlns:a16="http://schemas.microsoft.com/office/drawing/2014/main" id="{ACF2C591-EA08-19C1-1D68-66CF3EE6A386}"/>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27" name="Freeform 874">
                    <a:extLst>
                      <a:ext uri="{FF2B5EF4-FFF2-40B4-BE49-F238E27FC236}">
                        <a16:creationId xmlns:a16="http://schemas.microsoft.com/office/drawing/2014/main" id="{B3909CFB-7A7B-8860-3DE8-B892EC213B32}"/>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728" name="Freeform 875">
                    <a:extLst>
                      <a:ext uri="{FF2B5EF4-FFF2-40B4-BE49-F238E27FC236}">
                        <a16:creationId xmlns:a16="http://schemas.microsoft.com/office/drawing/2014/main" id="{862EF9CA-8A40-938B-F0CD-7FC409318BD3}"/>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729" name="Freeform 876">
                    <a:extLst>
                      <a:ext uri="{FF2B5EF4-FFF2-40B4-BE49-F238E27FC236}">
                        <a16:creationId xmlns:a16="http://schemas.microsoft.com/office/drawing/2014/main" id="{47C1E5B7-3525-CB00-47EA-95DAB5D921E7}"/>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730" name="Oval 877">
                    <a:extLst>
                      <a:ext uri="{FF2B5EF4-FFF2-40B4-BE49-F238E27FC236}">
                        <a16:creationId xmlns:a16="http://schemas.microsoft.com/office/drawing/2014/main" id="{78888A3F-0EF1-F749-5E50-92AFBBA9AF42}"/>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731" name="Oval 878">
                    <a:extLst>
                      <a:ext uri="{FF2B5EF4-FFF2-40B4-BE49-F238E27FC236}">
                        <a16:creationId xmlns:a16="http://schemas.microsoft.com/office/drawing/2014/main" id="{2844A9CC-4F2A-536D-6FF5-28244C50E2A2}"/>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718" name="Rectangle 879">
                  <a:extLst>
                    <a:ext uri="{FF2B5EF4-FFF2-40B4-BE49-F238E27FC236}">
                      <a16:creationId xmlns:a16="http://schemas.microsoft.com/office/drawing/2014/main" id="{1B65F489-C1E3-8E2B-2CC4-C5BFBCE23074}"/>
                    </a:ext>
                  </a:extLst>
                </xdr:cNvPr>
                <xdr:cNvSpPr>
                  <a:spLocks noChangeArrowheads="1"/>
                </xdr:cNvSpPr>
              </xdr:nvSpPr>
              <xdr:spPr bwMode="auto">
                <a:xfrm>
                  <a:off x="96" y="115"/>
                  <a:ext cx="5" cy="17"/>
                </a:xfrm>
                <a:prstGeom prst="rect">
                  <a:avLst/>
                </a:prstGeom>
                <a:solidFill>
                  <a:srgbClr val="FFFFFF"/>
                </a:solidFill>
                <a:ln w="9525">
                  <a:solidFill>
                    <a:srgbClr val="000000"/>
                  </a:solidFill>
                  <a:miter lim="800000"/>
                  <a:headEnd/>
                  <a:tailEnd/>
                </a:ln>
              </xdr:spPr>
            </xdr:sp>
            <xdr:sp macro="" textlink="">
              <xdr:nvSpPr>
                <xdr:cNvPr id="92719" name="Rectangle 880">
                  <a:extLst>
                    <a:ext uri="{FF2B5EF4-FFF2-40B4-BE49-F238E27FC236}">
                      <a16:creationId xmlns:a16="http://schemas.microsoft.com/office/drawing/2014/main" id="{B0C1C623-E539-11C1-9FD9-5E3F68F3D262}"/>
                    </a:ext>
                  </a:extLst>
                </xdr:cNvPr>
                <xdr:cNvSpPr>
                  <a:spLocks noChangeArrowheads="1"/>
                </xdr:cNvSpPr>
              </xdr:nvSpPr>
              <xdr:spPr bwMode="auto">
                <a:xfrm>
                  <a:off x="63" y="115"/>
                  <a:ext cx="5" cy="17"/>
                </a:xfrm>
                <a:prstGeom prst="rect">
                  <a:avLst/>
                </a:prstGeom>
                <a:solidFill>
                  <a:srgbClr val="FFFFFF"/>
                </a:solidFill>
                <a:ln w="9525">
                  <a:solidFill>
                    <a:srgbClr val="000000"/>
                  </a:solidFill>
                  <a:miter lim="800000"/>
                  <a:headEnd/>
                  <a:tailEnd/>
                </a:ln>
              </xdr:spPr>
            </xdr:sp>
          </xdr:grpSp>
          <xdr:grpSp>
            <xdr:nvGrpSpPr>
              <xdr:cNvPr id="92643" name="Group 881">
                <a:extLst>
                  <a:ext uri="{FF2B5EF4-FFF2-40B4-BE49-F238E27FC236}">
                    <a16:creationId xmlns:a16="http://schemas.microsoft.com/office/drawing/2014/main" id="{97032673-59CB-826E-FB71-5912F8A5EF91}"/>
                  </a:ext>
                </a:extLst>
              </xdr:cNvPr>
              <xdr:cNvGrpSpPr>
                <a:grpSpLocks/>
              </xdr:cNvGrpSpPr>
            </xdr:nvGrpSpPr>
            <xdr:grpSpPr bwMode="auto">
              <a:xfrm>
                <a:off x="1088" y="178"/>
                <a:ext cx="38" cy="31"/>
                <a:chOff x="63" y="107"/>
                <a:chExt cx="38" cy="32"/>
              </a:xfrm>
            </xdr:grpSpPr>
            <xdr:grpSp>
              <xdr:nvGrpSpPr>
                <xdr:cNvPr id="92702" name="Group 882">
                  <a:extLst>
                    <a:ext uri="{FF2B5EF4-FFF2-40B4-BE49-F238E27FC236}">
                      <a16:creationId xmlns:a16="http://schemas.microsoft.com/office/drawing/2014/main" id="{93D7113C-9C86-B950-C7EB-A26678FE4445}"/>
                    </a:ext>
                  </a:extLst>
                </xdr:cNvPr>
                <xdr:cNvGrpSpPr>
                  <a:grpSpLocks/>
                </xdr:cNvGrpSpPr>
              </xdr:nvGrpSpPr>
              <xdr:grpSpPr bwMode="auto">
                <a:xfrm>
                  <a:off x="69" y="107"/>
                  <a:ext cx="26" cy="32"/>
                  <a:chOff x="172" y="107"/>
                  <a:chExt cx="26" cy="32"/>
                </a:xfrm>
              </xdr:grpSpPr>
              <xdr:sp macro="" textlink="">
                <xdr:nvSpPr>
                  <xdr:cNvPr id="92705" name="Oval 883">
                    <a:extLst>
                      <a:ext uri="{FF2B5EF4-FFF2-40B4-BE49-F238E27FC236}">
                        <a16:creationId xmlns:a16="http://schemas.microsoft.com/office/drawing/2014/main" id="{3CA0F651-E84D-8507-7D61-F5AE82DC7156}"/>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706" name="Line 884">
                    <a:extLst>
                      <a:ext uri="{FF2B5EF4-FFF2-40B4-BE49-F238E27FC236}">
                        <a16:creationId xmlns:a16="http://schemas.microsoft.com/office/drawing/2014/main" id="{482B35BB-DB1C-8591-673A-F2B5BF649D1A}"/>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07" name="Line 885">
                    <a:extLst>
                      <a:ext uri="{FF2B5EF4-FFF2-40B4-BE49-F238E27FC236}">
                        <a16:creationId xmlns:a16="http://schemas.microsoft.com/office/drawing/2014/main" id="{80BE17B8-C275-436D-93CF-4602F2DB376A}"/>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08" name="Line 886">
                    <a:extLst>
                      <a:ext uri="{FF2B5EF4-FFF2-40B4-BE49-F238E27FC236}">
                        <a16:creationId xmlns:a16="http://schemas.microsoft.com/office/drawing/2014/main" id="{CECF3629-53FC-FC4B-96D6-21BED9673E0C}"/>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09" name="Line 887">
                    <a:extLst>
                      <a:ext uri="{FF2B5EF4-FFF2-40B4-BE49-F238E27FC236}">
                        <a16:creationId xmlns:a16="http://schemas.microsoft.com/office/drawing/2014/main" id="{3311E6A3-0613-24FD-0538-6C4F612FE501}"/>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10" name="Line 888">
                    <a:extLst>
                      <a:ext uri="{FF2B5EF4-FFF2-40B4-BE49-F238E27FC236}">
                        <a16:creationId xmlns:a16="http://schemas.microsoft.com/office/drawing/2014/main" id="{C4CA85ED-2489-65E3-3CE7-270960D9881F}"/>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11" name="Line 889">
                    <a:extLst>
                      <a:ext uri="{FF2B5EF4-FFF2-40B4-BE49-F238E27FC236}">
                        <a16:creationId xmlns:a16="http://schemas.microsoft.com/office/drawing/2014/main" id="{3B143D21-5FA2-1DC7-31B2-A88EFB0FAA7A}"/>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712" name="Freeform 890">
                    <a:extLst>
                      <a:ext uri="{FF2B5EF4-FFF2-40B4-BE49-F238E27FC236}">
                        <a16:creationId xmlns:a16="http://schemas.microsoft.com/office/drawing/2014/main" id="{79DA8F7B-C588-CD75-981D-CB8D54566D83}"/>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713" name="Freeform 891">
                    <a:extLst>
                      <a:ext uri="{FF2B5EF4-FFF2-40B4-BE49-F238E27FC236}">
                        <a16:creationId xmlns:a16="http://schemas.microsoft.com/office/drawing/2014/main" id="{2D59D61B-4287-5196-F418-3005A8E65EBD}"/>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714" name="Freeform 892">
                    <a:extLst>
                      <a:ext uri="{FF2B5EF4-FFF2-40B4-BE49-F238E27FC236}">
                        <a16:creationId xmlns:a16="http://schemas.microsoft.com/office/drawing/2014/main" id="{76450F7E-721C-FAFE-4957-1FA6FB703B27}"/>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715" name="Oval 893">
                    <a:extLst>
                      <a:ext uri="{FF2B5EF4-FFF2-40B4-BE49-F238E27FC236}">
                        <a16:creationId xmlns:a16="http://schemas.microsoft.com/office/drawing/2014/main" id="{905EAB80-7671-AA74-94C2-6B09874E6701}"/>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716" name="Oval 894">
                    <a:extLst>
                      <a:ext uri="{FF2B5EF4-FFF2-40B4-BE49-F238E27FC236}">
                        <a16:creationId xmlns:a16="http://schemas.microsoft.com/office/drawing/2014/main" id="{3B4BEE19-4D3D-E827-139A-B519B4FD7FB9}"/>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703" name="Rectangle 895">
                  <a:extLst>
                    <a:ext uri="{FF2B5EF4-FFF2-40B4-BE49-F238E27FC236}">
                      <a16:creationId xmlns:a16="http://schemas.microsoft.com/office/drawing/2014/main" id="{2E20064F-24C7-D518-7FA8-A46D102B18C6}"/>
                    </a:ext>
                  </a:extLst>
                </xdr:cNvPr>
                <xdr:cNvSpPr>
                  <a:spLocks noChangeArrowheads="1"/>
                </xdr:cNvSpPr>
              </xdr:nvSpPr>
              <xdr:spPr bwMode="auto">
                <a:xfrm>
                  <a:off x="96" y="115"/>
                  <a:ext cx="5" cy="17"/>
                </a:xfrm>
                <a:prstGeom prst="rect">
                  <a:avLst/>
                </a:prstGeom>
                <a:solidFill>
                  <a:srgbClr val="FFFFFF"/>
                </a:solidFill>
                <a:ln w="9525">
                  <a:solidFill>
                    <a:srgbClr val="000000"/>
                  </a:solidFill>
                  <a:miter lim="800000"/>
                  <a:headEnd/>
                  <a:tailEnd/>
                </a:ln>
              </xdr:spPr>
            </xdr:sp>
            <xdr:sp macro="" textlink="">
              <xdr:nvSpPr>
                <xdr:cNvPr id="92704" name="Rectangle 896">
                  <a:extLst>
                    <a:ext uri="{FF2B5EF4-FFF2-40B4-BE49-F238E27FC236}">
                      <a16:creationId xmlns:a16="http://schemas.microsoft.com/office/drawing/2014/main" id="{3B8E8A35-FD91-B839-B413-E069C41C5260}"/>
                    </a:ext>
                  </a:extLst>
                </xdr:cNvPr>
                <xdr:cNvSpPr>
                  <a:spLocks noChangeArrowheads="1"/>
                </xdr:cNvSpPr>
              </xdr:nvSpPr>
              <xdr:spPr bwMode="auto">
                <a:xfrm>
                  <a:off x="63" y="115"/>
                  <a:ext cx="5" cy="17"/>
                </a:xfrm>
                <a:prstGeom prst="rect">
                  <a:avLst/>
                </a:prstGeom>
                <a:solidFill>
                  <a:srgbClr val="FFFFFF"/>
                </a:solidFill>
                <a:ln w="9525">
                  <a:solidFill>
                    <a:srgbClr val="000000"/>
                  </a:solidFill>
                  <a:miter lim="800000"/>
                  <a:headEnd/>
                  <a:tailEnd/>
                </a:ln>
              </xdr:spPr>
            </xdr:sp>
          </xdr:grpSp>
          <xdr:sp macro="" textlink="">
            <xdr:nvSpPr>
              <xdr:cNvPr id="92644" name="Rectangle 897">
                <a:extLst>
                  <a:ext uri="{FF2B5EF4-FFF2-40B4-BE49-F238E27FC236}">
                    <a16:creationId xmlns:a16="http://schemas.microsoft.com/office/drawing/2014/main" id="{BDAD75EB-7DBE-812F-6F5D-739C84C10DBA}"/>
                  </a:ext>
                </a:extLst>
              </xdr:cNvPr>
              <xdr:cNvSpPr>
                <a:spLocks noChangeArrowheads="1"/>
              </xdr:cNvSpPr>
            </xdr:nvSpPr>
            <xdr:spPr bwMode="auto">
              <a:xfrm>
                <a:off x="1035" y="161"/>
                <a:ext cx="44" cy="8"/>
              </a:xfrm>
              <a:prstGeom prst="rect">
                <a:avLst/>
              </a:prstGeom>
              <a:solidFill>
                <a:srgbClr val="FFFFFF"/>
              </a:solidFill>
              <a:ln w="9525">
                <a:solidFill>
                  <a:srgbClr val="000000"/>
                </a:solidFill>
                <a:miter lim="800000"/>
                <a:headEnd/>
                <a:tailEnd/>
              </a:ln>
            </xdr:spPr>
          </xdr:sp>
          <xdr:grpSp>
            <xdr:nvGrpSpPr>
              <xdr:cNvPr id="92645" name="Group 898">
                <a:extLst>
                  <a:ext uri="{FF2B5EF4-FFF2-40B4-BE49-F238E27FC236}">
                    <a16:creationId xmlns:a16="http://schemas.microsoft.com/office/drawing/2014/main" id="{DF1B710A-56EB-3C4E-633B-F4ACBF688634}"/>
                  </a:ext>
                </a:extLst>
              </xdr:cNvPr>
              <xdr:cNvGrpSpPr>
                <a:grpSpLocks/>
              </xdr:cNvGrpSpPr>
            </xdr:nvGrpSpPr>
            <xdr:grpSpPr bwMode="auto">
              <a:xfrm>
                <a:off x="1041" y="122"/>
                <a:ext cx="32" cy="37"/>
                <a:chOff x="1041" y="122"/>
                <a:chExt cx="32" cy="37"/>
              </a:xfrm>
            </xdr:grpSpPr>
            <xdr:grpSp>
              <xdr:nvGrpSpPr>
                <xdr:cNvPr id="92687" name="Group 899">
                  <a:extLst>
                    <a:ext uri="{FF2B5EF4-FFF2-40B4-BE49-F238E27FC236}">
                      <a16:creationId xmlns:a16="http://schemas.microsoft.com/office/drawing/2014/main" id="{2642F661-2E94-575F-D890-04785D12FCAC}"/>
                    </a:ext>
                  </a:extLst>
                </xdr:cNvPr>
                <xdr:cNvGrpSpPr>
                  <a:grpSpLocks/>
                </xdr:cNvGrpSpPr>
              </xdr:nvGrpSpPr>
              <xdr:grpSpPr bwMode="auto">
                <a:xfrm rot="5400000">
                  <a:off x="1044" y="126"/>
                  <a:ext cx="25" cy="32"/>
                  <a:chOff x="172" y="107"/>
                  <a:chExt cx="26" cy="32"/>
                </a:xfrm>
              </xdr:grpSpPr>
              <xdr:sp macro="" textlink="">
                <xdr:nvSpPr>
                  <xdr:cNvPr id="92690" name="Oval 900">
                    <a:extLst>
                      <a:ext uri="{FF2B5EF4-FFF2-40B4-BE49-F238E27FC236}">
                        <a16:creationId xmlns:a16="http://schemas.microsoft.com/office/drawing/2014/main" id="{3FD35927-CE0D-B5CC-A6BA-B06F7BC8E53F}"/>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691" name="Line 901">
                    <a:extLst>
                      <a:ext uri="{FF2B5EF4-FFF2-40B4-BE49-F238E27FC236}">
                        <a16:creationId xmlns:a16="http://schemas.microsoft.com/office/drawing/2014/main" id="{779906D5-4578-FBAE-C3B8-5455F5E11DC3}"/>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92" name="Line 902">
                    <a:extLst>
                      <a:ext uri="{FF2B5EF4-FFF2-40B4-BE49-F238E27FC236}">
                        <a16:creationId xmlns:a16="http://schemas.microsoft.com/office/drawing/2014/main" id="{9D56CD6D-4F7D-3A60-9770-3589EF71E2AD}"/>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93" name="Line 903">
                    <a:extLst>
                      <a:ext uri="{FF2B5EF4-FFF2-40B4-BE49-F238E27FC236}">
                        <a16:creationId xmlns:a16="http://schemas.microsoft.com/office/drawing/2014/main" id="{2CB3050C-5537-96A3-238A-E047DD271287}"/>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94" name="Line 904">
                    <a:extLst>
                      <a:ext uri="{FF2B5EF4-FFF2-40B4-BE49-F238E27FC236}">
                        <a16:creationId xmlns:a16="http://schemas.microsoft.com/office/drawing/2014/main" id="{1C794250-9729-D251-1E2A-431A6A37BD57}"/>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95" name="Line 905">
                    <a:extLst>
                      <a:ext uri="{FF2B5EF4-FFF2-40B4-BE49-F238E27FC236}">
                        <a16:creationId xmlns:a16="http://schemas.microsoft.com/office/drawing/2014/main" id="{434910AA-9C85-982E-5303-6BE0502D4C97}"/>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96" name="Line 906">
                    <a:extLst>
                      <a:ext uri="{FF2B5EF4-FFF2-40B4-BE49-F238E27FC236}">
                        <a16:creationId xmlns:a16="http://schemas.microsoft.com/office/drawing/2014/main" id="{7ECCDEDE-6516-4D56-F54B-497201C76708}"/>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97" name="Freeform 907">
                    <a:extLst>
                      <a:ext uri="{FF2B5EF4-FFF2-40B4-BE49-F238E27FC236}">
                        <a16:creationId xmlns:a16="http://schemas.microsoft.com/office/drawing/2014/main" id="{9459FD3B-ED17-D435-6D54-EA29A24D57CE}"/>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698" name="Freeform 908">
                    <a:extLst>
                      <a:ext uri="{FF2B5EF4-FFF2-40B4-BE49-F238E27FC236}">
                        <a16:creationId xmlns:a16="http://schemas.microsoft.com/office/drawing/2014/main" id="{07DCDAB7-F4A2-202E-0D6F-86823E0A44D5}"/>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699" name="Freeform 909">
                    <a:extLst>
                      <a:ext uri="{FF2B5EF4-FFF2-40B4-BE49-F238E27FC236}">
                        <a16:creationId xmlns:a16="http://schemas.microsoft.com/office/drawing/2014/main" id="{07048CE8-FC2F-BEC4-C792-A526EEB8CC81}"/>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700" name="Oval 910">
                    <a:extLst>
                      <a:ext uri="{FF2B5EF4-FFF2-40B4-BE49-F238E27FC236}">
                        <a16:creationId xmlns:a16="http://schemas.microsoft.com/office/drawing/2014/main" id="{663BC893-0641-920F-339B-5FA49C3B07EF}"/>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701" name="Oval 911">
                    <a:extLst>
                      <a:ext uri="{FF2B5EF4-FFF2-40B4-BE49-F238E27FC236}">
                        <a16:creationId xmlns:a16="http://schemas.microsoft.com/office/drawing/2014/main" id="{AEE64DB8-3C23-1A1E-5BD5-CEA6A7EEBF87}"/>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688" name="Rectangle 912">
                  <a:extLst>
                    <a:ext uri="{FF2B5EF4-FFF2-40B4-BE49-F238E27FC236}">
                      <a16:creationId xmlns:a16="http://schemas.microsoft.com/office/drawing/2014/main" id="{7B3272C6-4AE9-04AC-E72F-C696757DC74C}"/>
                    </a:ext>
                  </a:extLst>
                </xdr:cNvPr>
                <xdr:cNvSpPr>
                  <a:spLocks noChangeArrowheads="1"/>
                </xdr:cNvSpPr>
              </xdr:nvSpPr>
              <xdr:spPr bwMode="auto">
                <a:xfrm rot="5400000">
                  <a:off x="1054" y="148"/>
                  <a:ext cx="5" cy="17"/>
                </a:xfrm>
                <a:prstGeom prst="rect">
                  <a:avLst/>
                </a:prstGeom>
                <a:solidFill>
                  <a:srgbClr val="FFFFFF"/>
                </a:solidFill>
                <a:ln w="9525">
                  <a:solidFill>
                    <a:srgbClr val="000000"/>
                  </a:solidFill>
                  <a:miter lim="800000"/>
                  <a:headEnd/>
                  <a:tailEnd/>
                </a:ln>
              </xdr:spPr>
            </xdr:sp>
            <xdr:sp macro="" textlink="">
              <xdr:nvSpPr>
                <xdr:cNvPr id="92689" name="Rectangle 913">
                  <a:extLst>
                    <a:ext uri="{FF2B5EF4-FFF2-40B4-BE49-F238E27FC236}">
                      <a16:creationId xmlns:a16="http://schemas.microsoft.com/office/drawing/2014/main" id="{A3C29387-A529-CBC4-B890-5748D1A33922}"/>
                    </a:ext>
                  </a:extLst>
                </xdr:cNvPr>
                <xdr:cNvSpPr>
                  <a:spLocks noChangeArrowheads="1"/>
                </xdr:cNvSpPr>
              </xdr:nvSpPr>
              <xdr:spPr bwMode="auto">
                <a:xfrm rot="5400000">
                  <a:off x="1054" y="116"/>
                  <a:ext cx="5" cy="17"/>
                </a:xfrm>
                <a:prstGeom prst="rect">
                  <a:avLst/>
                </a:prstGeom>
                <a:solidFill>
                  <a:srgbClr val="FFFFFF"/>
                </a:solidFill>
                <a:ln w="9525">
                  <a:solidFill>
                    <a:srgbClr val="000000"/>
                  </a:solidFill>
                  <a:miter lim="800000"/>
                  <a:headEnd/>
                  <a:tailEnd/>
                </a:ln>
              </xdr:spPr>
            </xdr:sp>
          </xdr:grpSp>
          <xdr:grpSp>
            <xdr:nvGrpSpPr>
              <xdr:cNvPr id="92646" name="Group 914">
                <a:extLst>
                  <a:ext uri="{FF2B5EF4-FFF2-40B4-BE49-F238E27FC236}">
                    <a16:creationId xmlns:a16="http://schemas.microsoft.com/office/drawing/2014/main" id="{A62A99D4-02DB-4AAC-DD99-EDDBA5B0FA15}"/>
                  </a:ext>
                </a:extLst>
              </xdr:cNvPr>
              <xdr:cNvGrpSpPr>
                <a:grpSpLocks/>
              </xdr:cNvGrpSpPr>
            </xdr:nvGrpSpPr>
            <xdr:grpSpPr bwMode="auto">
              <a:xfrm>
                <a:off x="1045" y="93"/>
                <a:ext cx="72" cy="29"/>
                <a:chOff x="1565" y="65"/>
                <a:chExt cx="72" cy="30"/>
              </a:xfrm>
            </xdr:grpSpPr>
            <xdr:sp macro="" textlink="">
              <xdr:nvSpPr>
                <xdr:cNvPr id="92658" name="Rectangle 915">
                  <a:extLst>
                    <a:ext uri="{FF2B5EF4-FFF2-40B4-BE49-F238E27FC236}">
                      <a16:creationId xmlns:a16="http://schemas.microsoft.com/office/drawing/2014/main" id="{77959713-D4BB-B69E-2694-2840DA68FC52}"/>
                    </a:ext>
                  </a:extLst>
                </xdr:cNvPr>
                <xdr:cNvSpPr>
                  <a:spLocks noChangeArrowheads="1"/>
                </xdr:cNvSpPr>
              </xdr:nvSpPr>
              <xdr:spPr bwMode="auto">
                <a:xfrm rot="5400000">
                  <a:off x="1587" y="78"/>
                  <a:ext cx="15" cy="5"/>
                </a:xfrm>
                <a:prstGeom prst="rect">
                  <a:avLst/>
                </a:prstGeom>
                <a:solidFill>
                  <a:srgbClr val="FFFFFF"/>
                </a:solidFill>
                <a:ln w="9525">
                  <a:solidFill>
                    <a:srgbClr val="000000"/>
                  </a:solidFill>
                  <a:miter lim="800000"/>
                  <a:headEnd/>
                  <a:tailEnd/>
                </a:ln>
              </xdr:spPr>
            </xdr:sp>
            <xdr:grpSp>
              <xdr:nvGrpSpPr>
                <xdr:cNvPr id="92659" name="Group 916">
                  <a:extLst>
                    <a:ext uri="{FF2B5EF4-FFF2-40B4-BE49-F238E27FC236}">
                      <a16:creationId xmlns:a16="http://schemas.microsoft.com/office/drawing/2014/main" id="{452C3345-DAD7-7A10-47A3-53466E232691}"/>
                    </a:ext>
                  </a:extLst>
                </xdr:cNvPr>
                <xdr:cNvGrpSpPr>
                  <a:grpSpLocks/>
                </xdr:cNvGrpSpPr>
              </xdr:nvGrpSpPr>
              <xdr:grpSpPr bwMode="auto">
                <a:xfrm>
                  <a:off x="1565" y="66"/>
                  <a:ext cx="27" cy="23"/>
                  <a:chOff x="1827" y="79"/>
                  <a:chExt cx="27" cy="25"/>
                </a:xfrm>
              </xdr:grpSpPr>
              <xdr:sp macro="" textlink="">
                <xdr:nvSpPr>
                  <xdr:cNvPr id="92677" name="Line 917">
                    <a:extLst>
                      <a:ext uri="{FF2B5EF4-FFF2-40B4-BE49-F238E27FC236}">
                        <a16:creationId xmlns:a16="http://schemas.microsoft.com/office/drawing/2014/main" id="{D68EA931-CEB2-C07F-4E14-95BC4AC37188}"/>
                      </a:ext>
                    </a:extLst>
                  </xdr:cNvPr>
                  <xdr:cNvSpPr>
                    <a:spLocks noChangeShapeType="1"/>
                  </xdr:cNvSpPr>
                </xdr:nvSpPr>
                <xdr:spPr bwMode="auto">
                  <a:xfrm>
                    <a:off x="1832" y="104"/>
                    <a:ext cx="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78" name="Line 918">
                    <a:extLst>
                      <a:ext uri="{FF2B5EF4-FFF2-40B4-BE49-F238E27FC236}">
                        <a16:creationId xmlns:a16="http://schemas.microsoft.com/office/drawing/2014/main" id="{1268E6A5-0D55-DD10-D420-1265C0B60E00}"/>
                      </a:ext>
                    </a:extLst>
                  </xdr:cNvPr>
                  <xdr:cNvSpPr>
                    <a:spLocks noChangeShapeType="1"/>
                  </xdr:cNvSpPr>
                </xdr:nvSpPr>
                <xdr:spPr bwMode="auto">
                  <a:xfrm flipV="1">
                    <a:off x="1832" y="87"/>
                    <a:ext cx="0"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79" name="Line 919">
                    <a:extLst>
                      <a:ext uri="{FF2B5EF4-FFF2-40B4-BE49-F238E27FC236}">
                        <a16:creationId xmlns:a16="http://schemas.microsoft.com/office/drawing/2014/main" id="{A641E69D-2328-B013-1BC0-48662B43C4CC}"/>
                      </a:ext>
                    </a:extLst>
                  </xdr:cNvPr>
                  <xdr:cNvSpPr>
                    <a:spLocks noChangeShapeType="1"/>
                  </xdr:cNvSpPr>
                </xdr:nvSpPr>
                <xdr:spPr bwMode="auto">
                  <a:xfrm flipV="1">
                    <a:off x="1845" y="102"/>
                    <a:ext cx="0" cy="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80" name="Line 920">
                    <a:extLst>
                      <a:ext uri="{FF2B5EF4-FFF2-40B4-BE49-F238E27FC236}">
                        <a16:creationId xmlns:a16="http://schemas.microsoft.com/office/drawing/2014/main" id="{95276B86-B24A-7D3D-C01F-E406C9A81993}"/>
                      </a:ext>
                    </a:extLst>
                  </xdr:cNvPr>
                  <xdr:cNvSpPr>
                    <a:spLocks noChangeShapeType="1"/>
                  </xdr:cNvSpPr>
                </xdr:nvSpPr>
                <xdr:spPr bwMode="auto">
                  <a:xfrm>
                    <a:off x="1845" y="101"/>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81" name="Line 921">
                    <a:extLst>
                      <a:ext uri="{FF2B5EF4-FFF2-40B4-BE49-F238E27FC236}">
                        <a16:creationId xmlns:a16="http://schemas.microsoft.com/office/drawing/2014/main" id="{3D77534D-C723-F909-E2A1-0BF64C66CAF2}"/>
                      </a:ext>
                    </a:extLst>
                  </xdr:cNvPr>
                  <xdr:cNvSpPr>
                    <a:spLocks noChangeShapeType="1"/>
                  </xdr:cNvSpPr>
                </xdr:nvSpPr>
                <xdr:spPr bwMode="auto">
                  <a:xfrm flipV="1">
                    <a:off x="1854" y="89"/>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82" name="Line 922">
                    <a:extLst>
                      <a:ext uri="{FF2B5EF4-FFF2-40B4-BE49-F238E27FC236}">
                        <a16:creationId xmlns:a16="http://schemas.microsoft.com/office/drawing/2014/main" id="{EEE81BE6-6E77-1A82-624F-11CC4A43AF40}"/>
                      </a:ext>
                    </a:extLst>
                  </xdr:cNvPr>
                  <xdr:cNvSpPr>
                    <a:spLocks noChangeShapeType="1"/>
                  </xdr:cNvSpPr>
                </xdr:nvSpPr>
                <xdr:spPr bwMode="auto">
                  <a:xfrm flipH="1">
                    <a:off x="1845" y="89"/>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83" name="Line 923">
                    <a:extLst>
                      <a:ext uri="{FF2B5EF4-FFF2-40B4-BE49-F238E27FC236}">
                        <a16:creationId xmlns:a16="http://schemas.microsoft.com/office/drawing/2014/main" id="{7BFE1C73-F939-E8AD-33F4-BE2EED564CA3}"/>
                      </a:ext>
                    </a:extLst>
                  </xdr:cNvPr>
                  <xdr:cNvSpPr>
                    <a:spLocks noChangeShapeType="1"/>
                  </xdr:cNvSpPr>
                </xdr:nvSpPr>
                <xdr:spPr bwMode="auto">
                  <a:xfrm flipV="1">
                    <a:off x="1845" y="87"/>
                    <a:ext cx="0" cy="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84" name="Rectangle 924">
                    <a:extLst>
                      <a:ext uri="{FF2B5EF4-FFF2-40B4-BE49-F238E27FC236}">
                        <a16:creationId xmlns:a16="http://schemas.microsoft.com/office/drawing/2014/main" id="{BF725AA8-FB71-2BE1-04E7-2A686BB7CB0C}"/>
                      </a:ext>
                    </a:extLst>
                  </xdr:cNvPr>
                  <xdr:cNvSpPr>
                    <a:spLocks noChangeArrowheads="1"/>
                  </xdr:cNvSpPr>
                </xdr:nvSpPr>
                <xdr:spPr bwMode="auto">
                  <a:xfrm>
                    <a:off x="1830" y="79"/>
                    <a:ext cx="16" cy="8"/>
                  </a:xfrm>
                  <a:prstGeom prst="rect">
                    <a:avLst/>
                  </a:prstGeom>
                  <a:solidFill>
                    <a:srgbClr val="FFFFFF"/>
                  </a:solidFill>
                  <a:ln w="9525">
                    <a:solidFill>
                      <a:srgbClr val="000000"/>
                    </a:solidFill>
                    <a:miter lim="800000"/>
                    <a:headEnd/>
                    <a:tailEnd/>
                  </a:ln>
                </xdr:spPr>
              </xdr:sp>
              <xdr:sp macro="" textlink="">
                <xdr:nvSpPr>
                  <xdr:cNvPr id="92685" name="Rectangle 925">
                    <a:extLst>
                      <a:ext uri="{FF2B5EF4-FFF2-40B4-BE49-F238E27FC236}">
                        <a16:creationId xmlns:a16="http://schemas.microsoft.com/office/drawing/2014/main" id="{BB299AA2-CC2D-968A-0E67-922C5F6D2BB5}"/>
                      </a:ext>
                    </a:extLst>
                  </xdr:cNvPr>
                  <xdr:cNvSpPr>
                    <a:spLocks noChangeArrowheads="1"/>
                  </xdr:cNvSpPr>
                </xdr:nvSpPr>
                <xdr:spPr bwMode="auto">
                  <a:xfrm>
                    <a:off x="1827" y="80"/>
                    <a:ext cx="3" cy="4"/>
                  </a:xfrm>
                  <a:prstGeom prst="rect">
                    <a:avLst/>
                  </a:prstGeom>
                  <a:solidFill>
                    <a:srgbClr val="FFFFFF"/>
                  </a:solidFill>
                  <a:ln w="9525">
                    <a:solidFill>
                      <a:srgbClr val="000000"/>
                    </a:solidFill>
                    <a:miter lim="800000"/>
                    <a:headEnd/>
                    <a:tailEnd/>
                  </a:ln>
                </xdr:spPr>
              </xdr:sp>
              <xdr:sp macro="" textlink="">
                <xdr:nvSpPr>
                  <xdr:cNvPr id="92686" name="Rectangle 926">
                    <a:extLst>
                      <a:ext uri="{FF2B5EF4-FFF2-40B4-BE49-F238E27FC236}">
                        <a16:creationId xmlns:a16="http://schemas.microsoft.com/office/drawing/2014/main" id="{07CC93C3-DFA0-43AD-52BB-AA6F13E3F0CC}"/>
                      </a:ext>
                    </a:extLst>
                  </xdr:cNvPr>
                  <xdr:cNvSpPr>
                    <a:spLocks noChangeArrowheads="1"/>
                  </xdr:cNvSpPr>
                </xdr:nvSpPr>
                <xdr:spPr bwMode="auto">
                  <a:xfrm>
                    <a:off x="1846" y="80"/>
                    <a:ext cx="3" cy="4"/>
                  </a:xfrm>
                  <a:prstGeom prst="rect">
                    <a:avLst/>
                  </a:prstGeom>
                  <a:solidFill>
                    <a:srgbClr val="FFFFFF"/>
                  </a:solidFill>
                  <a:ln w="9525">
                    <a:solidFill>
                      <a:srgbClr val="000000"/>
                    </a:solidFill>
                    <a:miter lim="800000"/>
                    <a:headEnd/>
                    <a:tailEnd/>
                  </a:ln>
                </xdr:spPr>
              </xdr:sp>
            </xdr:grpSp>
            <xdr:sp macro="" textlink="">
              <xdr:nvSpPr>
                <xdr:cNvPr id="92660" name="Rectangle 927">
                  <a:extLst>
                    <a:ext uri="{FF2B5EF4-FFF2-40B4-BE49-F238E27FC236}">
                      <a16:creationId xmlns:a16="http://schemas.microsoft.com/office/drawing/2014/main" id="{DA1CE998-DDA1-6B8D-12D7-90540152270B}"/>
                    </a:ext>
                  </a:extLst>
                </xdr:cNvPr>
                <xdr:cNvSpPr>
                  <a:spLocks noChangeArrowheads="1"/>
                </xdr:cNvSpPr>
              </xdr:nvSpPr>
              <xdr:spPr bwMode="auto">
                <a:xfrm>
                  <a:off x="1568" y="89"/>
                  <a:ext cx="17" cy="5"/>
                </a:xfrm>
                <a:prstGeom prst="rect">
                  <a:avLst/>
                </a:prstGeom>
                <a:solidFill>
                  <a:srgbClr val="FFFFFF"/>
                </a:solidFill>
                <a:ln w="9525">
                  <a:solidFill>
                    <a:srgbClr val="000000"/>
                  </a:solidFill>
                  <a:miter lim="800000"/>
                  <a:headEnd/>
                  <a:tailEnd/>
                </a:ln>
              </xdr:spPr>
            </xdr:sp>
            <xdr:grpSp>
              <xdr:nvGrpSpPr>
                <xdr:cNvPr id="92661" name="Group 928">
                  <a:extLst>
                    <a:ext uri="{FF2B5EF4-FFF2-40B4-BE49-F238E27FC236}">
                      <a16:creationId xmlns:a16="http://schemas.microsoft.com/office/drawing/2014/main" id="{A0BD9CB6-3D01-9D01-8916-4948DF20F8A5}"/>
                    </a:ext>
                  </a:extLst>
                </xdr:cNvPr>
                <xdr:cNvGrpSpPr>
                  <a:grpSpLocks/>
                </xdr:cNvGrpSpPr>
              </xdr:nvGrpSpPr>
              <xdr:grpSpPr bwMode="auto">
                <a:xfrm>
                  <a:off x="1599" y="65"/>
                  <a:ext cx="38" cy="30"/>
                  <a:chOff x="63" y="107"/>
                  <a:chExt cx="38" cy="32"/>
                </a:xfrm>
              </xdr:grpSpPr>
              <xdr:grpSp>
                <xdr:nvGrpSpPr>
                  <xdr:cNvPr id="92662" name="Group 929">
                    <a:extLst>
                      <a:ext uri="{FF2B5EF4-FFF2-40B4-BE49-F238E27FC236}">
                        <a16:creationId xmlns:a16="http://schemas.microsoft.com/office/drawing/2014/main" id="{14A89423-3002-DFEF-95CB-B704D080C1DC}"/>
                      </a:ext>
                    </a:extLst>
                  </xdr:cNvPr>
                  <xdr:cNvGrpSpPr>
                    <a:grpSpLocks/>
                  </xdr:cNvGrpSpPr>
                </xdr:nvGrpSpPr>
                <xdr:grpSpPr bwMode="auto">
                  <a:xfrm>
                    <a:off x="69" y="107"/>
                    <a:ext cx="26" cy="32"/>
                    <a:chOff x="172" y="107"/>
                    <a:chExt cx="26" cy="32"/>
                  </a:xfrm>
                </xdr:grpSpPr>
                <xdr:sp macro="" textlink="">
                  <xdr:nvSpPr>
                    <xdr:cNvPr id="92665" name="Oval 930">
                      <a:extLst>
                        <a:ext uri="{FF2B5EF4-FFF2-40B4-BE49-F238E27FC236}">
                          <a16:creationId xmlns:a16="http://schemas.microsoft.com/office/drawing/2014/main" id="{D52EA19F-0F11-01F2-7ED2-36EB884085BE}"/>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666" name="Line 931">
                      <a:extLst>
                        <a:ext uri="{FF2B5EF4-FFF2-40B4-BE49-F238E27FC236}">
                          <a16:creationId xmlns:a16="http://schemas.microsoft.com/office/drawing/2014/main" id="{C030CBE0-71D7-ADE7-29FB-FD497CE28D5C}"/>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67" name="Line 932">
                      <a:extLst>
                        <a:ext uri="{FF2B5EF4-FFF2-40B4-BE49-F238E27FC236}">
                          <a16:creationId xmlns:a16="http://schemas.microsoft.com/office/drawing/2014/main" id="{4CE57BDA-5D2A-3FA3-1B45-AD0673E35DD2}"/>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68" name="Line 933">
                      <a:extLst>
                        <a:ext uri="{FF2B5EF4-FFF2-40B4-BE49-F238E27FC236}">
                          <a16:creationId xmlns:a16="http://schemas.microsoft.com/office/drawing/2014/main" id="{0274273F-39D8-D880-81AA-AF77DF171690}"/>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69" name="Line 934">
                      <a:extLst>
                        <a:ext uri="{FF2B5EF4-FFF2-40B4-BE49-F238E27FC236}">
                          <a16:creationId xmlns:a16="http://schemas.microsoft.com/office/drawing/2014/main" id="{9C2EED75-5B35-C6D0-7441-549A971072C5}"/>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70" name="Line 935">
                      <a:extLst>
                        <a:ext uri="{FF2B5EF4-FFF2-40B4-BE49-F238E27FC236}">
                          <a16:creationId xmlns:a16="http://schemas.microsoft.com/office/drawing/2014/main" id="{F087622C-85A5-E301-078F-3E9BFFAA293E}"/>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71" name="Line 936">
                      <a:extLst>
                        <a:ext uri="{FF2B5EF4-FFF2-40B4-BE49-F238E27FC236}">
                          <a16:creationId xmlns:a16="http://schemas.microsoft.com/office/drawing/2014/main" id="{D852982D-2168-5A07-DF51-445A3671B766}"/>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72" name="Freeform 937">
                      <a:extLst>
                        <a:ext uri="{FF2B5EF4-FFF2-40B4-BE49-F238E27FC236}">
                          <a16:creationId xmlns:a16="http://schemas.microsoft.com/office/drawing/2014/main" id="{2DE3A331-B364-691F-2D61-D90BB39256E3}"/>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673" name="Freeform 938">
                      <a:extLst>
                        <a:ext uri="{FF2B5EF4-FFF2-40B4-BE49-F238E27FC236}">
                          <a16:creationId xmlns:a16="http://schemas.microsoft.com/office/drawing/2014/main" id="{20FCD263-D3F5-F8E2-6D7F-924142810C9D}"/>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674" name="Freeform 939">
                      <a:extLst>
                        <a:ext uri="{FF2B5EF4-FFF2-40B4-BE49-F238E27FC236}">
                          <a16:creationId xmlns:a16="http://schemas.microsoft.com/office/drawing/2014/main" id="{FB823AB3-0430-8FE1-D831-403D85E28CD3}"/>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675" name="Oval 940">
                      <a:extLst>
                        <a:ext uri="{FF2B5EF4-FFF2-40B4-BE49-F238E27FC236}">
                          <a16:creationId xmlns:a16="http://schemas.microsoft.com/office/drawing/2014/main" id="{39AA477B-C7D4-F48A-02B7-6AE00DE66330}"/>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676" name="Oval 941">
                      <a:extLst>
                        <a:ext uri="{FF2B5EF4-FFF2-40B4-BE49-F238E27FC236}">
                          <a16:creationId xmlns:a16="http://schemas.microsoft.com/office/drawing/2014/main" id="{55B54C44-76D4-0768-58C5-892B05ABB159}"/>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663" name="Rectangle 942">
                    <a:extLst>
                      <a:ext uri="{FF2B5EF4-FFF2-40B4-BE49-F238E27FC236}">
                        <a16:creationId xmlns:a16="http://schemas.microsoft.com/office/drawing/2014/main" id="{CBD967DB-ABEB-5230-5BE3-0E4D655FC1E6}"/>
                      </a:ext>
                    </a:extLst>
                  </xdr:cNvPr>
                  <xdr:cNvSpPr>
                    <a:spLocks noChangeArrowheads="1"/>
                  </xdr:cNvSpPr>
                </xdr:nvSpPr>
                <xdr:spPr bwMode="auto">
                  <a:xfrm>
                    <a:off x="96" y="115"/>
                    <a:ext cx="5" cy="17"/>
                  </a:xfrm>
                  <a:prstGeom prst="rect">
                    <a:avLst/>
                  </a:prstGeom>
                  <a:solidFill>
                    <a:srgbClr val="FFFFFF"/>
                  </a:solidFill>
                  <a:ln w="9525">
                    <a:solidFill>
                      <a:srgbClr val="000000"/>
                    </a:solidFill>
                    <a:miter lim="800000"/>
                    <a:headEnd/>
                    <a:tailEnd/>
                  </a:ln>
                </xdr:spPr>
              </xdr:sp>
              <xdr:sp macro="" textlink="">
                <xdr:nvSpPr>
                  <xdr:cNvPr id="92664" name="Rectangle 943">
                    <a:extLst>
                      <a:ext uri="{FF2B5EF4-FFF2-40B4-BE49-F238E27FC236}">
                        <a16:creationId xmlns:a16="http://schemas.microsoft.com/office/drawing/2014/main" id="{19F405FE-CFD9-6879-FCDC-CA0F7D18541C}"/>
                      </a:ext>
                    </a:extLst>
                  </xdr:cNvPr>
                  <xdr:cNvSpPr>
                    <a:spLocks noChangeArrowheads="1"/>
                  </xdr:cNvSpPr>
                </xdr:nvSpPr>
                <xdr:spPr bwMode="auto">
                  <a:xfrm>
                    <a:off x="63" y="115"/>
                    <a:ext cx="5" cy="17"/>
                  </a:xfrm>
                  <a:prstGeom prst="rect">
                    <a:avLst/>
                  </a:prstGeom>
                  <a:solidFill>
                    <a:srgbClr val="FFFFFF"/>
                  </a:solidFill>
                  <a:ln w="9525">
                    <a:solidFill>
                      <a:srgbClr val="000000"/>
                    </a:solidFill>
                    <a:miter lim="800000"/>
                    <a:headEnd/>
                    <a:tailEnd/>
                  </a:ln>
                </xdr:spPr>
              </xdr:sp>
            </xdr:grpSp>
          </xdr:grpSp>
          <xdr:grpSp>
            <xdr:nvGrpSpPr>
              <xdr:cNvPr id="92647" name="Group 944">
                <a:extLst>
                  <a:ext uri="{FF2B5EF4-FFF2-40B4-BE49-F238E27FC236}">
                    <a16:creationId xmlns:a16="http://schemas.microsoft.com/office/drawing/2014/main" id="{1C928699-11A2-D37E-0043-0B431DFFFF2C}"/>
                  </a:ext>
                </a:extLst>
              </xdr:cNvPr>
              <xdr:cNvGrpSpPr>
                <a:grpSpLocks/>
              </xdr:cNvGrpSpPr>
            </xdr:nvGrpSpPr>
            <xdr:grpSpPr bwMode="auto">
              <a:xfrm>
                <a:off x="1022" y="171"/>
                <a:ext cx="70" cy="46"/>
                <a:chOff x="1022" y="171"/>
                <a:chExt cx="70" cy="46"/>
              </a:xfrm>
            </xdr:grpSpPr>
            <xdr:grpSp>
              <xdr:nvGrpSpPr>
                <xdr:cNvPr id="92648" name="Group 945">
                  <a:extLst>
                    <a:ext uri="{FF2B5EF4-FFF2-40B4-BE49-F238E27FC236}">
                      <a16:creationId xmlns:a16="http://schemas.microsoft.com/office/drawing/2014/main" id="{252A6986-D643-99CD-A7DB-FD7BA890C075}"/>
                    </a:ext>
                  </a:extLst>
                </xdr:cNvPr>
                <xdr:cNvGrpSpPr>
                  <a:grpSpLocks/>
                </xdr:cNvGrpSpPr>
              </xdr:nvGrpSpPr>
              <xdr:grpSpPr bwMode="auto">
                <a:xfrm>
                  <a:off x="1022" y="171"/>
                  <a:ext cx="70" cy="46"/>
                  <a:chOff x="97" y="100"/>
                  <a:chExt cx="70" cy="47"/>
                </a:xfrm>
              </xdr:grpSpPr>
              <xdr:sp macro="" textlink="">
                <xdr:nvSpPr>
                  <xdr:cNvPr id="92651" name="Line 946">
                    <a:extLst>
                      <a:ext uri="{FF2B5EF4-FFF2-40B4-BE49-F238E27FC236}">
                        <a16:creationId xmlns:a16="http://schemas.microsoft.com/office/drawing/2014/main" id="{5A89F469-74CD-0148-D4F2-2870689F4154}"/>
                      </a:ext>
                    </a:extLst>
                  </xdr:cNvPr>
                  <xdr:cNvSpPr>
                    <a:spLocks noChangeShapeType="1"/>
                  </xdr:cNvSpPr>
                </xdr:nvSpPr>
                <xdr:spPr bwMode="auto">
                  <a:xfrm flipV="1">
                    <a:off x="97" y="136"/>
                    <a:ext cx="12"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52" name="Line 947">
                    <a:extLst>
                      <a:ext uri="{FF2B5EF4-FFF2-40B4-BE49-F238E27FC236}">
                        <a16:creationId xmlns:a16="http://schemas.microsoft.com/office/drawing/2014/main" id="{45565286-AD22-0F8C-9171-2BCB3D8CC45D}"/>
                      </a:ext>
                    </a:extLst>
                  </xdr:cNvPr>
                  <xdr:cNvSpPr>
                    <a:spLocks noChangeShapeType="1"/>
                  </xdr:cNvSpPr>
                </xdr:nvSpPr>
                <xdr:spPr bwMode="auto">
                  <a:xfrm flipH="1" flipV="1">
                    <a:off x="155" y="137"/>
                    <a:ext cx="12" cy="1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53" name="Line 948">
                    <a:extLst>
                      <a:ext uri="{FF2B5EF4-FFF2-40B4-BE49-F238E27FC236}">
                        <a16:creationId xmlns:a16="http://schemas.microsoft.com/office/drawing/2014/main" id="{47D585F9-BFDB-2022-03F6-63C9790A6D59}"/>
                      </a:ext>
                    </a:extLst>
                  </xdr:cNvPr>
                  <xdr:cNvSpPr>
                    <a:spLocks noChangeShapeType="1"/>
                  </xdr:cNvSpPr>
                </xdr:nvSpPr>
                <xdr:spPr bwMode="auto">
                  <a:xfrm flipV="1">
                    <a:off x="109" y="114"/>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54" name="Line 949">
                    <a:extLst>
                      <a:ext uri="{FF2B5EF4-FFF2-40B4-BE49-F238E27FC236}">
                        <a16:creationId xmlns:a16="http://schemas.microsoft.com/office/drawing/2014/main" id="{39E616F2-2F8B-6DFE-01CA-9835BE96A24D}"/>
                      </a:ext>
                    </a:extLst>
                  </xdr:cNvPr>
                  <xdr:cNvSpPr>
                    <a:spLocks noChangeShapeType="1"/>
                  </xdr:cNvSpPr>
                </xdr:nvSpPr>
                <xdr:spPr bwMode="auto">
                  <a:xfrm flipV="1">
                    <a:off x="155" y="113"/>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55" name="Line 950">
                    <a:extLst>
                      <a:ext uri="{FF2B5EF4-FFF2-40B4-BE49-F238E27FC236}">
                        <a16:creationId xmlns:a16="http://schemas.microsoft.com/office/drawing/2014/main" id="{EA273709-B793-D4F0-86BD-14425A56DB54}"/>
                      </a:ext>
                    </a:extLst>
                  </xdr:cNvPr>
                  <xdr:cNvSpPr>
                    <a:spLocks noChangeShapeType="1"/>
                  </xdr:cNvSpPr>
                </xdr:nvSpPr>
                <xdr:spPr bwMode="auto">
                  <a:xfrm flipV="1">
                    <a:off x="109" y="108"/>
                    <a:ext cx="4" cy="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56" name="Line 951">
                    <a:extLst>
                      <a:ext uri="{FF2B5EF4-FFF2-40B4-BE49-F238E27FC236}">
                        <a16:creationId xmlns:a16="http://schemas.microsoft.com/office/drawing/2014/main" id="{8F20E176-6C5F-29E9-298A-7AAC2D11C9D3}"/>
                      </a:ext>
                    </a:extLst>
                  </xdr:cNvPr>
                  <xdr:cNvSpPr>
                    <a:spLocks noChangeShapeType="1"/>
                  </xdr:cNvSpPr>
                </xdr:nvSpPr>
                <xdr:spPr bwMode="auto">
                  <a:xfrm flipH="1" flipV="1">
                    <a:off x="151" y="107"/>
                    <a:ext cx="4" cy="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57" name="Rectangle 952">
                    <a:extLst>
                      <a:ext uri="{FF2B5EF4-FFF2-40B4-BE49-F238E27FC236}">
                        <a16:creationId xmlns:a16="http://schemas.microsoft.com/office/drawing/2014/main" id="{5343CB6B-D113-FC84-5A3A-D4DF8FC40782}"/>
                      </a:ext>
                    </a:extLst>
                  </xdr:cNvPr>
                  <xdr:cNvSpPr>
                    <a:spLocks noChangeArrowheads="1"/>
                  </xdr:cNvSpPr>
                </xdr:nvSpPr>
                <xdr:spPr bwMode="auto">
                  <a:xfrm>
                    <a:off x="110" y="100"/>
                    <a:ext cx="44" cy="8"/>
                  </a:xfrm>
                  <a:prstGeom prst="rect">
                    <a:avLst/>
                  </a:prstGeom>
                  <a:solidFill>
                    <a:srgbClr val="FFFFFF"/>
                  </a:solidFill>
                  <a:ln w="9525">
                    <a:solidFill>
                      <a:srgbClr val="000000"/>
                    </a:solidFill>
                    <a:miter lim="800000"/>
                    <a:headEnd/>
                    <a:tailEnd/>
                  </a:ln>
                </xdr:spPr>
              </xdr:sp>
            </xdr:grpSp>
            <xdr:sp macro="" textlink="">
              <xdr:nvSpPr>
                <xdr:cNvPr id="92649" name="Rectangle 953">
                  <a:extLst>
                    <a:ext uri="{FF2B5EF4-FFF2-40B4-BE49-F238E27FC236}">
                      <a16:creationId xmlns:a16="http://schemas.microsoft.com/office/drawing/2014/main" id="{ABF570A6-BC52-9163-49A5-9CB7F3137351}"/>
                    </a:ext>
                  </a:extLst>
                </xdr:cNvPr>
                <xdr:cNvSpPr>
                  <a:spLocks noChangeArrowheads="1"/>
                </xdr:cNvSpPr>
              </xdr:nvSpPr>
              <xdr:spPr bwMode="auto">
                <a:xfrm>
                  <a:off x="1027" y="186"/>
                  <a:ext cx="6" cy="16"/>
                </a:xfrm>
                <a:prstGeom prst="rect">
                  <a:avLst/>
                </a:prstGeom>
                <a:solidFill>
                  <a:srgbClr val="FFFFFF"/>
                </a:solidFill>
                <a:ln w="9525">
                  <a:solidFill>
                    <a:srgbClr val="000000"/>
                  </a:solidFill>
                  <a:miter lim="800000"/>
                  <a:headEnd/>
                  <a:tailEnd/>
                </a:ln>
              </xdr:spPr>
            </xdr:sp>
            <xdr:sp macro="" textlink="">
              <xdr:nvSpPr>
                <xdr:cNvPr id="92650" name="Rectangle 954">
                  <a:extLst>
                    <a:ext uri="{FF2B5EF4-FFF2-40B4-BE49-F238E27FC236}">
                      <a16:creationId xmlns:a16="http://schemas.microsoft.com/office/drawing/2014/main" id="{1164320C-AA39-42D9-5E31-0F519156E0CE}"/>
                    </a:ext>
                  </a:extLst>
                </xdr:cNvPr>
                <xdr:cNvSpPr>
                  <a:spLocks noChangeArrowheads="1"/>
                </xdr:cNvSpPr>
              </xdr:nvSpPr>
              <xdr:spPr bwMode="auto">
                <a:xfrm>
                  <a:off x="1081" y="186"/>
                  <a:ext cx="6" cy="16"/>
                </a:xfrm>
                <a:prstGeom prst="rect">
                  <a:avLst/>
                </a:prstGeom>
                <a:solidFill>
                  <a:srgbClr val="FFFFFF"/>
                </a:solidFill>
                <a:ln w="9525">
                  <a:solidFill>
                    <a:srgbClr val="000000"/>
                  </a:solidFill>
                  <a:miter lim="800000"/>
                  <a:headEnd/>
                  <a:tailEnd/>
                </a:ln>
              </xdr:spPr>
            </xdr:sp>
          </xdr:grpSp>
        </xdr:grpSp>
        <xdr:sp macro="" textlink="">
          <xdr:nvSpPr>
            <xdr:cNvPr id="92634" name="Rectangle 955">
              <a:extLst>
                <a:ext uri="{FF2B5EF4-FFF2-40B4-BE49-F238E27FC236}">
                  <a16:creationId xmlns:a16="http://schemas.microsoft.com/office/drawing/2014/main" id="{25186C3B-F22A-2E63-37D5-ABF115131F09}"/>
                </a:ext>
              </a:extLst>
            </xdr:cNvPr>
            <xdr:cNvSpPr>
              <a:spLocks noChangeArrowheads="1"/>
            </xdr:cNvSpPr>
          </xdr:nvSpPr>
          <xdr:spPr bwMode="auto">
            <a:xfrm>
              <a:off x="1040" y="158"/>
              <a:ext cx="3" cy="3"/>
            </a:xfrm>
            <a:prstGeom prst="rect">
              <a:avLst/>
            </a:prstGeom>
            <a:solidFill>
              <a:srgbClr val="FFFFFF"/>
            </a:solidFill>
            <a:ln w="9525">
              <a:solidFill>
                <a:srgbClr val="000000"/>
              </a:solidFill>
              <a:miter lim="800000"/>
              <a:headEnd/>
              <a:tailEnd/>
            </a:ln>
          </xdr:spPr>
        </xdr:sp>
        <xdr:sp macro="" textlink="">
          <xdr:nvSpPr>
            <xdr:cNvPr id="92635" name="Rectangle 956">
              <a:extLst>
                <a:ext uri="{FF2B5EF4-FFF2-40B4-BE49-F238E27FC236}">
                  <a16:creationId xmlns:a16="http://schemas.microsoft.com/office/drawing/2014/main" id="{9F2FC103-93EC-AAE8-BF3C-4B583FAB746C}"/>
                </a:ext>
              </a:extLst>
            </xdr:cNvPr>
            <xdr:cNvSpPr>
              <a:spLocks noChangeArrowheads="1"/>
            </xdr:cNvSpPr>
          </xdr:nvSpPr>
          <xdr:spPr bwMode="auto">
            <a:xfrm>
              <a:off x="1051" y="158"/>
              <a:ext cx="3" cy="3"/>
            </a:xfrm>
            <a:prstGeom prst="rect">
              <a:avLst/>
            </a:prstGeom>
            <a:solidFill>
              <a:srgbClr val="FFFFFF"/>
            </a:solidFill>
            <a:ln w="9525">
              <a:solidFill>
                <a:srgbClr val="000000"/>
              </a:solidFill>
              <a:miter lim="800000"/>
              <a:headEnd/>
              <a:tailEnd/>
            </a:ln>
          </xdr:spPr>
        </xdr:sp>
        <xdr:sp macro="" textlink="">
          <xdr:nvSpPr>
            <xdr:cNvPr id="92636" name="Rectangle 957">
              <a:extLst>
                <a:ext uri="{FF2B5EF4-FFF2-40B4-BE49-F238E27FC236}">
                  <a16:creationId xmlns:a16="http://schemas.microsoft.com/office/drawing/2014/main" id="{9B6F0395-812C-D226-33A5-F652A78840E5}"/>
                </a:ext>
              </a:extLst>
            </xdr:cNvPr>
            <xdr:cNvSpPr>
              <a:spLocks noChangeArrowheads="1"/>
            </xdr:cNvSpPr>
          </xdr:nvSpPr>
          <xdr:spPr bwMode="auto">
            <a:xfrm>
              <a:off x="1063" y="158"/>
              <a:ext cx="3" cy="3"/>
            </a:xfrm>
            <a:prstGeom prst="rect">
              <a:avLst/>
            </a:prstGeom>
            <a:solidFill>
              <a:srgbClr val="FFFFFF"/>
            </a:solidFill>
            <a:ln w="9525">
              <a:solidFill>
                <a:srgbClr val="000000"/>
              </a:solidFill>
              <a:miter lim="800000"/>
              <a:headEnd/>
              <a:tailEnd/>
            </a:ln>
          </xdr:spPr>
        </xdr:sp>
        <xdr:sp macro="" textlink="">
          <xdr:nvSpPr>
            <xdr:cNvPr id="92637" name="Rectangle 958">
              <a:extLst>
                <a:ext uri="{FF2B5EF4-FFF2-40B4-BE49-F238E27FC236}">
                  <a16:creationId xmlns:a16="http://schemas.microsoft.com/office/drawing/2014/main" id="{C85CC93B-67C7-98D6-4928-2745C3D5992B}"/>
                </a:ext>
              </a:extLst>
            </xdr:cNvPr>
            <xdr:cNvSpPr>
              <a:spLocks noChangeArrowheads="1"/>
            </xdr:cNvSpPr>
          </xdr:nvSpPr>
          <xdr:spPr bwMode="auto">
            <a:xfrm>
              <a:off x="1073" y="158"/>
              <a:ext cx="3" cy="3"/>
            </a:xfrm>
            <a:prstGeom prst="rect">
              <a:avLst/>
            </a:prstGeom>
            <a:solidFill>
              <a:srgbClr val="FFFFFF"/>
            </a:solidFill>
            <a:ln w="9525">
              <a:solidFill>
                <a:srgbClr val="000000"/>
              </a:solidFill>
              <a:miter lim="800000"/>
              <a:headEnd/>
              <a:tailEnd/>
            </a:ln>
          </xdr:spPr>
        </xdr:sp>
        <xdr:sp macro="" textlink="">
          <xdr:nvSpPr>
            <xdr:cNvPr id="92638" name="Rectangle 959">
              <a:extLst>
                <a:ext uri="{FF2B5EF4-FFF2-40B4-BE49-F238E27FC236}">
                  <a16:creationId xmlns:a16="http://schemas.microsoft.com/office/drawing/2014/main" id="{899F334E-9A69-6F90-8B9F-710406D4B3AC}"/>
                </a:ext>
              </a:extLst>
            </xdr:cNvPr>
            <xdr:cNvSpPr>
              <a:spLocks noChangeArrowheads="1"/>
            </xdr:cNvSpPr>
          </xdr:nvSpPr>
          <xdr:spPr bwMode="auto">
            <a:xfrm>
              <a:off x="1039" y="179"/>
              <a:ext cx="3" cy="3"/>
            </a:xfrm>
            <a:prstGeom prst="rect">
              <a:avLst/>
            </a:prstGeom>
            <a:solidFill>
              <a:srgbClr val="FFFFFF"/>
            </a:solidFill>
            <a:ln w="9525">
              <a:solidFill>
                <a:srgbClr val="000000"/>
              </a:solidFill>
              <a:miter lim="800000"/>
              <a:headEnd/>
              <a:tailEnd/>
            </a:ln>
          </xdr:spPr>
        </xdr:sp>
        <xdr:sp macro="" textlink="">
          <xdr:nvSpPr>
            <xdr:cNvPr id="92639" name="Rectangle 960">
              <a:extLst>
                <a:ext uri="{FF2B5EF4-FFF2-40B4-BE49-F238E27FC236}">
                  <a16:creationId xmlns:a16="http://schemas.microsoft.com/office/drawing/2014/main" id="{ABC8D8C7-2319-E32B-F53B-1FFF1DFD4ABC}"/>
                </a:ext>
              </a:extLst>
            </xdr:cNvPr>
            <xdr:cNvSpPr>
              <a:spLocks noChangeArrowheads="1"/>
            </xdr:cNvSpPr>
          </xdr:nvSpPr>
          <xdr:spPr bwMode="auto">
            <a:xfrm>
              <a:off x="1050" y="179"/>
              <a:ext cx="3" cy="3"/>
            </a:xfrm>
            <a:prstGeom prst="rect">
              <a:avLst/>
            </a:prstGeom>
            <a:solidFill>
              <a:srgbClr val="FFFFFF"/>
            </a:solidFill>
            <a:ln w="9525">
              <a:solidFill>
                <a:srgbClr val="000000"/>
              </a:solidFill>
              <a:miter lim="800000"/>
              <a:headEnd/>
              <a:tailEnd/>
            </a:ln>
          </xdr:spPr>
        </xdr:sp>
        <xdr:sp macro="" textlink="">
          <xdr:nvSpPr>
            <xdr:cNvPr id="92640" name="Rectangle 961">
              <a:extLst>
                <a:ext uri="{FF2B5EF4-FFF2-40B4-BE49-F238E27FC236}">
                  <a16:creationId xmlns:a16="http://schemas.microsoft.com/office/drawing/2014/main" id="{7E1AD3B8-5DB7-1B4B-8C74-27C2B0DD7A97}"/>
                </a:ext>
              </a:extLst>
            </xdr:cNvPr>
            <xdr:cNvSpPr>
              <a:spLocks noChangeArrowheads="1"/>
            </xdr:cNvSpPr>
          </xdr:nvSpPr>
          <xdr:spPr bwMode="auto">
            <a:xfrm>
              <a:off x="1062" y="179"/>
              <a:ext cx="3" cy="3"/>
            </a:xfrm>
            <a:prstGeom prst="rect">
              <a:avLst/>
            </a:prstGeom>
            <a:solidFill>
              <a:srgbClr val="FFFFFF"/>
            </a:solidFill>
            <a:ln w="9525">
              <a:solidFill>
                <a:srgbClr val="000000"/>
              </a:solidFill>
              <a:miter lim="800000"/>
              <a:headEnd/>
              <a:tailEnd/>
            </a:ln>
          </xdr:spPr>
        </xdr:sp>
        <xdr:sp macro="" textlink="">
          <xdr:nvSpPr>
            <xdr:cNvPr id="92641" name="Rectangle 962">
              <a:extLst>
                <a:ext uri="{FF2B5EF4-FFF2-40B4-BE49-F238E27FC236}">
                  <a16:creationId xmlns:a16="http://schemas.microsoft.com/office/drawing/2014/main" id="{ED7E23D5-45E2-9777-C30C-579EA419BD89}"/>
                </a:ext>
              </a:extLst>
            </xdr:cNvPr>
            <xdr:cNvSpPr>
              <a:spLocks noChangeArrowheads="1"/>
            </xdr:cNvSpPr>
          </xdr:nvSpPr>
          <xdr:spPr bwMode="auto">
            <a:xfrm>
              <a:off x="1073" y="179"/>
              <a:ext cx="3" cy="3"/>
            </a:xfrm>
            <a:prstGeom prst="rect">
              <a:avLst/>
            </a:prstGeom>
            <a:solidFill>
              <a:srgbClr val="FFFFFF"/>
            </a:solidFill>
            <a:ln w="9525">
              <a:solidFill>
                <a:srgbClr val="000000"/>
              </a:solidFill>
              <a:miter lim="800000"/>
              <a:headEnd/>
              <a:tailEnd/>
            </a:ln>
          </xdr:spPr>
        </xdr:sp>
      </xdr:grpSp>
    </xdr:grpSp>
    <xdr:clientData fLocksWithSheet="0"/>
  </xdr:twoCellAnchor>
  <xdr:twoCellAnchor>
    <xdr:from>
      <xdr:col>17</xdr:col>
      <xdr:colOff>100693</xdr:colOff>
      <xdr:row>202</xdr:row>
      <xdr:rowOff>138793</xdr:rowOff>
    </xdr:from>
    <xdr:to>
      <xdr:col>20</xdr:col>
      <xdr:colOff>89807</xdr:colOff>
      <xdr:row>215</xdr:row>
      <xdr:rowOff>84364</xdr:rowOff>
    </xdr:to>
    <xdr:grpSp>
      <xdr:nvGrpSpPr>
        <xdr:cNvPr id="92290" name="Group 963">
          <a:extLst>
            <a:ext uri="{FF2B5EF4-FFF2-40B4-BE49-F238E27FC236}">
              <a16:creationId xmlns:a16="http://schemas.microsoft.com/office/drawing/2014/main" id="{ABC6B851-5A46-D080-02CC-B10593C77AF5}"/>
            </a:ext>
          </a:extLst>
        </xdr:cNvPr>
        <xdr:cNvGrpSpPr>
          <a:grpSpLocks/>
        </xdr:cNvGrpSpPr>
      </xdr:nvGrpSpPr>
      <xdr:grpSpPr bwMode="auto">
        <a:xfrm>
          <a:off x="11095265" y="38424491"/>
          <a:ext cx="1929331" cy="2234772"/>
          <a:chOff x="1019" y="116"/>
          <a:chExt cx="191" cy="225"/>
        </a:xfrm>
      </xdr:grpSpPr>
      <xdr:sp macro="" textlink="">
        <xdr:nvSpPr>
          <xdr:cNvPr id="92537" name="Line 964">
            <a:extLst>
              <a:ext uri="{FF2B5EF4-FFF2-40B4-BE49-F238E27FC236}">
                <a16:creationId xmlns:a16="http://schemas.microsoft.com/office/drawing/2014/main" id="{C82CEAB2-8FB0-2973-8EC2-906CCD308CAC}"/>
              </a:ext>
            </a:extLst>
          </xdr:cNvPr>
          <xdr:cNvSpPr>
            <a:spLocks noChangeShapeType="1"/>
          </xdr:cNvSpPr>
        </xdr:nvSpPr>
        <xdr:spPr bwMode="auto">
          <a:xfrm flipV="1">
            <a:off x="1064" y="306"/>
            <a:ext cx="17" cy="1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38" name="Line 965">
            <a:extLst>
              <a:ext uri="{FF2B5EF4-FFF2-40B4-BE49-F238E27FC236}">
                <a16:creationId xmlns:a16="http://schemas.microsoft.com/office/drawing/2014/main" id="{E4668F74-CB7D-E7FF-EAA8-D10A5A827040}"/>
              </a:ext>
            </a:extLst>
          </xdr:cNvPr>
          <xdr:cNvSpPr>
            <a:spLocks noChangeShapeType="1"/>
          </xdr:cNvSpPr>
        </xdr:nvSpPr>
        <xdr:spPr bwMode="auto">
          <a:xfrm flipH="1" flipV="1">
            <a:off x="1148" y="308"/>
            <a:ext cx="17"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39" name="Line 966">
            <a:extLst>
              <a:ext uri="{FF2B5EF4-FFF2-40B4-BE49-F238E27FC236}">
                <a16:creationId xmlns:a16="http://schemas.microsoft.com/office/drawing/2014/main" id="{2C6F0210-C858-A931-BD10-A5D6A1D0F3C6}"/>
              </a:ext>
            </a:extLst>
          </xdr:cNvPr>
          <xdr:cNvSpPr>
            <a:spLocks noChangeShapeType="1"/>
          </xdr:cNvSpPr>
        </xdr:nvSpPr>
        <xdr:spPr bwMode="auto">
          <a:xfrm flipV="1">
            <a:off x="1081" y="272"/>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40" name="Line 967">
            <a:extLst>
              <a:ext uri="{FF2B5EF4-FFF2-40B4-BE49-F238E27FC236}">
                <a16:creationId xmlns:a16="http://schemas.microsoft.com/office/drawing/2014/main" id="{84249D19-3D6E-1711-6FD5-7F373EC36A4A}"/>
              </a:ext>
            </a:extLst>
          </xdr:cNvPr>
          <xdr:cNvSpPr>
            <a:spLocks noChangeShapeType="1"/>
          </xdr:cNvSpPr>
        </xdr:nvSpPr>
        <xdr:spPr bwMode="auto">
          <a:xfrm flipV="1">
            <a:off x="1148" y="270"/>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41" name="Line 968">
            <a:extLst>
              <a:ext uri="{FF2B5EF4-FFF2-40B4-BE49-F238E27FC236}">
                <a16:creationId xmlns:a16="http://schemas.microsoft.com/office/drawing/2014/main" id="{115C020F-5D91-CAAD-F2A2-5CCD4816FA7A}"/>
              </a:ext>
            </a:extLst>
          </xdr:cNvPr>
          <xdr:cNvSpPr>
            <a:spLocks noChangeShapeType="1"/>
          </xdr:cNvSpPr>
        </xdr:nvSpPr>
        <xdr:spPr bwMode="auto">
          <a:xfrm flipV="1">
            <a:off x="1081" y="262"/>
            <a:ext cx="6" cy="1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42" name="Line 969">
            <a:extLst>
              <a:ext uri="{FF2B5EF4-FFF2-40B4-BE49-F238E27FC236}">
                <a16:creationId xmlns:a16="http://schemas.microsoft.com/office/drawing/2014/main" id="{119802E5-F484-33EE-9902-3220472187B1}"/>
              </a:ext>
            </a:extLst>
          </xdr:cNvPr>
          <xdr:cNvSpPr>
            <a:spLocks noChangeShapeType="1"/>
          </xdr:cNvSpPr>
        </xdr:nvSpPr>
        <xdr:spPr bwMode="auto">
          <a:xfrm flipH="1" flipV="1">
            <a:off x="1142" y="261"/>
            <a:ext cx="6"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43" name="Rectangle 970">
            <a:extLst>
              <a:ext uri="{FF2B5EF4-FFF2-40B4-BE49-F238E27FC236}">
                <a16:creationId xmlns:a16="http://schemas.microsoft.com/office/drawing/2014/main" id="{DF081D62-DF72-718F-AEB9-B16687F44651}"/>
              </a:ext>
            </a:extLst>
          </xdr:cNvPr>
          <xdr:cNvSpPr>
            <a:spLocks noChangeArrowheads="1"/>
          </xdr:cNvSpPr>
        </xdr:nvSpPr>
        <xdr:spPr bwMode="auto">
          <a:xfrm>
            <a:off x="1083" y="249"/>
            <a:ext cx="63" cy="13"/>
          </a:xfrm>
          <a:prstGeom prst="rect">
            <a:avLst/>
          </a:prstGeom>
          <a:solidFill>
            <a:srgbClr val="FFFFFF"/>
          </a:solidFill>
          <a:ln w="9525">
            <a:solidFill>
              <a:srgbClr val="000000"/>
            </a:solidFill>
            <a:miter lim="800000"/>
            <a:headEnd/>
            <a:tailEnd/>
          </a:ln>
        </xdr:spPr>
      </xdr:sp>
      <xdr:sp macro="" textlink="">
        <xdr:nvSpPr>
          <xdr:cNvPr id="92544" name="Rectangle 971">
            <a:extLst>
              <a:ext uri="{FF2B5EF4-FFF2-40B4-BE49-F238E27FC236}">
                <a16:creationId xmlns:a16="http://schemas.microsoft.com/office/drawing/2014/main" id="{5F9D7077-9024-7E1D-8590-391BBA8E042B}"/>
              </a:ext>
            </a:extLst>
          </xdr:cNvPr>
          <xdr:cNvSpPr>
            <a:spLocks noChangeArrowheads="1"/>
          </xdr:cNvSpPr>
        </xdr:nvSpPr>
        <xdr:spPr bwMode="auto">
          <a:xfrm>
            <a:off x="1149" y="280"/>
            <a:ext cx="22" cy="12"/>
          </a:xfrm>
          <a:prstGeom prst="rect">
            <a:avLst/>
          </a:prstGeom>
          <a:solidFill>
            <a:srgbClr val="FFFFFF"/>
          </a:solidFill>
          <a:ln w="9525">
            <a:solidFill>
              <a:srgbClr val="000000"/>
            </a:solidFill>
            <a:miter lim="800000"/>
            <a:headEnd/>
            <a:tailEnd/>
          </a:ln>
        </xdr:spPr>
      </xdr:sp>
      <xdr:sp macro="" textlink="">
        <xdr:nvSpPr>
          <xdr:cNvPr id="92545" name="Rectangle 972">
            <a:extLst>
              <a:ext uri="{FF2B5EF4-FFF2-40B4-BE49-F238E27FC236}">
                <a16:creationId xmlns:a16="http://schemas.microsoft.com/office/drawing/2014/main" id="{446DB9D0-9844-B613-65DF-E8FF9ACC3AC7}"/>
              </a:ext>
            </a:extLst>
          </xdr:cNvPr>
          <xdr:cNvSpPr>
            <a:spLocks noChangeArrowheads="1"/>
          </xdr:cNvSpPr>
        </xdr:nvSpPr>
        <xdr:spPr bwMode="auto">
          <a:xfrm>
            <a:off x="1058" y="280"/>
            <a:ext cx="22" cy="12"/>
          </a:xfrm>
          <a:prstGeom prst="rect">
            <a:avLst/>
          </a:prstGeom>
          <a:solidFill>
            <a:srgbClr val="FFFFFF"/>
          </a:solidFill>
          <a:ln w="9525">
            <a:solidFill>
              <a:srgbClr val="000000"/>
            </a:solidFill>
            <a:miter lim="800000"/>
            <a:headEnd/>
            <a:tailEnd/>
          </a:ln>
        </xdr:spPr>
      </xdr:sp>
      <xdr:grpSp>
        <xdr:nvGrpSpPr>
          <xdr:cNvPr id="92546" name="Group 973">
            <a:extLst>
              <a:ext uri="{FF2B5EF4-FFF2-40B4-BE49-F238E27FC236}">
                <a16:creationId xmlns:a16="http://schemas.microsoft.com/office/drawing/2014/main" id="{0831746F-1F87-3994-9261-08618B602CA4}"/>
              </a:ext>
            </a:extLst>
          </xdr:cNvPr>
          <xdr:cNvGrpSpPr>
            <a:grpSpLocks/>
          </xdr:cNvGrpSpPr>
        </xdr:nvGrpSpPr>
        <xdr:grpSpPr bwMode="auto">
          <a:xfrm>
            <a:off x="1172" y="261"/>
            <a:ext cx="38" cy="50"/>
            <a:chOff x="172" y="107"/>
            <a:chExt cx="26" cy="32"/>
          </a:xfrm>
        </xdr:grpSpPr>
        <xdr:sp macro="" textlink="">
          <xdr:nvSpPr>
            <xdr:cNvPr id="92619" name="Oval 974">
              <a:extLst>
                <a:ext uri="{FF2B5EF4-FFF2-40B4-BE49-F238E27FC236}">
                  <a16:creationId xmlns:a16="http://schemas.microsoft.com/office/drawing/2014/main" id="{5EDCF558-CF89-49DB-EB57-4B53B3159D09}"/>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620" name="Line 975">
              <a:extLst>
                <a:ext uri="{FF2B5EF4-FFF2-40B4-BE49-F238E27FC236}">
                  <a16:creationId xmlns:a16="http://schemas.microsoft.com/office/drawing/2014/main" id="{F585E9B5-9188-68F7-A3B0-323140FCD15F}"/>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21" name="Line 976">
              <a:extLst>
                <a:ext uri="{FF2B5EF4-FFF2-40B4-BE49-F238E27FC236}">
                  <a16:creationId xmlns:a16="http://schemas.microsoft.com/office/drawing/2014/main" id="{DE7FCBAE-6087-BAE0-34E9-B51613A37072}"/>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22" name="Line 977">
              <a:extLst>
                <a:ext uri="{FF2B5EF4-FFF2-40B4-BE49-F238E27FC236}">
                  <a16:creationId xmlns:a16="http://schemas.microsoft.com/office/drawing/2014/main" id="{B81D52E9-1A29-F509-75B6-931B5DDB8733}"/>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23" name="Line 978">
              <a:extLst>
                <a:ext uri="{FF2B5EF4-FFF2-40B4-BE49-F238E27FC236}">
                  <a16:creationId xmlns:a16="http://schemas.microsoft.com/office/drawing/2014/main" id="{EF3A264B-05B7-6BEB-D6FD-681D8F06CD83}"/>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24" name="Line 979">
              <a:extLst>
                <a:ext uri="{FF2B5EF4-FFF2-40B4-BE49-F238E27FC236}">
                  <a16:creationId xmlns:a16="http://schemas.microsoft.com/office/drawing/2014/main" id="{E1C7A0E0-3583-C47F-11D8-9A354CA7B0BA}"/>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25" name="Line 980">
              <a:extLst>
                <a:ext uri="{FF2B5EF4-FFF2-40B4-BE49-F238E27FC236}">
                  <a16:creationId xmlns:a16="http://schemas.microsoft.com/office/drawing/2014/main" id="{7921225B-8E5E-2669-DC4B-E6C8AECB65E2}"/>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26" name="Freeform 981">
              <a:extLst>
                <a:ext uri="{FF2B5EF4-FFF2-40B4-BE49-F238E27FC236}">
                  <a16:creationId xmlns:a16="http://schemas.microsoft.com/office/drawing/2014/main" id="{D32C9558-5F7C-280C-0408-BF7857A1068F}"/>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627" name="Freeform 982">
              <a:extLst>
                <a:ext uri="{FF2B5EF4-FFF2-40B4-BE49-F238E27FC236}">
                  <a16:creationId xmlns:a16="http://schemas.microsoft.com/office/drawing/2014/main" id="{70995D30-7F64-AC7F-E79D-7C028FFC254C}"/>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628" name="Freeform 983">
              <a:extLst>
                <a:ext uri="{FF2B5EF4-FFF2-40B4-BE49-F238E27FC236}">
                  <a16:creationId xmlns:a16="http://schemas.microsoft.com/office/drawing/2014/main" id="{B43F5B53-0EB9-31B9-A5A7-7753AFFEADC3}"/>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629" name="Oval 984">
              <a:extLst>
                <a:ext uri="{FF2B5EF4-FFF2-40B4-BE49-F238E27FC236}">
                  <a16:creationId xmlns:a16="http://schemas.microsoft.com/office/drawing/2014/main" id="{3ED2533D-7443-0235-2A85-07665F906714}"/>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630" name="Oval 985">
              <a:extLst>
                <a:ext uri="{FF2B5EF4-FFF2-40B4-BE49-F238E27FC236}">
                  <a16:creationId xmlns:a16="http://schemas.microsoft.com/office/drawing/2014/main" id="{94979887-3425-FD0E-29C7-3C76A21B551F}"/>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grpSp>
        <xdr:nvGrpSpPr>
          <xdr:cNvPr id="92547" name="Group 986">
            <a:extLst>
              <a:ext uri="{FF2B5EF4-FFF2-40B4-BE49-F238E27FC236}">
                <a16:creationId xmlns:a16="http://schemas.microsoft.com/office/drawing/2014/main" id="{B2127F37-D697-3300-50A7-A48810291B37}"/>
              </a:ext>
            </a:extLst>
          </xdr:cNvPr>
          <xdr:cNvGrpSpPr>
            <a:grpSpLocks/>
          </xdr:cNvGrpSpPr>
        </xdr:nvGrpSpPr>
        <xdr:grpSpPr bwMode="auto">
          <a:xfrm>
            <a:off x="1019" y="261"/>
            <a:ext cx="38" cy="50"/>
            <a:chOff x="172" y="107"/>
            <a:chExt cx="26" cy="32"/>
          </a:xfrm>
        </xdr:grpSpPr>
        <xdr:sp macro="" textlink="">
          <xdr:nvSpPr>
            <xdr:cNvPr id="92607" name="Oval 987">
              <a:extLst>
                <a:ext uri="{FF2B5EF4-FFF2-40B4-BE49-F238E27FC236}">
                  <a16:creationId xmlns:a16="http://schemas.microsoft.com/office/drawing/2014/main" id="{0FB1C695-C3BF-7C80-57F1-2EEFF3E6C58A}"/>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608" name="Line 988">
              <a:extLst>
                <a:ext uri="{FF2B5EF4-FFF2-40B4-BE49-F238E27FC236}">
                  <a16:creationId xmlns:a16="http://schemas.microsoft.com/office/drawing/2014/main" id="{C956B627-169C-8940-01C4-F86B03467F80}"/>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09" name="Line 989">
              <a:extLst>
                <a:ext uri="{FF2B5EF4-FFF2-40B4-BE49-F238E27FC236}">
                  <a16:creationId xmlns:a16="http://schemas.microsoft.com/office/drawing/2014/main" id="{47D19CF3-7CE4-2D73-44E2-784C8C9F175B}"/>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10" name="Line 990">
              <a:extLst>
                <a:ext uri="{FF2B5EF4-FFF2-40B4-BE49-F238E27FC236}">
                  <a16:creationId xmlns:a16="http://schemas.microsoft.com/office/drawing/2014/main" id="{A006C94C-592E-5FCB-0B9C-4237D7AEE72D}"/>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11" name="Line 991">
              <a:extLst>
                <a:ext uri="{FF2B5EF4-FFF2-40B4-BE49-F238E27FC236}">
                  <a16:creationId xmlns:a16="http://schemas.microsoft.com/office/drawing/2014/main" id="{AEF3607C-5F10-7E3F-B224-4E2C3AD48E6C}"/>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12" name="Line 992">
              <a:extLst>
                <a:ext uri="{FF2B5EF4-FFF2-40B4-BE49-F238E27FC236}">
                  <a16:creationId xmlns:a16="http://schemas.microsoft.com/office/drawing/2014/main" id="{0A64728F-1CAF-3422-ECAF-74AB6EE6DD6D}"/>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13" name="Line 993">
              <a:extLst>
                <a:ext uri="{FF2B5EF4-FFF2-40B4-BE49-F238E27FC236}">
                  <a16:creationId xmlns:a16="http://schemas.microsoft.com/office/drawing/2014/main" id="{2040D5C9-C2B6-1C62-4F94-F10BA3CC3B5E}"/>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14" name="Freeform 994">
              <a:extLst>
                <a:ext uri="{FF2B5EF4-FFF2-40B4-BE49-F238E27FC236}">
                  <a16:creationId xmlns:a16="http://schemas.microsoft.com/office/drawing/2014/main" id="{A5B78D75-E45C-A681-B02D-F149B638CE70}"/>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615" name="Freeform 995">
              <a:extLst>
                <a:ext uri="{FF2B5EF4-FFF2-40B4-BE49-F238E27FC236}">
                  <a16:creationId xmlns:a16="http://schemas.microsoft.com/office/drawing/2014/main" id="{8FE6FF87-759E-69EB-E8A7-4B296D5CB1F5}"/>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616" name="Freeform 996">
              <a:extLst>
                <a:ext uri="{FF2B5EF4-FFF2-40B4-BE49-F238E27FC236}">
                  <a16:creationId xmlns:a16="http://schemas.microsoft.com/office/drawing/2014/main" id="{63CB2BD3-63B4-9FA9-7304-18160457D4DA}"/>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617" name="Oval 997">
              <a:extLst>
                <a:ext uri="{FF2B5EF4-FFF2-40B4-BE49-F238E27FC236}">
                  <a16:creationId xmlns:a16="http://schemas.microsoft.com/office/drawing/2014/main" id="{969C67C3-8F9E-2AA3-3EEE-C5C2DF05B8C2}"/>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618" name="Oval 998">
              <a:extLst>
                <a:ext uri="{FF2B5EF4-FFF2-40B4-BE49-F238E27FC236}">
                  <a16:creationId xmlns:a16="http://schemas.microsoft.com/office/drawing/2014/main" id="{CAFF7928-EDD4-4C0E-C2A8-20373412608D}"/>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548" name="Rectangle 999">
            <a:extLst>
              <a:ext uri="{FF2B5EF4-FFF2-40B4-BE49-F238E27FC236}">
                <a16:creationId xmlns:a16="http://schemas.microsoft.com/office/drawing/2014/main" id="{DE9323FD-E383-A8D2-1A58-107D5F0CC4DD}"/>
              </a:ext>
            </a:extLst>
          </xdr:cNvPr>
          <xdr:cNvSpPr>
            <a:spLocks noChangeArrowheads="1"/>
          </xdr:cNvSpPr>
        </xdr:nvSpPr>
        <xdr:spPr bwMode="auto">
          <a:xfrm>
            <a:off x="1083" y="235"/>
            <a:ext cx="63" cy="11"/>
          </a:xfrm>
          <a:prstGeom prst="rect">
            <a:avLst/>
          </a:prstGeom>
          <a:solidFill>
            <a:srgbClr val="FFFFFF"/>
          </a:solidFill>
          <a:ln w="9525">
            <a:solidFill>
              <a:srgbClr val="000000"/>
            </a:solidFill>
            <a:miter lim="800000"/>
            <a:headEnd/>
            <a:tailEnd/>
          </a:ln>
        </xdr:spPr>
      </xdr:sp>
      <xdr:grpSp>
        <xdr:nvGrpSpPr>
          <xdr:cNvPr id="92549" name="Group 1000">
            <a:extLst>
              <a:ext uri="{FF2B5EF4-FFF2-40B4-BE49-F238E27FC236}">
                <a16:creationId xmlns:a16="http://schemas.microsoft.com/office/drawing/2014/main" id="{F31C1820-65C4-F975-F33C-610B16B2C3A0}"/>
              </a:ext>
            </a:extLst>
          </xdr:cNvPr>
          <xdr:cNvGrpSpPr>
            <a:grpSpLocks/>
          </xdr:cNvGrpSpPr>
        </xdr:nvGrpSpPr>
        <xdr:grpSpPr bwMode="auto">
          <a:xfrm>
            <a:off x="1101" y="223"/>
            <a:ext cx="6" cy="10"/>
            <a:chOff x="123" y="81"/>
            <a:chExt cx="4" cy="6"/>
          </a:xfrm>
        </xdr:grpSpPr>
        <xdr:sp macro="" textlink="">
          <xdr:nvSpPr>
            <xdr:cNvPr id="92605" name="Line 1001">
              <a:extLst>
                <a:ext uri="{FF2B5EF4-FFF2-40B4-BE49-F238E27FC236}">
                  <a16:creationId xmlns:a16="http://schemas.microsoft.com/office/drawing/2014/main" id="{45220A4E-D6C6-A957-1645-44FEF9B3F66D}"/>
                </a:ext>
              </a:extLst>
            </xdr:cNvPr>
            <xdr:cNvSpPr>
              <a:spLocks noChangeShapeType="1"/>
            </xdr:cNvSpPr>
          </xdr:nvSpPr>
          <xdr:spPr bwMode="auto">
            <a:xfrm flipV="1">
              <a:off x="123" y="84"/>
              <a:ext cx="4"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06" name="Line 1002">
              <a:extLst>
                <a:ext uri="{FF2B5EF4-FFF2-40B4-BE49-F238E27FC236}">
                  <a16:creationId xmlns:a16="http://schemas.microsoft.com/office/drawing/2014/main" id="{1E8A317F-BAA7-9C6C-5980-FFF1E48D737D}"/>
                </a:ext>
              </a:extLst>
            </xdr:cNvPr>
            <xdr:cNvSpPr>
              <a:spLocks noChangeShapeType="1"/>
            </xdr:cNvSpPr>
          </xdr:nvSpPr>
          <xdr:spPr bwMode="auto">
            <a:xfrm flipV="1">
              <a:off x="127" y="81"/>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92550" name="Group 1003">
            <a:extLst>
              <a:ext uri="{FF2B5EF4-FFF2-40B4-BE49-F238E27FC236}">
                <a16:creationId xmlns:a16="http://schemas.microsoft.com/office/drawing/2014/main" id="{EBF98921-0F4A-8F78-682C-8381BDA80F58}"/>
              </a:ext>
            </a:extLst>
          </xdr:cNvPr>
          <xdr:cNvGrpSpPr>
            <a:grpSpLocks/>
          </xdr:cNvGrpSpPr>
        </xdr:nvGrpSpPr>
        <xdr:grpSpPr bwMode="auto">
          <a:xfrm>
            <a:off x="1120" y="223"/>
            <a:ext cx="6" cy="12"/>
            <a:chOff x="139" y="81"/>
            <a:chExt cx="4" cy="7"/>
          </a:xfrm>
        </xdr:grpSpPr>
        <xdr:sp macro="" textlink="">
          <xdr:nvSpPr>
            <xdr:cNvPr id="92603" name="Line 1004">
              <a:extLst>
                <a:ext uri="{FF2B5EF4-FFF2-40B4-BE49-F238E27FC236}">
                  <a16:creationId xmlns:a16="http://schemas.microsoft.com/office/drawing/2014/main" id="{81FC76C2-6A90-38FE-92D1-857563DEB083}"/>
                </a:ext>
              </a:extLst>
            </xdr:cNvPr>
            <xdr:cNvSpPr>
              <a:spLocks noChangeShapeType="1"/>
            </xdr:cNvSpPr>
          </xdr:nvSpPr>
          <xdr:spPr bwMode="auto">
            <a:xfrm flipH="1" flipV="1">
              <a:off x="139" y="8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604" name="Line 1005">
              <a:extLst>
                <a:ext uri="{FF2B5EF4-FFF2-40B4-BE49-F238E27FC236}">
                  <a16:creationId xmlns:a16="http://schemas.microsoft.com/office/drawing/2014/main" id="{3A931B82-F990-2352-3A09-36A79A84575A}"/>
                </a:ext>
              </a:extLst>
            </xdr:cNvPr>
            <xdr:cNvSpPr>
              <a:spLocks noChangeShapeType="1"/>
            </xdr:cNvSpPr>
          </xdr:nvSpPr>
          <xdr:spPr bwMode="auto">
            <a:xfrm flipV="1">
              <a:off x="139" y="81"/>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551" name="Rectangle 1006">
            <a:extLst>
              <a:ext uri="{FF2B5EF4-FFF2-40B4-BE49-F238E27FC236}">
                <a16:creationId xmlns:a16="http://schemas.microsoft.com/office/drawing/2014/main" id="{A789DF49-6DD9-52AD-3D91-3A092CDC16EC}"/>
              </a:ext>
            </a:extLst>
          </xdr:cNvPr>
          <xdr:cNvSpPr>
            <a:spLocks noChangeArrowheads="1"/>
          </xdr:cNvSpPr>
        </xdr:nvSpPr>
        <xdr:spPr bwMode="auto">
          <a:xfrm>
            <a:off x="1107" y="207"/>
            <a:ext cx="13" cy="17"/>
          </a:xfrm>
          <a:prstGeom prst="rect">
            <a:avLst/>
          </a:prstGeom>
          <a:solidFill>
            <a:srgbClr val="FFFFFF"/>
          </a:solidFill>
          <a:ln w="9525">
            <a:solidFill>
              <a:srgbClr val="000000"/>
            </a:solidFill>
            <a:miter lim="800000"/>
            <a:headEnd/>
            <a:tailEnd/>
          </a:ln>
        </xdr:spPr>
      </xdr:sp>
      <xdr:grpSp>
        <xdr:nvGrpSpPr>
          <xdr:cNvPr id="92552" name="Group 1007">
            <a:extLst>
              <a:ext uri="{FF2B5EF4-FFF2-40B4-BE49-F238E27FC236}">
                <a16:creationId xmlns:a16="http://schemas.microsoft.com/office/drawing/2014/main" id="{CFEEC0EE-506F-F5F7-3DB3-C25A6552F097}"/>
              </a:ext>
            </a:extLst>
          </xdr:cNvPr>
          <xdr:cNvGrpSpPr>
            <a:grpSpLocks/>
          </xdr:cNvGrpSpPr>
        </xdr:nvGrpSpPr>
        <xdr:grpSpPr bwMode="auto">
          <a:xfrm>
            <a:off x="1139" y="145"/>
            <a:ext cx="38" cy="50"/>
            <a:chOff x="172" y="107"/>
            <a:chExt cx="26" cy="32"/>
          </a:xfrm>
        </xdr:grpSpPr>
        <xdr:sp macro="" textlink="">
          <xdr:nvSpPr>
            <xdr:cNvPr id="92591" name="Oval 1008">
              <a:extLst>
                <a:ext uri="{FF2B5EF4-FFF2-40B4-BE49-F238E27FC236}">
                  <a16:creationId xmlns:a16="http://schemas.microsoft.com/office/drawing/2014/main" id="{AEF6282B-EDD1-3B68-8964-DD1BD949AFCD}"/>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592" name="Line 1009">
              <a:extLst>
                <a:ext uri="{FF2B5EF4-FFF2-40B4-BE49-F238E27FC236}">
                  <a16:creationId xmlns:a16="http://schemas.microsoft.com/office/drawing/2014/main" id="{A0DB64C2-4D79-4B15-9C6F-1243615A2F90}"/>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93" name="Line 1010">
              <a:extLst>
                <a:ext uri="{FF2B5EF4-FFF2-40B4-BE49-F238E27FC236}">
                  <a16:creationId xmlns:a16="http://schemas.microsoft.com/office/drawing/2014/main" id="{032AED70-2F70-67A5-7EFC-A762E4914C5B}"/>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94" name="Line 1011">
              <a:extLst>
                <a:ext uri="{FF2B5EF4-FFF2-40B4-BE49-F238E27FC236}">
                  <a16:creationId xmlns:a16="http://schemas.microsoft.com/office/drawing/2014/main" id="{EB07ADCD-3D72-4642-2928-8C749825F94E}"/>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95" name="Line 1012">
              <a:extLst>
                <a:ext uri="{FF2B5EF4-FFF2-40B4-BE49-F238E27FC236}">
                  <a16:creationId xmlns:a16="http://schemas.microsoft.com/office/drawing/2014/main" id="{88E36598-D2AC-51BE-B1CD-75E49BCC80FA}"/>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96" name="Line 1013">
              <a:extLst>
                <a:ext uri="{FF2B5EF4-FFF2-40B4-BE49-F238E27FC236}">
                  <a16:creationId xmlns:a16="http://schemas.microsoft.com/office/drawing/2014/main" id="{2E630F85-8EBF-5FDC-05F3-42A10BC3F47E}"/>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97" name="Line 1014">
              <a:extLst>
                <a:ext uri="{FF2B5EF4-FFF2-40B4-BE49-F238E27FC236}">
                  <a16:creationId xmlns:a16="http://schemas.microsoft.com/office/drawing/2014/main" id="{46E7F722-5ED6-6EFB-BD91-F3B564350D56}"/>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98" name="Freeform 1015">
              <a:extLst>
                <a:ext uri="{FF2B5EF4-FFF2-40B4-BE49-F238E27FC236}">
                  <a16:creationId xmlns:a16="http://schemas.microsoft.com/office/drawing/2014/main" id="{663B8296-6501-C87E-F2C4-CFF15BB8FA3B}"/>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599" name="Freeform 1016">
              <a:extLst>
                <a:ext uri="{FF2B5EF4-FFF2-40B4-BE49-F238E27FC236}">
                  <a16:creationId xmlns:a16="http://schemas.microsoft.com/office/drawing/2014/main" id="{061A92A0-D89E-979B-EB8C-1E84F9ECC554}"/>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600" name="Freeform 1017">
              <a:extLst>
                <a:ext uri="{FF2B5EF4-FFF2-40B4-BE49-F238E27FC236}">
                  <a16:creationId xmlns:a16="http://schemas.microsoft.com/office/drawing/2014/main" id="{16AD461D-E1D0-F268-DF27-C5AFB6D19A94}"/>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601" name="Oval 1018">
              <a:extLst>
                <a:ext uri="{FF2B5EF4-FFF2-40B4-BE49-F238E27FC236}">
                  <a16:creationId xmlns:a16="http://schemas.microsoft.com/office/drawing/2014/main" id="{22F8E52E-1CF9-171F-BB4F-6A6B09ED8975}"/>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602" name="Oval 1019">
              <a:extLst>
                <a:ext uri="{FF2B5EF4-FFF2-40B4-BE49-F238E27FC236}">
                  <a16:creationId xmlns:a16="http://schemas.microsoft.com/office/drawing/2014/main" id="{F43D5437-7025-48E4-AC9E-D754266A16C6}"/>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grpSp>
        <xdr:nvGrpSpPr>
          <xdr:cNvPr id="92553" name="Group 1020">
            <a:extLst>
              <a:ext uri="{FF2B5EF4-FFF2-40B4-BE49-F238E27FC236}">
                <a16:creationId xmlns:a16="http://schemas.microsoft.com/office/drawing/2014/main" id="{8C100FD6-634C-57A4-B357-0F0FD705BCD8}"/>
              </a:ext>
            </a:extLst>
          </xdr:cNvPr>
          <xdr:cNvGrpSpPr>
            <a:grpSpLocks/>
          </xdr:cNvGrpSpPr>
        </xdr:nvGrpSpPr>
        <xdr:grpSpPr bwMode="auto">
          <a:xfrm>
            <a:off x="1104" y="158"/>
            <a:ext cx="35" cy="26"/>
            <a:chOff x="893" y="331"/>
            <a:chExt cx="24" cy="16"/>
          </a:xfrm>
        </xdr:grpSpPr>
        <xdr:sp macro="" textlink="">
          <xdr:nvSpPr>
            <xdr:cNvPr id="92581" name="Line 1021">
              <a:extLst>
                <a:ext uri="{FF2B5EF4-FFF2-40B4-BE49-F238E27FC236}">
                  <a16:creationId xmlns:a16="http://schemas.microsoft.com/office/drawing/2014/main" id="{FA032BF0-9147-5BA2-E6C2-E26CC11A0FDA}"/>
                </a:ext>
              </a:extLst>
            </xdr:cNvPr>
            <xdr:cNvSpPr>
              <a:spLocks noChangeShapeType="1"/>
            </xdr:cNvSpPr>
          </xdr:nvSpPr>
          <xdr:spPr bwMode="auto">
            <a:xfrm flipH="1">
              <a:off x="906" y="333"/>
              <a:ext cx="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92582" name="Group 1022">
              <a:extLst>
                <a:ext uri="{FF2B5EF4-FFF2-40B4-BE49-F238E27FC236}">
                  <a16:creationId xmlns:a16="http://schemas.microsoft.com/office/drawing/2014/main" id="{DC243B85-2C35-63A2-ADF7-8FE5C8DF8F6A}"/>
                </a:ext>
              </a:extLst>
            </xdr:cNvPr>
            <xdr:cNvGrpSpPr>
              <a:grpSpLocks/>
            </xdr:cNvGrpSpPr>
          </xdr:nvGrpSpPr>
          <xdr:grpSpPr bwMode="auto">
            <a:xfrm>
              <a:off x="893" y="331"/>
              <a:ext cx="24" cy="16"/>
              <a:chOff x="894" y="331"/>
              <a:chExt cx="24" cy="16"/>
            </a:xfrm>
          </xdr:grpSpPr>
          <xdr:sp macro="" textlink="">
            <xdr:nvSpPr>
              <xdr:cNvPr id="92583" name="Line 1023">
                <a:extLst>
                  <a:ext uri="{FF2B5EF4-FFF2-40B4-BE49-F238E27FC236}">
                    <a16:creationId xmlns:a16="http://schemas.microsoft.com/office/drawing/2014/main" id="{E7BA714C-8A10-AEA2-8464-9BBABFAC3D99}"/>
                  </a:ext>
                </a:extLst>
              </xdr:cNvPr>
              <xdr:cNvSpPr>
                <a:spLocks noChangeShapeType="1"/>
              </xdr:cNvSpPr>
            </xdr:nvSpPr>
            <xdr:spPr bwMode="auto">
              <a:xfrm>
                <a:off x="894" y="347"/>
                <a:ext cx="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84" name="Line 1024">
                <a:extLst>
                  <a:ext uri="{FF2B5EF4-FFF2-40B4-BE49-F238E27FC236}">
                    <a16:creationId xmlns:a16="http://schemas.microsoft.com/office/drawing/2014/main" id="{898272F8-F6E5-82D8-03ED-2691C900EAE0}"/>
                  </a:ext>
                </a:extLst>
              </xdr:cNvPr>
              <xdr:cNvSpPr>
                <a:spLocks noChangeShapeType="1"/>
              </xdr:cNvSpPr>
            </xdr:nvSpPr>
            <xdr:spPr bwMode="auto">
              <a:xfrm flipV="1">
                <a:off x="894" y="331"/>
                <a:ext cx="0"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85" name="Line 1025">
                <a:extLst>
                  <a:ext uri="{FF2B5EF4-FFF2-40B4-BE49-F238E27FC236}">
                    <a16:creationId xmlns:a16="http://schemas.microsoft.com/office/drawing/2014/main" id="{51747109-882A-A99D-E192-5103AB0EC1FE}"/>
                  </a:ext>
                </a:extLst>
              </xdr:cNvPr>
              <xdr:cNvSpPr>
                <a:spLocks noChangeShapeType="1"/>
              </xdr:cNvSpPr>
            </xdr:nvSpPr>
            <xdr:spPr bwMode="auto">
              <a:xfrm flipV="1">
                <a:off x="907" y="345"/>
                <a:ext cx="0" cy="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86" name="Line 1026">
                <a:extLst>
                  <a:ext uri="{FF2B5EF4-FFF2-40B4-BE49-F238E27FC236}">
                    <a16:creationId xmlns:a16="http://schemas.microsoft.com/office/drawing/2014/main" id="{F754C358-C212-39DA-15F6-95C40FC1CE44}"/>
                  </a:ext>
                </a:extLst>
              </xdr:cNvPr>
              <xdr:cNvSpPr>
                <a:spLocks noChangeShapeType="1"/>
              </xdr:cNvSpPr>
            </xdr:nvSpPr>
            <xdr:spPr bwMode="auto">
              <a:xfrm>
                <a:off x="907" y="344"/>
                <a:ext cx="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87" name="Line 1027">
                <a:extLst>
                  <a:ext uri="{FF2B5EF4-FFF2-40B4-BE49-F238E27FC236}">
                    <a16:creationId xmlns:a16="http://schemas.microsoft.com/office/drawing/2014/main" id="{9153C78F-C898-66B5-B4BB-736F42A5C937}"/>
                  </a:ext>
                </a:extLst>
              </xdr:cNvPr>
              <xdr:cNvSpPr>
                <a:spLocks noChangeShapeType="1"/>
              </xdr:cNvSpPr>
            </xdr:nvSpPr>
            <xdr:spPr bwMode="auto">
              <a:xfrm flipV="1">
                <a:off x="910" y="333"/>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88" name="Line 1028">
                <a:extLst>
                  <a:ext uri="{FF2B5EF4-FFF2-40B4-BE49-F238E27FC236}">
                    <a16:creationId xmlns:a16="http://schemas.microsoft.com/office/drawing/2014/main" id="{302D5DB6-C87C-6F6F-6616-6312E8A85B2A}"/>
                  </a:ext>
                </a:extLst>
              </xdr:cNvPr>
              <xdr:cNvSpPr>
                <a:spLocks noChangeShapeType="1"/>
              </xdr:cNvSpPr>
            </xdr:nvSpPr>
            <xdr:spPr bwMode="auto">
              <a:xfrm flipV="1">
                <a:off x="907" y="331"/>
                <a:ext cx="0" cy="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89" name="Line 1029">
                <a:extLst>
                  <a:ext uri="{FF2B5EF4-FFF2-40B4-BE49-F238E27FC236}">
                    <a16:creationId xmlns:a16="http://schemas.microsoft.com/office/drawing/2014/main" id="{72CDC5C4-AD3E-ABCC-046E-E3AC4E9EFB41}"/>
                  </a:ext>
                </a:extLst>
              </xdr:cNvPr>
              <xdr:cNvSpPr>
                <a:spLocks noChangeShapeType="1"/>
              </xdr:cNvSpPr>
            </xdr:nvSpPr>
            <xdr:spPr bwMode="auto">
              <a:xfrm>
                <a:off x="894" y="331"/>
                <a:ext cx="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90" name="Rectangle 1030">
                <a:extLst>
                  <a:ext uri="{FF2B5EF4-FFF2-40B4-BE49-F238E27FC236}">
                    <a16:creationId xmlns:a16="http://schemas.microsoft.com/office/drawing/2014/main" id="{8B4DA055-41BB-7938-6B80-403A4E93C215}"/>
                  </a:ext>
                </a:extLst>
              </xdr:cNvPr>
              <xdr:cNvSpPr>
                <a:spLocks noChangeArrowheads="1"/>
              </xdr:cNvSpPr>
            </xdr:nvSpPr>
            <xdr:spPr bwMode="auto">
              <a:xfrm>
                <a:off x="911" y="335"/>
                <a:ext cx="7" cy="7"/>
              </a:xfrm>
              <a:prstGeom prst="rect">
                <a:avLst/>
              </a:prstGeom>
              <a:solidFill>
                <a:srgbClr val="FFFFFF"/>
              </a:solidFill>
              <a:ln w="9525">
                <a:solidFill>
                  <a:srgbClr val="000000"/>
                </a:solidFill>
                <a:miter lim="800000"/>
                <a:headEnd/>
                <a:tailEnd/>
              </a:ln>
            </xdr:spPr>
          </xdr:sp>
        </xdr:grpSp>
      </xdr:grpSp>
      <xdr:sp macro="" textlink="">
        <xdr:nvSpPr>
          <xdr:cNvPr id="92554" name="Rectangle 1031">
            <a:extLst>
              <a:ext uri="{FF2B5EF4-FFF2-40B4-BE49-F238E27FC236}">
                <a16:creationId xmlns:a16="http://schemas.microsoft.com/office/drawing/2014/main" id="{46600F0C-C803-F7A7-AD96-58D1C0BA5B54}"/>
              </a:ext>
            </a:extLst>
          </xdr:cNvPr>
          <xdr:cNvSpPr>
            <a:spLocks noChangeArrowheads="1"/>
          </xdr:cNvSpPr>
        </xdr:nvSpPr>
        <xdr:spPr bwMode="auto">
          <a:xfrm>
            <a:off x="1102" y="132"/>
            <a:ext cx="24" cy="13"/>
          </a:xfrm>
          <a:prstGeom prst="rect">
            <a:avLst/>
          </a:prstGeom>
          <a:solidFill>
            <a:srgbClr val="FFFFFF"/>
          </a:solidFill>
          <a:ln w="9525">
            <a:solidFill>
              <a:srgbClr val="000000"/>
            </a:solidFill>
            <a:miter lim="800000"/>
            <a:headEnd/>
            <a:tailEnd/>
          </a:ln>
        </xdr:spPr>
      </xdr:sp>
      <xdr:sp macro="" textlink="">
        <xdr:nvSpPr>
          <xdr:cNvPr id="92555" name="Rectangle 1032">
            <a:extLst>
              <a:ext uri="{FF2B5EF4-FFF2-40B4-BE49-F238E27FC236}">
                <a16:creationId xmlns:a16="http://schemas.microsoft.com/office/drawing/2014/main" id="{AB7327CF-B70B-352F-58FF-4C646EEF7546}"/>
              </a:ext>
            </a:extLst>
          </xdr:cNvPr>
          <xdr:cNvSpPr>
            <a:spLocks noChangeArrowheads="1"/>
          </xdr:cNvSpPr>
        </xdr:nvSpPr>
        <xdr:spPr bwMode="auto">
          <a:xfrm>
            <a:off x="1108" y="184"/>
            <a:ext cx="12" cy="15"/>
          </a:xfrm>
          <a:prstGeom prst="rect">
            <a:avLst/>
          </a:prstGeom>
          <a:solidFill>
            <a:srgbClr val="FFFFFF"/>
          </a:solidFill>
          <a:ln w="9525">
            <a:solidFill>
              <a:srgbClr val="000000"/>
            </a:solidFill>
            <a:miter lim="800000"/>
            <a:headEnd/>
            <a:tailEnd/>
          </a:ln>
        </xdr:spPr>
      </xdr:sp>
      <xdr:grpSp>
        <xdr:nvGrpSpPr>
          <xdr:cNvPr id="92556" name="Group 1033">
            <a:extLst>
              <a:ext uri="{FF2B5EF4-FFF2-40B4-BE49-F238E27FC236}">
                <a16:creationId xmlns:a16="http://schemas.microsoft.com/office/drawing/2014/main" id="{5A19DB24-14FF-292B-2CFF-F8D86B9D3A1C}"/>
              </a:ext>
            </a:extLst>
          </xdr:cNvPr>
          <xdr:cNvGrpSpPr>
            <a:grpSpLocks/>
          </xdr:cNvGrpSpPr>
        </xdr:nvGrpSpPr>
        <xdr:grpSpPr bwMode="auto">
          <a:xfrm>
            <a:off x="1083" y="199"/>
            <a:ext cx="60" cy="13"/>
            <a:chOff x="879" y="311"/>
            <a:chExt cx="42" cy="8"/>
          </a:xfrm>
        </xdr:grpSpPr>
        <xdr:sp macro="" textlink="">
          <xdr:nvSpPr>
            <xdr:cNvPr id="92576" name="Rectangle 1034">
              <a:extLst>
                <a:ext uri="{FF2B5EF4-FFF2-40B4-BE49-F238E27FC236}">
                  <a16:creationId xmlns:a16="http://schemas.microsoft.com/office/drawing/2014/main" id="{AA2543E1-DD45-BE9A-C604-CA314DF7CBB3}"/>
                </a:ext>
              </a:extLst>
            </xdr:cNvPr>
            <xdr:cNvSpPr>
              <a:spLocks noChangeArrowheads="1"/>
            </xdr:cNvSpPr>
          </xdr:nvSpPr>
          <xdr:spPr bwMode="auto">
            <a:xfrm>
              <a:off x="887" y="311"/>
              <a:ext cx="26" cy="8"/>
            </a:xfrm>
            <a:prstGeom prst="rect">
              <a:avLst/>
            </a:prstGeom>
            <a:solidFill>
              <a:srgbClr val="FFFFFF"/>
            </a:solidFill>
            <a:ln w="9525">
              <a:solidFill>
                <a:srgbClr val="000000"/>
              </a:solidFill>
              <a:miter lim="800000"/>
              <a:headEnd/>
              <a:tailEnd/>
            </a:ln>
          </xdr:spPr>
        </xdr:sp>
        <xdr:sp macro="" textlink="">
          <xdr:nvSpPr>
            <xdr:cNvPr id="92577" name="Rectangle 1035">
              <a:extLst>
                <a:ext uri="{FF2B5EF4-FFF2-40B4-BE49-F238E27FC236}">
                  <a16:creationId xmlns:a16="http://schemas.microsoft.com/office/drawing/2014/main" id="{8E63D9B6-22FB-0BF4-86A1-9C7FE09AD8CF}"/>
                </a:ext>
              </a:extLst>
            </xdr:cNvPr>
            <xdr:cNvSpPr>
              <a:spLocks noChangeArrowheads="1"/>
            </xdr:cNvSpPr>
          </xdr:nvSpPr>
          <xdr:spPr bwMode="auto">
            <a:xfrm>
              <a:off x="913" y="313"/>
              <a:ext cx="3" cy="4"/>
            </a:xfrm>
            <a:prstGeom prst="rect">
              <a:avLst/>
            </a:prstGeom>
            <a:solidFill>
              <a:srgbClr val="FFFFFF"/>
            </a:solidFill>
            <a:ln w="9525">
              <a:solidFill>
                <a:srgbClr val="000000"/>
              </a:solidFill>
              <a:miter lim="800000"/>
              <a:headEnd/>
              <a:tailEnd/>
            </a:ln>
          </xdr:spPr>
        </xdr:sp>
        <xdr:sp macro="" textlink="">
          <xdr:nvSpPr>
            <xdr:cNvPr id="92578" name="Rectangle 1036">
              <a:extLst>
                <a:ext uri="{FF2B5EF4-FFF2-40B4-BE49-F238E27FC236}">
                  <a16:creationId xmlns:a16="http://schemas.microsoft.com/office/drawing/2014/main" id="{9A3E7BDB-44F8-E66D-DFB8-FBEC4996A9AE}"/>
                </a:ext>
              </a:extLst>
            </xdr:cNvPr>
            <xdr:cNvSpPr>
              <a:spLocks noChangeArrowheads="1"/>
            </xdr:cNvSpPr>
          </xdr:nvSpPr>
          <xdr:spPr bwMode="auto">
            <a:xfrm>
              <a:off x="884" y="313"/>
              <a:ext cx="3" cy="4"/>
            </a:xfrm>
            <a:prstGeom prst="rect">
              <a:avLst/>
            </a:prstGeom>
            <a:solidFill>
              <a:srgbClr val="FFFFFF"/>
            </a:solidFill>
            <a:ln w="9525">
              <a:solidFill>
                <a:srgbClr val="000000"/>
              </a:solidFill>
              <a:miter lim="800000"/>
              <a:headEnd/>
              <a:tailEnd/>
            </a:ln>
          </xdr:spPr>
        </xdr:sp>
        <xdr:sp macro="" textlink="">
          <xdr:nvSpPr>
            <xdr:cNvPr id="92579" name="Line 1037">
              <a:extLst>
                <a:ext uri="{FF2B5EF4-FFF2-40B4-BE49-F238E27FC236}">
                  <a16:creationId xmlns:a16="http://schemas.microsoft.com/office/drawing/2014/main" id="{CC289639-12AE-6C66-CAB4-1D500677B4AC}"/>
                </a:ext>
              </a:extLst>
            </xdr:cNvPr>
            <xdr:cNvSpPr>
              <a:spLocks noChangeShapeType="1"/>
            </xdr:cNvSpPr>
          </xdr:nvSpPr>
          <xdr:spPr bwMode="auto">
            <a:xfrm flipV="1">
              <a:off x="917" y="315"/>
              <a:ext cx="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80" name="Line 1038">
              <a:extLst>
                <a:ext uri="{FF2B5EF4-FFF2-40B4-BE49-F238E27FC236}">
                  <a16:creationId xmlns:a16="http://schemas.microsoft.com/office/drawing/2014/main" id="{E1911A83-F2BE-D79C-CECB-28D783384865}"/>
                </a:ext>
              </a:extLst>
            </xdr:cNvPr>
            <xdr:cNvSpPr>
              <a:spLocks noChangeShapeType="1"/>
            </xdr:cNvSpPr>
          </xdr:nvSpPr>
          <xdr:spPr bwMode="auto">
            <a:xfrm flipV="1">
              <a:off x="879" y="315"/>
              <a:ext cx="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557" name="Rectangle 1039">
            <a:extLst>
              <a:ext uri="{FF2B5EF4-FFF2-40B4-BE49-F238E27FC236}">
                <a16:creationId xmlns:a16="http://schemas.microsoft.com/office/drawing/2014/main" id="{BF5E7955-B245-E7D8-6BA4-80369B62CACE}"/>
              </a:ext>
            </a:extLst>
          </xdr:cNvPr>
          <xdr:cNvSpPr>
            <a:spLocks noChangeArrowheads="1"/>
          </xdr:cNvSpPr>
        </xdr:nvSpPr>
        <xdr:spPr bwMode="auto">
          <a:xfrm>
            <a:off x="1108" y="145"/>
            <a:ext cx="12" cy="13"/>
          </a:xfrm>
          <a:prstGeom prst="rect">
            <a:avLst/>
          </a:prstGeom>
          <a:solidFill>
            <a:srgbClr val="FFFFFF"/>
          </a:solidFill>
          <a:ln w="9525">
            <a:solidFill>
              <a:srgbClr val="000000"/>
            </a:solidFill>
            <a:miter lim="800000"/>
            <a:headEnd/>
            <a:tailEnd/>
          </a:ln>
        </xdr:spPr>
      </xdr:sp>
      <xdr:sp macro="" textlink="">
        <xdr:nvSpPr>
          <xdr:cNvPr id="92558" name="Line 1040">
            <a:extLst>
              <a:ext uri="{FF2B5EF4-FFF2-40B4-BE49-F238E27FC236}">
                <a16:creationId xmlns:a16="http://schemas.microsoft.com/office/drawing/2014/main" id="{0B409D07-A5C3-548E-2974-421E634E41C4}"/>
              </a:ext>
            </a:extLst>
          </xdr:cNvPr>
          <xdr:cNvSpPr>
            <a:spLocks noChangeShapeType="1"/>
          </xdr:cNvSpPr>
        </xdr:nvSpPr>
        <xdr:spPr bwMode="auto">
          <a:xfrm flipV="1">
            <a:off x="1112" y="116"/>
            <a:ext cx="0"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59" name="Line 1041">
            <a:extLst>
              <a:ext uri="{FF2B5EF4-FFF2-40B4-BE49-F238E27FC236}">
                <a16:creationId xmlns:a16="http://schemas.microsoft.com/office/drawing/2014/main" id="{54A0DF89-1EB1-86F5-3581-7C72C8CC0193}"/>
              </a:ext>
            </a:extLst>
          </xdr:cNvPr>
          <xdr:cNvSpPr>
            <a:spLocks noChangeShapeType="1"/>
          </xdr:cNvSpPr>
        </xdr:nvSpPr>
        <xdr:spPr bwMode="auto">
          <a:xfrm flipV="1">
            <a:off x="1116" y="116"/>
            <a:ext cx="0"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60" name="Rectangle 1042">
            <a:extLst>
              <a:ext uri="{FF2B5EF4-FFF2-40B4-BE49-F238E27FC236}">
                <a16:creationId xmlns:a16="http://schemas.microsoft.com/office/drawing/2014/main" id="{D314B02B-462A-1BC2-833D-357FCC13D183}"/>
              </a:ext>
            </a:extLst>
          </xdr:cNvPr>
          <xdr:cNvSpPr>
            <a:spLocks noChangeArrowheads="1"/>
          </xdr:cNvSpPr>
        </xdr:nvSpPr>
        <xdr:spPr bwMode="auto">
          <a:xfrm>
            <a:off x="1103" y="228"/>
            <a:ext cx="4" cy="5"/>
          </a:xfrm>
          <a:prstGeom prst="rect">
            <a:avLst/>
          </a:prstGeom>
          <a:solidFill>
            <a:srgbClr val="FFFFFF"/>
          </a:solidFill>
          <a:ln w="9525">
            <a:solidFill>
              <a:srgbClr val="000000"/>
            </a:solidFill>
            <a:miter lim="800000"/>
            <a:headEnd/>
            <a:tailEnd/>
          </a:ln>
        </xdr:spPr>
      </xdr:sp>
      <xdr:sp macro="" textlink="">
        <xdr:nvSpPr>
          <xdr:cNvPr id="92561" name="Rectangle 1043">
            <a:extLst>
              <a:ext uri="{FF2B5EF4-FFF2-40B4-BE49-F238E27FC236}">
                <a16:creationId xmlns:a16="http://schemas.microsoft.com/office/drawing/2014/main" id="{8B6212B0-49C3-56D2-90B3-D78972BD2BE1}"/>
              </a:ext>
            </a:extLst>
          </xdr:cNvPr>
          <xdr:cNvSpPr>
            <a:spLocks noChangeArrowheads="1"/>
          </xdr:cNvSpPr>
        </xdr:nvSpPr>
        <xdr:spPr bwMode="auto">
          <a:xfrm>
            <a:off x="1135" y="262"/>
            <a:ext cx="4" cy="5"/>
          </a:xfrm>
          <a:prstGeom prst="rect">
            <a:avLst/>
          </a:prstGeom>
          <a:solidFill>
            <a:srgbClr val="FFFFFF"/>
          </a:solidFill>
          <a:ln w="9525">
            <a:solidFill>
              <a:srgbClr val="000000"/>
            </a:solidFill>
            <a:miter lim="800000"/>
            <a:headEnd/>
            <a:tailEnd/>
          </a:ln>
        </xdr:spPr>
      </xdr:sp>
      <xdr:sp macro="" textlink="">
        <xdr:nvSpPr>
          <xdr:cNvPr id="92562" name="Rectangle 1044">
            <a:extLst>
              <a:ext uri="{FF2B5EF4-FFF2-40B4-BE49-F238E27FC236}">
                <a16:creationId xmlns:a16="http://schemas.microsoft.com/office/drawing/2014/main" id="{046DCC31-CBAD-CA33-E1AB-C1F414552B20}"/>
              </a:ext>
            </a:extLst>
          </xdr:cNvPr>
          <xdr:cNvSpPr>
            <a:spLocks noChangeArrowheads="1"/>
          </xdr:cNvSpPr>
        </xdr:nvSpPr>
        <xdr:spPr bwMode="auto">
          <a:xfrm>
            <a:off x="1119" y="262"/>
            <a:ext cx="4" cy="5"/>
          </a:xfrm>
          <a:prstGeom prst="rect">
            <a:avLst/>
          </a:prstGeom>
          <a:solidFill>
            <a:srgbClr val="FFFFFF"/>
          </a:solidFill>
          <a:ln w="9525">
            <a:solidFill>
              <a:srgbClr val="000000"/>
            </a:solidFill>
            <a:miter lim="800000"/>
            <a:headEnd/>
            <a:tailEnd/>
          </a:ln>
        </xdr:spPr>
      </xdr:sp>
      <xdr:sp macro="" textlink="">
        <xdr:nvSpPr>
          <xdr:cNvPr id="92563" name="Rectangle 1045">
            <a:extLst>
              <a:ext uri="{FF2B5EF4-FFF2-40B4-BE49-F238E27FC236}">
                <a16:creationId xmlns:a16="http://schemas.microsoft.com/office/drawing/2014/main" id="{AE822611-7082-4626-0967-049758DCD1A5}"/>
              </a:ext>
            </a:extLst>
          </xdr:cNvPr>
          <xdr:cNvSpPr>
            <a:spLocks noChangeArrowheads="1"/>
          </xdr:cNvSpPr>
        </xdr:nvSpPr>
        <xdr:spPr bwMode="auto">
          <a:xfrm>
            <a:off x="1135" y="228"/>
            <a:ext cx="4" cy="5"/>
          </a:xfrm>
          <a:prstGeom prst="rect">
            <a:avLst/>
          </a:prstGeom>
          <a:solidFill>
            <a:srgbClr val="FFFFFF"/>
          </a:solidFill>
          <a:ln w="9525">
            <a:solidFill>
              <a:srgbClr val="000000"/>
            </a:solidFill>
            <a:miter lim="800000"/>
            <a:headEnd/>
            <a:tailEnd/>
          </a:ln>
        </xdr:spPr>
      </xdr:sp>
      <xdr:sp macro="" textlink="">
        <xdr:nvSpPr>
          <xdr:cNvPr id="92564" name="Rectangle 1046">
            <a:extLst>
              <a:ext uri="{FF2B5EF4-FFF2-40B4-BE49-F238E27FC236}">
                <a16:creationId xmlns:a16="http://schemas.microsoft.com/office/drawing/2014/main" id="{49584B09-4096-4DEF-3715-2CAB8D8E12E7}"/>
              </a:ext>
            </a:extLst>
          </xdr:cNvPr>
          <xdr:cNvSpPr>
            <a:spLocks noChangeArrowheads="1"/>
          </xdr:cNvSpPr>
        </xdr:nvSpPr>
        <xdr:spPr bwMode="auto">
          <a:xfrm>
            <a:off x="1119" y="228"/>
            <a:ext cx="4" cy="5"/>
          </a:xfrm>
          <a:prstGeom prst="rect">
            <a:avLst/>
          </a:prstGeom>
          <a:solidFill>
            <a:srgbClr val="FFFFFF"/>
          </a:solidFill>
          <a:ln w="9525">
            <a:solidFill>
              <a:srgbClr val="000000"/>
            </a:solidFill>
            <a:miter lim="800000"/>
            <a:headEnd/>
            <a:tailEnd/>
          </a:ln>
        </xdr:spPr>
      </xdr:sp>
      <xdr:sp macro="" textlink="">
        <xdr:nvSpPr>
          <xdr:cNvPr id="92565" name="Rectangle 1047">
            <a:extLst>
              <a:ext uri="{FF2B5EF4-FFF2-40B4-BE49-F238E27FC236}">
                <a16:creationId xmlns:a16="http://schemas.microsoft.com/office/drawing/2014/main" id="{230721CA-908A-FE1E-4BDC-7FFFF4977151}"/>
              </a:ext>
            </a:extLst>
          </xdr:cNvPr>
          <xdr:cNvSpPr>
            <a:spLocks noChangeArrowheads="1"/>
          </xdr:cNvSpPr>
        </xdr:nvSpPr>
        <xdr:spPr bwMode="auto">
          <a:xfrm>
            <a:off x="1087" y="228"/>
            <a:ext cx="4" cy="5"/>
          </a:xfrm>
          <a:prstGeom prst="rect">
            <a:avLst/>
          </a:prstGeom>
          <a:solidFill>
            <a:srgbClr val="FFFFFF"/>
          </a:solidFill>
          <a:ln w="9525">
            <a:solidFill>
              <a:srgbClr val="000000"/>
            </a:solidFill>
            <a:miter lim="800000"/>
            <a:headEnd/>
            <a:tailEnd/>
          </a:ln>
        </xdr:spPr>
      </xdr:sp>
      <xdr:sp macro="" textlink="">
        <xdr:nvSpPr>
          <xdr:cNvPr id="92566" name="Rectangle 1048">
            <a:extLst>
              <a:ext uri="{FF2B5EF4-FFF2-40B4-BE49-F238E27FC236}">
                <a16:creationId xmlns:a16="http://schemas.microsoft.com/office/drawing/2014/main" id="{DB00F1F9-39FC-75A0-8670-EA460D73DD41}"/>
              </a:ext>
            </a:extLst>
          </xdr:cNvPr>
          <xdr:cNvSpPr>
            <a:spLocks noChangeArrowheads="1"/>
          </xdr:cNvSpPr>
        </xdr:nvSpPr>
        <xdr:spPr bwMode="auto">
          <a:xfrm>
            <a:off x="1086" y="262"/>
            <a:ext cx="4" cy="5"/>
          </a:xfrm>
          <a:prstGeom prst="rect">
            <a:avLst/>
          </a:prstGeom>
          <a:solidFill>
            <a:srgbClr val="FFFFFF"/>
          </a:solidFill>
          <a:ln w="9525">
            <a:solidFill>
              <a:srgbClr val="000000"/>
            </a:solidFill>
            <a:miter lim="800000"/>
            <a:headEnd/>
            <a:tailEnd/>
          </a:ln>
        </xdr:spPr>
      </xdr:sp>
      <xdr:sp macro="" textlink="">
        <xdr:nvSpPr>
          <xdr:cNvPr id="92567" name="Rectangle 1049">
            <a:extLst>
              <a:ext uri="{FF2B5EF4-FFF2-40B4-BE49-F238E27FC236}">
                <a16:creationId xmlns:a16="http://schemas.microsoft.com/office/drawing/2014/main" id="{59F6DC9F-0CAF-8DF2-87D6-4200AC6568E0}"/>
              </a:ext>
            </a:extLst>
          </xdr:cNvPr>
          <xdr:cNvSpPr>
            <a:spLocks noChangeArrowheads="1"/>
          </xdr:cNvSpPr>
        </xdr:nvSpPr>
        <xdr:spPr bwMode="auto">
          <a:xfrm>
            <a:off x="1101" y="262"/>
            <a:ext cx="5" cy="5"/>
          </a:xfrm>
          <a:prstGeom prst="rect">
            <a:avLst/>
          </a:prstGeom>
          <a:solidFill>
            <a:srgbClr val="FFFFFF"/>
          </a:solidFill>
          <a:ln w="9525">
            <a:solidFill>
              <a:srgbClr val="000000"/>
            </a:solidFill>
            <a:miter lim="800000"/>
            <a:headEnd/>
            <a:tailEnd/>
          </a:ln>
        </xdr:spPr>
      </xdr:sp>
      <xdr:grpSp>
        <xdr:nvGrpSpPr>
          <xdr:cNvPr id="92568" name="Group 1050">
            <a:extLst>
              <a:ext uri="{FF2B5EF4-FFF2-40B4-BE49-F238E27FC236}">
                <a16:creationId xmlns:a16="http://schemas.microsoft.com/office/drawing/2014/main" id="{0352DD34-9F3C-583E-B892-2E86A177E7EF}"/>
              </a:ext>
            </a:extLst>
          </xdr:cNvPr>
          <xdr:cNvGrpSpPr>
            <a:grpSpLocks/>
          </xdr:cNvGrpSpPr>
        </xdr:nvGrpSpPr>
        <xdr:grpSpPr bwMode="auto">
          <a:xfrm>
            <a:off x="1058" y="317"/>
            <a:ext cx="113" cy="24"/>
            <a:chOff x="272" y="436"/>
            <a:chExt cx="113" cy="21"/>
          </a:xfrm>
        </xdr:grpSpPr>
        <xdr:sp macro="" textlink="">
          <xdr:nvSpPr>
            <xdr:cNvPr id="92569" name="Rectangle 1051">
              <a:extLst>
                <a:ext uri="{FF2B5EF4-FFF2-40B4-BE49-F238E27FC236}">
                  <a16:creationId xmlns:a16="http://schemas.microsoft.com/office/drawing/2014/main" id="{87D101AD-F29D-A242-FB6F-92B7C141254D}"/>
                </a:ext>
              </a:extLst>
            </xdr:cNvPr>
            <xdr:cNvSpPr>
              <a:spLocks noChangeArrowheads="1"/>
            </xdr:cNvSpPr>
          </xdr:nvSpPr>
          <xdr:spPr bwMode="auto">
            <a:xfrm>
              <a:off x="272" y="442"/>
              <a:ext cx="113" cy="15"/>
            </a:xfrm>
            <a:prstGeom prst="rect">
              <a:avLst/>
            </a:prstGeom>
            <a:solidFill>
              <a:srgbClr val="FFFFFF"/>
            </a:solidFill>
            <a:ln w="9525">
              <a:solidFill>
                <a:srgbClr val="000000"/>
              </a:solidFill>
              <a:miter lim="800000"/>
              <a:headEnd/>
              <a:tailEnd/>
            </a:ln>
          </xdr:spPr>
        </xdr:sp>
        <xdr:sp macro="" textlink="">
          <xdr:nvSpPr>
            <xdr:cNvPr id="92570" name="Rectangle 1052">
              <a:extLst>
                <a:ext uri="{FF2B5EF4-FFF2-40B4-BE49-F238E27FC236}">
                  <a16:creationId xmlns:a16="http://schemas.microsoft.com/office/drawing/2014/main" id="{4C588A94-9146-5250-5CA1-E8FDF173F8BF}"/>
                </a:ext>
              </a:extLst>
            </xdr:cNvPr>
            <xdr:cNvSpPr>
              <a:spLocks noChangeArrowheads="1"/>
            </xdr:cNvSpPr>
          </xdr:nvSpPr>
          <xdr:spPr bwMode="auto">
            <a:xfrm>
              <a:off x="371" y="436"/>
              <a:ext cx="6" cy="6"/>
            </a:xfrm>
            <a:prstGeom prst="rect">
              <a:avLst/>
            </a:prstGeom>
            <a:solidFill>
              <a:srgbClr val="FFFFFF"/>
            </a:solidFill>
            <a:ln w="9525">
              <a:solidFill>
                <a:srgbClr val="000000"/>
              </a:solidFill>
              <a:miter lim="800000"/>
              <a:headEnd/>
              <a:tailEnd/>
            </a:ln>
          </xdr:spPr>
        </xdr:sp>
        <xdr:sp macro="" textlink="">
          <xdr:nvSpPr>
            <xdr:cNvPr id="92571" name="Rectangle 1053">
              <a:extLst>
                <a:ext uri="{FF2B5EF4-FFF2-40B4-BE49-F238E27FC236}">
                  <a16:creationId xmlns:a16="http://schemas.microsoft.com/office/drawing/2014/main" id="{A8C9BA7E-C806-42CA-526B-D22238684849}"/>
                </a:ext>
              </a:extLst>
            </xdr:cNvPr>
            <xdr:cNvSpPr>
              <a:spLocks noChangeArrowheads="1"/>
            </xdr:cNvSpPr>
          </xdr:nvSpPr>
          <xdr:spPr bwMode="auto">
            <a:xfrm>
              <a:off x="279" y="436"/>
              <a:ext cx="6" cy="6"/>
            </a:xfrm>
            <a:prstGeom prst="rect">
              <a:avLst/>
            </a:prstGeom>
            <a:solidFill>
              <a:srgbClr val="FFFFFF"/>
            </a:solidFill>
            <a:ln w="9525">
              <a:solidFill>
                <a:srgbClr val="000000"/>
              </a:solidFill>
              <a:miter lim="800000"/>
              <a:headEnd/>
              <a:tailEnd/>
            </a:ln>
          </xdr:spPr>
        </xdr:sp>
        <xdr:sp macro="" textlink="">
          <xdr:nvSpPr>
            <xdr:cNvPr id="92572" name="Rectangle 1054">
              <a:extLst>
                <a:ext uri="{FF2B5EF4-FFF2-40B4-BE49-F238E27FC236}">
                  <a16:creationId xmlns:a16="http://schemas.microsoft.com/office/drawing/2014/main" id="{EF8EEE27-028D-B060-F992-C00E42C628CC}"/>
                </a:ext>
              </a:extLst>
            </xdr:cNvPr>
            <xdr:cNvSpPr>
              <a:spLocks noChangeArrowheads="1"/>
            </xdr:cNvSpPr>
          </xdr:nvSpPr>
          <xdr:spPr bwMode="auto">
            <a:xfrm>
              <a:off x="298" y="436"/>
              <a:ext cx="6" cy="6"/>
            </a:xfrm>
            <a:prstGeom prst="rect">
              <a:avLst/>
            </a:prstGeom>
            <a:solidFill>
              <a:srgbClr val="FFFFFF"/>
            </a:solidFill>
            <a:ln w="9525">
              <a:solidFill>
                <a:srgbClr val="000000"/>
              </a:solidFill>
              <a:miter lim="800000"/>
              <a:headEnd/>
              <a:tailEnd/>
            </a:ln>
          </xdr:spPr>
        </xdr:sp>
        <xdr:sp macro="" textlink="">
          <xdr:nvSpPr>
            <xdr:cNvPr id="92573" name="Rectangle 1055">
              <a:extLst>
                <a:ext uri="{FF2B5EF4-FFF2-40B4-BE49-F238E27FC236}">
                  <a16:creationId xmlns:a16="http://schemas.microsoft.com/office/drawing/2014/main" id="{DABB5F64-FE9C-634D-34B6-9D2F3370874F}"/>
                </a:ext>
              </a:extLst>
            </xdr:cNvPr>
            <xdr:cNvSpPr>
              <a:spLocks noChangeArrowheads="1"/>
            </xdr:cNvSpPr>
          </xdr:nvSpPr>
          <xdr:spPr bwMode="auto">
            <a:xfrm>
              <a:off x="318" y="436"/>
              <a:ext cx="6" cy="6"/>
            </a:xfrm>
            <a:prstGeom prst="rect">
              <a:avLst/>
            </a:prstGeom>
            <a:solidFill>
              <a:srgbClr val="FFFFFF"/>
            </a:solidFill>
            <a:ln w="9525">
              <a:solidFill>
                <a:srgbClr val="000000"/>
              </a:solidFill>
              <a:miter lim="800000"/>
              <a:headEnd/>
              <a:tailEnd/>
            </a:ln>
          </xdr:spPr>
        </xdr:sp>
        <xdr:sp macro="" textlink="">
          <xdr:nvSpPr>
            <xdr:cNvPr id="92574" name="Rectangle 1056">
              <a:extLst>
                <a:ext uri="{FF2B5EF4-FFF2-40B4-BE49-F238E27FC236}">
                  <a16:creationId xmlns:a16="http://schemas.microsoft.com/office/drawing/2014/main" id="{74DCFB6F-699E-E4CB-2885-133D84184579}"/>
                </a:ext>
              </a:extLst>
            </xdr:cNvPr>
            <xdr:cNvSpPr>
              <a:spLocks noChangeArrowheads="1"/>
            </xdr:cNvSpPr>
          </xdr:nvSpPr>
          <xdr:spPr bwMode="auto">
            <a:xfrm>
              <a:off x="337" y="436"/>
              <a:ext cx="6" cy="6"/>
            </a:xfrm>
            <a:prstGeom prst="rect">
              <a:avLst/>
            </a:prstGeom>
            <a:solidFill>
              <a:srgbClr val="FFFFFF"/>
            </a:solidFill>
            <a:ln w="9525">
              <a:solidFill>
                <a:srgbClr val="000000"/>
              </a:solidFill>
              <a:miter lim="800000"/>
              <a:headEnd/>
              <a:tailEnd/>
            </a:ln>
          </xdr:spPr>
        </xdr:sp>
        <xdr:sp macro="" textlink="">
          <xdr:nvSpPr>
            <xdr:cNvPr id="92575" name="Rectangle 1057">
              <a:extLst>
                <a:ext uri="{FF2B5EF4-FFF2-40B4-BE49-F238E27FC236}">
                  <a16:creationId xmlns:a16="http://schemas.microsoft.com/office/drawing/2014/main" id="{D69CDF0B-DE31-A87E-A144-CFEF719B88B9}"/>
                </a:ext>
              </a:extLst>
            </xdr:cNvPr>
            <xdr:cNvSpPr>
              <a:spLocks noChangeArrowheads="1"/>
            </xdr:cNvSpPr>
          </xdr:nvSpPr>
          <xdr:spPr bwMode="auto">
            <a:xfrm>
              <a:off x="355" y="436"/>
              <a:ext cx="6" cy="6"/>
            </a:xfrm>
            <a:prstGeom prst="rect">
              <a:avLst/>
            </a:prstGeom>
            <a:solidFill>
              <a:srgbClr val="FFFFFF"/>
            </a:solidFill>
            <a:ln w="9525">
              <a:solidFill>
                <a:srgbClr val="000000"/>
              </a:solidFill>
              <a:miter lim="800000"/>
              <a:headEnd/>
              <a:tailEnd/>
            </a:ln>
          </xdr:spPr>
        </xdr:sp>
      </xdr:grpSp>
    </xdr:grpSp>
    <xdr:clientData/>
  </xdr:twoCellAnchor>
  <xdr:twoCellAnchor>
    <xdr:from>
      <xdr:col>13</xdr:col>
      <xdr:colOff>566057</xdr:colOff>
      <xdr:row>220</xdr:row>
      <xdr:rowOff>149679</xdr:rowOff>
    </xdr:from>
    <xdr:to>
      <xdr:col>16</xdr:col>
      <xdr:colOff>525236</xdr:colOff>
      <xdr:row>236</xdr:row>
      <xdr:rowOff>8164</xdr:rowOff>
    </xdr:to>
    <xdr:grpSp>
      <xdr:nvGrpSpPr>
        <xdr:cNvPr id="92291" name="Group 1058">
          <a:extLst>
            <a:ext uri="{FF2B5EF4-FFF2-40B4-BE49-F238E27FC236}">
              <a16:creationId xmlns:a16="http://schemas.microsoft.com/office/drawing/2014/main" id="{71D197CB-6336-69E1-1DC6-CFB5BAC5ADBB}"/>
            </a:ext>
          </a:extLst>
        </xdr:cNvPr>
        <xdr:cNvGrpSpPr>
          <a:grpSpLocks/>
        </xdr:cNvGrpSpPr>
      </xdr:nvGrpSpPr>
      <xdr:grpSpPr bwMode="auto">
        <a:xfrm>
          <a:off x="8973670" y="41605040"/>
          <a:ext cx="1899398" cy="2675964"/>
          <a:chOff x="959" y="323"/>
          <a:chExt cx="188" cy="251"/>
        </a:xfrm>
      </xdr:grpSpPr>
      <xdr:grpSp>
        <xdr:nvGrpSpPr>
          <xdr:cNvPr id="92412" name="Group 1059">
            <a:extLst>
              <a:ext uri="{FF2B5EF4-FFF2-40B4-BE49-F238E27FC236}">
                <a16:creationId xmlns:a16="http://schemas.microsoft.com/office/drawing/2014/main" id="{6683D980-2732-C936-A065-6408E67CE428}"/>
              </a:ext>
            </a:extLst>
          </xdr:cNvPr>
          <xdr:cNvGrpSpPr>
            <a:grpSpLocks/>
          </xdr:cNvGrpSpPr>
        </xdr:nvGrpSpPr>
        <xdr:grpSpPr bwMode="auto">
          <a:xfrm>
            <a:off x="959" y="323"/>
            <a:ext cx="188" cy="233"/>
            <a:chOff x="983" y="284"/>
            <a:chExt cx="138" cy="160"/>
          </a:xfrm>
        </xdr:grpSpPr>
        <xdr:grpSp>
          <xdr:nvGrpSpPr>
            <xdr:cNvPr id="92421" name="Group 1060">
              <a:extLst>
                <a:ext uri="{FF2B5EF4-FFF2-40B4-BE49-F238E27FC236}">
                  <a16:creationId xmlns:a16="http://schemas.microsoft.com/office/drawing/2014/main" id="{197670D5-4D43-9C1D-7DDF-97A9A30C9FD9}"/>
                </a:ext>
              </a:extLst>
            </xdr:cNvPr>
            <xdr:cNvGrpSpPr>
              <a:grpSpLocks/>
            </xdr:cNvGrpSpPr>
          </xdr:nvGrpSpPr>
          <xdr:grpSpPr bwMode="auto">
            <a:xfrm>
              <a:off x="1089" y="405"/>
              <a:ext cx="26" cy="31"/>
              <a:chOff x="172" y="107"/>
              <a:chExt cx="26" cy="32"/>
            </a:xfrm>
          </xdr:grpSpPr>
          <xdr:sp macro="" textlink="">
            <xdr:nvSpPr>
              <xdr:cNvPr id="92525" name="Oval 1061">
                <a:extLst>
                  <a:ext uri="{FF2B5EF4-FFF2-40B4-BE49-F238E27FC236}">
                    <a16:creationId xmlns:a16="http://schemas.microsoft.com/office/drawing/2014/main" id="{DBE1F601-F0B6-D970-A1AF-703B350A07F3}"/>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526" name="Line 1062">
                <a:extLst>
                  <a:ext uri="{FF2B5EF4-FFF2-40B4-BE49-F238E27FC236}">
                    <a16:creationId xmlns:a16="http://schemas.microsoft.com/office/drawing/2014/main" id="{84694DE4-04F4-981B-1425-8CB5D6A05E76}"/>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27" name="Line 1063">
                <a:extLst>
                  <a:ext uri="{FF2B5EF4-FFF2-40B4-BE49-F238E27FC236}">
                    <a16:creationId xmlns:a16="http://schemas.microsoft.com/office/drawing/2014/main" id="{F123F432-A3C9-8EE6-1DE7-34C6BA4B0449}"/>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28" name="Line 1064">
                <a:extLst>
                  <a:ext uri="{FF2B5EF4-FFF2-40B4-BE49-F238E27FC236}">
                    <a16:creationId xmlns:a16="http://schemas.microsoft.com/office/drawing/2014/main" id="{0B5CE67A-8308-1043-979B-3056C5E1FE55}"/>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29" name="Line 1065">
                <a:extLst>
                  <a:ext uri="{FF2B5EF4-FFF2-40B4-BE49-F238E27FC236}">
                    <a16:creationId xmlns:a16="http://schemas.microsoft.com/office/drawing/2014/main" id="{243CF7FC-242E-5E44-3152-E914B24C5B77}"/>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30" name="Line 1066">
                <a:extLst>
                  <a:ext uri="{FF2B5EF4-FFF2-40B4-BE49-F238E27FC236}">
                    <a16:creationId xmlns:a16="http://schemas.microsoft.com/office/drawing/2014/main" id="{BA87CDDB-6E89-C3FA-14A9-5F5604DE7662}"/>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31" name="Line 1067">
                <a:extLst>
                  <a:ext uri="{FF2B5EF4-FFF2-40B4-BE49-F238E27FC236}">
                    <a16:creationId xmlns:a16="http://schemas.microsoft.com/office/drawing/2014/main" id="{FA1378AC-0A82-23B7-5676-92821B502052}"/>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32" name="Freeform 1068">
                <a:extLst>
                  <a:ext uri="{FF2B5EF4-FFF2-40B4-BE49-F238E27FC236}">
                    <a16:creationId xmlns:a16="http://schemas.microsoft.com/office/drawing/2014/main" id="{52D607B5-D62A-FB65-B42E-4F8CCAC3B5DF}"/>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533" name="Freeform 1069">
                <a:extLst>
                  <a:ext uri="{FF2B5EF4-FFF2-40B4-BE49-F238E27FC236}">
                    <a16:creationId xmlns:a16="http://schemas.microsoft.com/office/drawing/2014/main" id="{8FB8E273-BA39-3C6F-4ED5-00E202E44249}"/>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534" name="Freeform 1070">
                <a:extLst>
                  <a:ext uri="{FF2B5EF4-FFF2-40B4-BE49-F238E27FC236}">
                    <a16:creationId xmlns:a16="http://schemas.microsoft.com/office/drawing/2014/main" id="{4F958F04-3F55-5C9D-9658-896E53236E1B}"/>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535" name="Oval 1071">
                <a:extLst>
                  <a:ext uri="{FF2B5EF4-FFF2-40B4-BE49-F238E27FC236}">
                    <a16:creationId xmlns:a16="http://schemas.microsoft.com/office/drawing/2014/main" id="{6B201459-C909-793A-E69F-8E8C57EC705F}"/>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536" name="Oval 1072">
                <a:extLst>
                  <a:ext uri="{FF2B5EF4-FFF2-40B4-BE49-F238E27FC236}">
                    <a16:creationId xmlns:a16="http://schemas.microsoft.com/office/drawing/2014/main" id="{1FFCADEE-AE0E-CFC1-6039-44F89928B08C}"/>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422" name="Rectangle 1073">
              <a:extLst>
                <a:ext uri="{FF2B5EF4-FFF2-40B4-BE49-F238E27FC236}">
                  <a16:creationId xmlns:a16="http://schemas.microsoft.com/office/drawing/2014/main" id="{603982AC-AB40-9613-9043-DCE3EAD3B79D}"/>
                </a:ext>
              </a:extLst>
            </xdr:cNvPr>
            <xdr:cNvSpPr>
              <a:spLocks noChangeArrowheads="1"/>
            </xdr:cNvSpPr>
          </xdr:nvSpPr>
          <xdr:spPr bwMode="auto">
            <a:xfrm>
              <a:off x="1116" y="413"/>
              <a:ext cx="5" cy="16"/>
            </a:xfrm>
            <a:prstGeom prst="rect">
              <a:avLst/>
            </a:prstGeom>
            <a:solidFill>
              <a:srgbClr val="FFFFFF"/>
            </a:solidFill>
            <a:ln w="9525">
              <a:solidFill>
                <a:srgbClr val="000000"/>
              </a:solidFill>
              <a:miter lim="800000"/>
              <a:headEnd/>
              <a:tailEnd/>
            </a:ln>
          </xdr:spPr>
        </xdr:sp>
        <xdr:sp macro="" textlink="">
          <xdr:nvSpPr>
            <xdr:cNvPr id="92423" name="Rectangle 1074">
              <a:extLst>
                <a:ext uri="{FF2B5EF4-FFF2-40B4-BE49-F238E27FC236}">
                  <a16:creationId xmlns:a16="http://schemas.microsoft.com/office/drawing/2014/main" id="{B52E790B-4ECE-1E4E-C252-7B9E84CBFD31}"/>
                </a:ext>
              </a:extLst>
            </xdr:cNvPr>
            <xdr:cNvSpPr>
              <a:spLocks noChangeArrowheads="1"/>
            </xdr:cNvSpPr>
          </xdr:nvSpPr>
          <xdr:spPr bwMode="auto">
            <a:xfrm>
              <a:off x="1083" y="413"/>
              <a:ext cx="5" cy="16"/>
            </a:xfrm>
            <a:prstGeom prst="rect">
              <a:avLst/>
            </a:prstGeom>
            <a:solidFill>
              <a:srgbClr val="FFFFFF"/>
            </a:solidFill>
            <a:ln w="9525">
              <a:solidFill>
                <a:srgbClr val="000000"/>
              </a:solidFill>
              <a:miter lim="800000"/>
              <a:headEnd/>
              <a:tailEnd/>
            </a:ln>
          </xdr:spPr>
        </xdr:sp>
        <xdr:grpSp>
          <xdr:nvGrpSpPr>
            <xdr:cNvPr id="92424" name="Group 1075">
              <a:extLst>
                <a:ext uri="{FF2B5EF4-FFF2-40B4-BE49-F238E27FC236}">
                  <a16:creationId xmlns:a16="http://schemas.microsoft.com/office/drawing/2014/main" id="{80316317-B9FD-7327-B87D-3F2458F7A353}"/>
                </a:ext>
              </a:extLst>
            </xdr:cNvPr>
            <xdr:cNvGrpSpPr>
              <a:grpSpLocks/>
            </xdr:cNvGrpSpPr>
          </xdr:nvGrpSpPr>
          <xdr:grpSpPr bwMode="auto">
            <a:xfrm>
              <a:off x="983" y="405"/>
              <a:ext cx="38" cy="31"/>
              <a:chOff x="63" y="107"/>
              <a:chExt cx="38" cy="32"/>
            </a:xfrm>
          </xdr:grpSpPr>
          <xdr:grpSp>
            <xdr:nvGrpSpPr>
              <xdr:cNvPr id="92510" name="Group 1076">
                <a:extLst>
                  <a:ext uri="{FF2B5EF4-FFF2-40B4-BE49-F238E27FC236}">
                    <a16:creationId xmlns:a16="http://schemas.microsoft.com/office/drawing/2014/main" id="{6945E15C-0086-8FCD-70BA-2FAF804FE84C}"/>
                  </a:ext>
                </a:extLst>
              </xdr:cNvPr>
              <xdr:cNvGrpSpPr>
                <a:grpSpLocks/>
              </xdr:cNvGrpSpPr>
            </xdr:nvGrpSpPr>
            <xdr:grpSpPr bwMode="auto">
              <a:xfrm>
                <a:off x="69" y="107"/>
                <a:ext cx="26" cy="32"/>
                <a:chOff x="172" y="107"/>
                <a:chExt cx="26" cy="32"/>
              </a:xfrm>
            </xdr:grpSpPr>
            <xdr:sp macro="" textlink="">
              <xdr:nvSpPr>
                <xdr:cNvPr id="92513" name="Oval 1077">
                  <a:extLst>
                    <a:ext uri="{FF2B5EF4-FFF2-40B4-BE49-F238E27FC236}">
                      <a16:creationId xmlns:a16="http://schemas.microsoft.com/office/drawing/2014/main" id="{06D6D30A-B412-E25D-C77A-D8C411F2A5D9}"/>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514" name="Line 1078">
                  <a:extLst>
                    <a:ext uri="{FF2B5EF4-FFF2-40B4-BE49-F238E27FC236}">
                      <a16:creationId xmlns:a16="http://schemas.microsoft.com/office/drawing/2014/main" id="{C87AA84E-594D-ED79-CB9C-88A0F6E1FE00}"/>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15" name="Line 1079">
                  <a:extLst>
                    <a:ext uri="{FF2B5EF4-FFF2-40B4-BE49-F238E27FC236}">
                      <a16:creationId xmlns:a16="http://schemas.microsoft.com/office/drawing/2014/main" id="{B7BE3D8D-89C3-ACCB-DAC4-7721682F4341}"/>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16" name="Line 1080">
                  <a:extLst>
                    <a:ext uri="{FF2B5EF4-FFF2-40B4-BE49-F238E27FC236}">
                      <a16:creationId xmlns:a16="http://schemas.microsoft.com/office/drawing/2014/main" id="{6DCB8B65-8393-A5F9-999F-F74B160BDF2D}"/>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17" name="Line 1081">
                  <a:extLst>
                    <a:ext uri="{FF2B5EF4-FFF2-40B4-BE49-F238E27FC236}">
                      <a16:creationId xmlns:a16="http://schemas.microsoft.com/office/drawing/2014/main" id="{8352602D-AD16-F3B3-A193-DF508849A206}"/>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18" name="Line 1082">
                  <a:extLst>
                    <a:ext uri="{FF2B5EF4-FFF2-40B4-BE49-F238E27FC236}">
                      <a16:creationId xmlns:a16="http://schemas.microsoft.com/office/drawing/2014/main" id="{9E9D9138-DD93-CC6E-8B8E-54124F7C04A0}"/>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19" name="Line 1083">
                  <a:extLst>
                    <a:ext uri="{FF2B5EF4-FFF2-40B4-BE49-F238E27FC236}">
                      <a16:creationId xmlns:a16="http://schemas.microsoft.com/office/drawing/2014/main" id="{44F80512-B3E1-00E4-F6BB-17DF066BFE3B}"/>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20" name="Freeform 1084">
                  <a:extLst>
                    <a:ext uri="{FF2B5EF4-FFF2-40B4-BE49-F238E27FC236}">
                      <a16:creationId xmlns:a16="http://schemas.microsoft.com/office/drawing/2014/main" id="{2459D52F-BF5E-4841-7770-0EB191551C1D}"/>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521" name="Freeform 1085">
                  <a:extLst>
                    <a:ext uri="{FF2B5EF4-FFF2-40B4-BE49-F238E27FC236}">
                      <a16:creationId xmlns:a16="http://schemas.microsoft.com/office/drawing/2014/main" id="{DC7792BE-C4F2-5386-0F88-1B1BAB9C6232}"/>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522" name="Freeform 1086">
                  <a:extLst>
                    <a:ext uri="{FF2B5EF4-FFF2-40B4-BE49-F238E27FC236}">
                      <a16:creationId xmlns:a16="http://schemas.microsoft.com/office/drawing/2014/main" id="{785C153D-8C0A-BA4A-5B44-A727A4662A5D}"/>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523" name="Oval 1087">
                  <a:extLst>
                    <a:ext uri="{FF2B5EF4-FFF2-40B4-BE49-F238E27FC236}">
                      <a16:creationId xmlns:a16="http://schemas.microsoft.com/office/drawing/2014/main" id="{F6BBAB87-3431-6842-5866-D59A5A95A992}"/>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524" name="Oval 1088">
                  <a:extLst>
                    <a:ext uri="{FF2B5EF4-FFF2-40B4-BE49-F238E27FC236}">
                      <a16:creationId xmlns:a16="http://schemas.microsoft.com/office/drawing/2014/main" id="{C87D2EEB-5C66-BC31-D6AD-EC2A6612E20D}"/>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511" name="Rectangle 1089">
                <a:extLst>
                  <a:ext uri="{FF2B5EF4-FFF2-40B4-BE49-F238E27FC236}">
                    <a16:creationId xmlns:a16="http://schemas.microsoft.com/office/drawing/2014/main" id="{71602EE9-440E-A1C2-2AEF-D3484ECAEAB3}"/>
                  </a:ext>
                </a:extLst>
              </xdr:cNvPr>
              <xdr:cNvSpPr>
                <a:spLocks noChangeArrowheads="1"/>
              </xdr:cNvSpPr>
            </xdr:nvSpPr>
            <xdr:spPr bwMode="auto">
              <a:xfrm>
                <a:off x="96" y="115"/>
                <a:ext cx="5" cy="17"/>
              </a:xfrm>
              <a:prstGeom prst="rect">
                <a:avLst/>
              </a:prstGeom>
              <a:solidFill>
                <a:srgbClr val="FFFFFF"/>
              </a:solidFill>
              <a:ln w="9525">
                <a:solidFill>
                  <a:srgbClr val="000000"/>
                </a:solidFill>
                <a:miter lim="800000"/>
                <a:headEnd/>
                <a:tailEnd/>
              </a:ln>
            </xdr:spPr>
          </xdr:sp>
          <xdr:sp macro="" textlink="">
            <xdr:nvSpPr>
              <xdr:cNvPr id="92512" name="Rectangle 1090">
                <a:extLst>
                  <a:ext uri="{FF2B5EF4-FFF2-40B4-BE49-F238E27FC236}">
                    <a16:creationId xmlns:a16="http://schemas.microsoft.com/office/drawing/2014/main" id="{C1603106-F850-15ED-FE03-3EAB165A87AF}"/>
                  </a:ext>
                </a:extLst>
              </xdr:cNvPr>
              <xdr:cNvSpPr>
                <a:spLocks noChangeArrowheads="1"/>
              </xdr:cNvSpPr>
            </xdr:nvSpPr>
            <xdr:spPr bwMode="auto">
              <a:xfrm>
                <a:off x="63" y="115"/>
                <a:ext cx="5" cy="17"/>
              </a:xfrm>
              <a:prstGeom prst="rect">
                <a:avLst/>
              </a:prstGeom>
              <a:solidFill>
                <a:srgbClr val="FFFFFF"/>
              </a:solidFill>
              <a:ln w="9525">
                <a:solidFill>
                  <a:srgbClr val="000000"/>
                </a:solidFill>
                <a:miter lim="800000"/>
                <a:headEnd/>
                <a:tailEnd/>
              </a:ln>
            </xdr:spPr>
          </xdr:sp>
        </xdr:grpSp>
        <xdr:grpSp>
          <xdr:nvGrpSpPr>
            <xdr:cNvPr id="92425" name="Group 1091">
              <a:extLst>
                <a:ext uri="{FF2B5EF4-FFF2-40B4-BE49-F238E27FC236}">
                  <a16:creationId xmlns:a16="http://schemas.microsoft.com/office/drawing/2014/main" id="{FDBDDFAF-A3FA-FA5D-0B79-607CAAF70BB3}"/>
                </a:ext>
              </a:extLst>
            </xdr:cNvPr>
            <xdr:cNvGrpSpPr>
              <a:grpSpLocks/>
            </xdr:cNvGrpSpPr>
          </xdr:nvGrpSpPr>
          <xdr:grpSpPr bwMode="auto">
            <a:xfrm>
              <a:off x="1037" y="350"/>
              <a:ext cx="32" cy="37"/>
              <a:chOff x="1037" y="349"/>
              <a:chExt cx="32" cy="37"/>
            </a:xfrm>
          </xdr:grpSpPr>
          <xdr:grpSp>
            <xdr:nvGrpSpPr>
              <xdr:cNvPr id="92495" name="Group 1092">
                <a:extLst>
                  <a:ext uri="{FF2B5EF4-FFF2-40B4-BE49-F238E27FC236}">
                    <a16:creationId xmlns:a16="http://schemas.microsoft.com/office/drawing/2014/main" id="{CC676C55-1392-28D2-473C-D934A1F0C53A}"/>
                  </a:ext>
                </a:extLst>
              </xdr:cNvPr>
              <xdr:cNvGrpSpPr>
                <a:grpSpLocks/>
              </xdr:cNvGrpSpPr>
            </xdr:nvGrpSpPr>
            <xdr:grpSpPr bwMode="auto">
              <a:xfrm rot="5400000">
                <a:off x="1040" y="353"/>
                <a:ext cx="25" cy="32"/>
                <a:chOff x="172" y="107"/>
                <a:chExt cx="26" cy="32"/>
              </a:xfrm>
            </xdr:grpSpPr>
            <xdr:sp macro="" textlink="">
              <xdr:nvSpPr>
                <xdr:cNvPr id="92498" name="Oval 1093">
                  <a:extLst>
                    <a:ext uri="{FF2B5EF4-FFF2-40B4-BE49-F238E27FC236}">
                      <a16:creationId xmlns:a16="http://schemas.microsoft.com/office/drawing/2014/main" id="{02CFE46D-2F83-D367-3F20-36938411C3E6}"/>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499" name="Line 1094">
                  <a:extLst>
                    <a:ext uri="{FF2B5EF4-FFF2-40B4-BE49-F238E27FC236}">
                      <a16:creationId xmlns:a16="http://schemas.microsoft.com/office/drawing/2014/main" id="{2DEA9A9E-99BE-483E-2AA4-B5B4FC03B957}"/>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00" name="Line 1095">
                  <a:extLst>
                    <a:ext uri="{FF2B5EF4-FFF2-40B4-BE49-F238E27FC236}">
                      <a16:creationId xmlns:a16="http://schemas.microsoft.com/office/drawing/2014/main" id="{297E5245-A5C9-7A77-5BC0-BBA587D3704C}"/>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01" name="Line 1096">
                  <a:extLst>
                    <a:ext uri="{FF2B5EF4-FFF2-40B4-BE49-F238E27FC236}">
                      <a16:creationId xmlns:a16="http://schemas.microsoft.com/office/drawing/2014/main" id="{89A131DF-1DAC-5923-87D0-B11945375E1E}"/>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02" name="Line 1097">
                  <a:extLst>
                    <a:ext uri="{FF2B5EF4-FFF2-40B4-BE49-F238E27FC236}">
                      <a16:creationId xmlns:a16="http://schemas.microsoft.com/office/drawing/2014/main" id="{40C8DA9A-B5F5-01E6-E327-3C4EC6256016}"/>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03" name="Line 1098">
                  <a:extLst>
                    <a:ext uri="{FF2B5EF4-FFF2-40B4-BE49-F238E27FC236}">
                      <a16:creationId xmlns:a16="http://schemas.microsoft.com/office/drawing/2014/main" id="{21239CC5-3806-7144-42A5-D0565A6C3751}"/>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04" name="Line 1099">
                  <a:extLst>
                    <a:ext uri="{FF2B5EF4-FFF2-40B4-BE49-F238E27FC236}">
                      <a16:creationId xmlns:a16="http://schemas.microsoft.com/office/drawing/2014/main" id="{ADE75D1B-D826-3464-5D4D-6B847DD0CD34}"/>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505" name="Freeform 1100">
                  <a:extLst>
                    <a:ext uri="{FF2B5EF4-FFF2-40B4-BE49-F238E27FC236}">
                      <a16:creationId xmlns:a16="http://schemas.microsoft.com/office/drawing/2014/main" id="{63F42658-DE77-1CE2-0B97-77C3E9892148}"/>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506" name="Freeform 1101">
                  <a:extLst>
                    <a:ext uri="{FF2B5EF4-FFF2-40B4-BE49-F238E27FC236}">
                      <a16:creationId xmlns:a16="http://schemas.microsoft.com/office/drawing/2014/main" id="{3D73B4A1-C177-3A18-1DBD-5A7743465C82}"/>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507" name="Freeform 1102">
                  <a:extLst>
                    <a:ext uri="{FF2B5EF4-FFF2-40B4-BE49-F238E27FC236}">
                      <a16:creationId xmlns:a16="http://schemas.microsoft.com/office/drawing/2014/main" id="{93A6AC32-D630-64E2-7AFF-37EA542C3656}"/>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508" name="Oval 1103">
                  <a:extLst>
                    <a:ext uri="{FF2B5EF4-FFF2-40B4-BE49-F238E27FC236}">
                      <a16:creationId xmlns:a16="http://schemas.microsoft.com/office/drawing/2014/main" id="{BAFD81D4-8726-37B2-2ACB-7330B423C6BC}"/>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509" name="Oval 1104">
                  <a:extLst>
                    <a:ext uri="{FF2B5EF4-FFF2-40B4-BE49-F238E27FC236}">
                      <a16:creationId xmlns:a16="http://schemas.microsoft.com/office/drawing/2014/main" id="{6517023A-6766-1BAD-46D1-2BDF4234E848}"/>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496" name="Rectangle 1105">
                <a:extLst>
                  <a:ext uri="{FF2B5EF4-FFF2-40B4-BE49-F238E27FC236}">
                    <a16:creationId xmlns:a16="http://schemas.microsoft.com/office/drawing/2014/main" id="{96004432-2913-810E-01F8-413B2C7364BD}"/>
                  </a:ext>
                </a:extLst>
              </xdr:cNvPr>
              <xdr:cNvSpPr>
                <a:spLocks noChangeArrowheads="1"/>
              </xdr:cNvSpPr>
            </xdr:nvSpPr>
            <xdr:spPr bwMode="auto">
              <a:xfrm rot="5400000">
                <a:off x="1050" y="375"/>
                <a:ext cx="5" cy="17"/>
              </a:xfrm>
              <a:prstGeom prst="rect">
                <a:avLst/>
              </a:prstGeom>
              <a:solidFill>
                <a:srgbClr val="FFFFFF"/>
              </a:solidFill>
              <a:ln w="9525">
                <a:solidFill>
                  <a:srgbClr val="000000"/>
                </a:solidFill>
                <a:miter lim="800000"/>
                <a:headEnd/>
                <a:tailEnd/>
              </a:ln>
            </xdr:spPr>
          </xdr:sp>
          <xdr:sp macro="" textlink="">
            <xdr:nvSpPr>
              <xdr:cNvPr id="92497" name="Rectangle 1106">
                <a:extLst>
                  <a:ext uri="{FF2B5EF4-FFF2-40B4-BE49-F238E27FC236}">
                    <a16:creationId xmlns:a16="http://schemas.microsoft.com/office/drawing/2014/main" id="{EA21FFDB-90B4-3C1C-ADB4-4665BAFD42EE}"/>
                  </a:ext>
                </a:extLst>
              </xdr:cNvPr>
              <xdr:cNvSpPr>
                <a:spLocks noChangeArrowheads="1"/>
              </xdr:cNvSpPr>
            </xdr:nvSpPr>
            <xdr:spPr bwMode="auto">
              <a:xfrm rot="5400000">
                <a:off x="1050" y="343"/>
                <a:ext cx="5" cy="17"/>
              </a:xfrm>
              <a:prstGeom prst="rect">
                <a:avLst/>
              </a:prstGeom>
              <a:solidFill>
                <a:srgbClr val="FFFFFF"/>
              </a:solidFill>
              <a:ln w="9525">
                <a:solidFill>
                  <a:srgbClr val="000000"/>
                </a:solidFill>
                <a:miter lim="800000"/>
                <a:headEnd/>
                <a:tailEnd/>
              </a:ln>
            </xdr:spPr>
          </xdr:sp>
        </xdr:grpSp>
        <xdr:grpSp>
          <xdr:nvGrpSpPr>
            <xdr:cNvPr id="92426" name="Group 1107">
              <a:extLst>
                <a:ext uri="{FF2B5EF4-FFF2-40B4-BE49-F238E27FC236}">
                  <a16:creationId xmlns:a16="http://schemas.microsoft.com/office/drawing/2014/main" id="{C5332834-88D3-B65B-C502-EA235B6BF0D1}"/>
                </a:ext>
              </a:extLst>
            </xdr:cNvPr>
            <xdr:cNvGrpSpPr>
              <a:grpSpLocks/>
            </xdr:cNvGrpSpPr>
          </xdr:nvGrpSpPr>
          <xdr:grpSpPr bwMode="auto">
            <a:xfrm>
              <a:off x="1041" y="284"/>
              <a:ext cx="32" cy="27"/>
              <a:chOff x="1041" y="282"/>
              <a:chExt cx="32" cy="27"/>
            </a:xfrm>
          </xdr:grpSpPr>
          <xdr:sp macro="" textlink="">
            <xdr:nvSpPr>
              <xdr:cNvPr id="92482" name="Rectangle 1108">
                <a:extLst>
                  <a:ext uri="{FF2B5EF4-FFF2-40B4-BE49-F238E27FC236}">
                    <a16:creationId xmlns:a16="http://schemas.microsoft.com/office/drawing/2014/main" id="{6487E5D8-85C5-F84B-97EF-9B84959AD6B0}"/>
                  </a:ext>
                </a:extLst>
              </xdr:cNvPr>
              <xdr:cNvSpPr>
                <a:spLocks noChangeArrowheads="1"/>
              </xdr:cNvSpPr>
            </xdr:nvSpPr>
            <xdr:spPr bwMode="auto">
              <a:xfrm rot="5400000">
                <a:off x="1063" y="294"/>
                <a:ext cx="15" cy="5"/>
              </a:xfrm>
              <a:prstGeom prst="rect">
                <a:avLst/>
              </a:prstGeom>
              <a:solidFill>
                <a:srgbClr val="FFFFFF"/>
              </a:solidFill>
              <a:ln w="9525">
                <a:solidFill>
                  <a:srgbClr val="000000"/>
                </a:solidFill>
                <a:miter lim="800000"/>
                <a:headEnd/>
                <a:tailEnd/>
              </a:ln>
            </xdr:spPr>
          </xdr:sp>
          <xdr:grpSp>
            <xdr:nvGrpSpPr>
              <xdr:cNvPr id="92483" name="Group 1109">
                <a:extLst>
                  <a:ext uri="{FF2B5EF4-FFF2-40B4-BE49-F238E27FC236}">
                    <a16:creationId xmlns:a16="http://schemas.microsoft.com/office/drawing/2014/main" id="{068CAA79-9BD9-F306-553D-E5407CDE6AF3}"/>
                  </a:ext>
                </a:extLst>
              </xdr:cNvPr>
              <xdr:cNvGrpSpPr>
                <a:grpSpLocks/>
              </xdr:cNvGrpSpPr>
            </xdr:nvGrpSpPr>
            <xdr:grpSpPr bwMode="auto">
              <a:xfrm>
                <a:off x="1041" y="282"/>
                <a:ext cx="27" cy="23"/>
                <a:chOff x="1827" y="79"/>
                <a:chExt cx="27" cy="25"/>
              </a:xfrm>
            </xdr:grpSpPr>
            <xdr:sp macro="" textlink="">
              <xdr:nvSpPr>
                <xdr:cNvPr id="92485" name="Line 1110">
                  <a:extLst>
                    <a:ext uri="{FF2B5EF4-FFF2-40B4-BE49-F238E27FC236}">
                      <a16:creationId xmlns:a16="http://schemas.microsoft.com/office/drawing/2014/main" id="{F99A00EA-D13E-2D47-1F94-17C2321FA6CA}"/>
                    </a:ext>
                  </a:extLst>
                </xdr:cNvPr>
                <xdr:cNvSpPr>
                  <a:spLocks noChangeShapeType="1"/>
                </xdr:cNvSpPr>
              </xdr:nvSpPr>
              <xdr:spPr bwMode="auto">
                <a:xfrm>
                  <a:off x="1832" y="104"/>
                  <a:ext cx="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86" name="Line 1111">
                  <a:extLst>
                    <a:ext uri="{FF2B5EF4-FFF2-40B4-BE49-F238E27FC236}">
                      <a16:creationId xmlns:a16="http://schemas.microsoft.com/office/drawing/2014/main" id="{2065239E-6FED-CE50-0F20-8AC52D07873E}"/>
                    </a:ext>
                  </a:extLst>
                </xdr:cNvPr>
                <xdr:cNvSpPr>
                  <a:spLocks noChangeShapeType="1"/>
                </xdr:cNvSpPr>
              </xdr:nvSpPr>
              <xdr:spPr bwMode="auto">
                <a:xfrm flipV="1">
                  <a:off x="1832" y="87"/>
                  <a:ext cx="0"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87" name="Line 1112">
                  <a:extLst>
                    <a:ext uri="{FF2B5EF4-FFF2-40B4-BE49-F238E27FC236}">
                      <a16:creationId xmlns:a16="http://schemas.microsoft.com/office/drawing/2014/main" id="{56F5C0EB-11C7-8332-109E-AD245958AC87}"/>
                    </a:ext>
                  </a:extLst>
                </xdr:cNvPr>
                <xdr:cNvSpPr>
                  <a:spLocks noChangeShapeType="1"/>
                </xdr:cNvSpPr>
              </xdr:nvSpPr>
              <xdr:spPr bwMode="auto">
                <a:xfrm flipV="1">
                  <a:off x="1845" y="102"/>
                  <a:ext cx="0" cy="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88" name="Line 1113">
                  <a:extLst>
                    <a:ext uri="{FF2B5EF4-FFF2-40B4-BE49-F238E27FC236}">
                      <a16:creationId xmlns:a16="http://schemas.microsoft.com/office/drawing/2014/main" id="{DC993120-0E2C-B842-8E23-7A78F02AD5C4}"/>
                    </a:ext>
                  </a:extLst>
                </xdr:cNvPr>
                <xdr:cNvSpPr>
                  <a:spLocks noChangeShapeType="1"/>
                </xdr:cNvSpPr>
              </xdr:nvSpPr>
              <xdr:spPr bwMode="auto">
                <a:xfrm>
                  <a:off x="1845" y="101"/>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89" name="Line 1114">
                  <a:extLst>
                    <a:ext uri="{FF2B5EF4-FFF2-40B4-BE49-F238E27FC236}">
                      <a16:creationId xmlns:a16="http://schemas.microsoft.com/office/drawing/2014/main" id="{01C1A026-A0D9-47F3-598E-68B658E2DDB9}"/>
                    </a:ext>
                  </a:extLst>
                </xdr:cNvPr>
                <xdr:cNvSpPr>
                  <a:spLocks noChangeShapeType="1"/>
                </xdr:cNvSpPr>
              </xdr:nvSpPr>
              <xdr:spPr bwMode="auto">
                <a:xfrm flipV="1">
                  <a:off x="1854" y="89"/>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90" name="Line 1115">
                  <a:extLst>
                    <a:ext uri="{FF2B5EF4-FFF2-40B4-BE49-F238E27FC236}">
                      <a16:creationId xmlns:a16="http://schemas.microsoft.com/office/drawing/2014/main" id="{D7CEB91D-3F63-35F8-9C87-9586C3C0B20D}"/>
                    </a:ext>
                  </a:extLst>
                </xdr:cNvPr>
                <xdr:cNvSpPr>
                  <a:spLocks noChangeShapeType="1"/>
                </xdr:cNvSpPr>
              </xdr:nvSpPr>
              <xdr:spPr bwMode="auto">
                <a:xfrm flipH="1">
                  <a:off x="1845" y="89"/>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91" name="Line 1116">
                  <a:extLst>
                    <a:ext uri="{FF2B5EF4-FFF2-40B4-BE49-F238E27FC236}">
                      <a16:creationId xmlns:a16="http://schemas.microsoft.com/office/drawing/2014/main" id="{94C6849D-2EF9-B7A4-D63B-E4BE1A3BE9F4}"/>
                    </a:ext>
                  </a:extLst>
                </xdr:cNvPr>
                <xdr:cNvSpPr>
                  <a:spLocks noChangeShapeType="1"/>
                </xdr:cNvSpPr>
              </xdr:nvSpPr>
              <xdr:spPr bwMode="auto">
                <a:xfrm flipV="1">
                  <a:off x="1845" y="87"/>
                  <a:ext cx="0" cy="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92" name="Rectangle 1117">
                  <a:extLst>
                    <a:ext uri="{FF2B5EF4-FFF2-40B4-BE49-F238E27FC236}">
                      <a16:creationId xmlns:a16="http://schemas.microsoft.com/office/drawing/2014/main" id="{62ADA80E-5FC6-C2B8-53FB-C254360720B9}"/>
                    </a:ext>
                  </a:extLst>
                </xdr:cNvPr>
                <xdr:cNvSpPr>
                  <a:spLocks noChangeArrowheads="1"/>
                </xdr:cNvSpPr>
              </xdr:nvSpPr>
              <xdr:spPr bwMode="auto">
                <a:xfrm>
                  <a:off x="1830" y="79"/>
                  <a:ext cx="16" cy="8"/>
                </a:xfrm>
                <a:prstGeom prst="rect">
                  <a:avLst/>
                </a:prstGeom>
                <a:solidFill>
                  <a:srgbClr val="FFFFFF"/>
                </a:solidFill>
                <a:ln w="9525">
                  <a:solidFill>
                    <a:srgbClr val="000000"/>
                  </a:solidFill>
                  <a:miter lim="800000"/>
                  <a:headEnd/>
                  <a:tailEnd/>
                </a:ln>
              </xdr:spPr>
            </xdr:sp>
            <xdr:sp macro="" textlink="">
              <xdr:nvSpPr>
                <xdr:cNvPr id="92493" name="Rectangle 1118">
                  <a:extLst>
                    <a:ext uri="{FF2B5EF4-FFF2-40B4-BE49-F238E27FC236}">
                      <a16:creationId xmlns:a16="http://schemas.microsoft.com/office/drawing/2014/main" id="{02F139F1-CFDF-76F2-D4E0-B550120806A1}"/>
                    </a:ext>
                  </a:extLst>
                </xdr:cNvPr>
                <xdr:cNvSpPr>
                  <a:spLocks noChangeArrowheads="1"/>
                </xdr:cNvSpPr>
              </xdr:nvSpPr>
              <xdr:spPr bwMode="auto">
                <a:xfrm>
                  <a:off x="1827" y="80"/>
                  <a:ext cx="3" cy="4"/>
                </a:xfrm>
                <a:prstGeom prst="rect">
                  <a:avLst/>
                </a:prstGeom>
                <a:solidFill>
                  <a:srgbClr val="FFFFFF"/>
                </a:solidFill>
                <a:ln w="9525">
                  <a:solidFill>
                    <a:srgbClr val="000000"/>
                  </a:solidFill>
                  <a:miter lim="800000"/>
                  <a:headEnd/>
                  <a:tailEnd/>
                </a:ln>
              </xdr:spPr>
            </xdr:sp>
            <xdr:sp macro="" textlink="">
              <xdr:nvSpPr>
                <xdr:cNvPr id="92494" name="Rectangle 1119">
                  <a:extLst>
                    <a:ext uri="{FF2B5EF4-FFF2-40B4-BE49-F238E27FC236}">
                      <a16:creationId xmlns:a16="http://schemas.microsoft.com/office/drawing/2014/main" id="{770426CD-B6F9-A3C5-F8F5-002853B70521}"/>
                    </a:ext>
                  </a:extLst>
                </xdr:cNvPr>
                <xdr:cNvSpPr>
                  <a:spLocks noChangeArrowheads="1"/>
                </xdr:cNvSpPr>
              </xdr:nvSpPr>
              <xdr:spPr bwMode="auto">
                <a:xfrm>
                  <a:off x="1846" y="80"/>
                  <a:ext cx="3" cy="4"/>
                </a:xfrm>
                <a:prstGeom prst="rect">
                  <a:avLst/>
                </a:prstGeom>
                <a:solidFill>
                  <a:srgbClr val="FFFFFF"/>
                </a:solidFill>
                <a:ln w="9525">
                  <a:solidFill>
                    <a:srgbClr val="000000"/>
                  </a:solidFill>
                  <a:miter lim="800000"/>
                  <a:headEnd/>
                  <a:tailEnd/>
                </a:ln>
              </xdr:spPr>
            </xdr:sp>
          </xdr:grpSp>
          <xdr:sp macro="" textlink="">
            <xdr:nvSpPr>
              <xdr:cNvPr id="92484" name="Rectangle 1120">
                <a:extLst>
                  <a:ext uri="{FF2B5EF4-FFF2-40B4-BE49-F238E27FC236}">
                    <a16:creationId xmlns:a16="http://schemas.microsoft.com/office/drawing/2014/main" id="{A6A85B1A-1F78-370F-50E6-B13CE32AD138}"/>
                  </a:ext>
                </a:extLst>
              </xdr:cNvPr>
              <xdr:cNvSpPr>
                <a:spLocks noChangeArrowheads="1"/>
              </xdr:cNvSpPr>
            </xdr:nvSpPr>
            <xdr:spPr bwMode="auto">
              <a:xfrm>
                <a:off x="1044" y="305"/>
                <a:ext cx="17" cy="4"/>
              </a:xfrm>
              <a:prstGeom prst="rect">
                <a:avLst/>
              </a:prstGeom>
              <a:solidFill>
                <a:srgbClr val="FFFFFF"/>
              </a:solidFill>
              <a:ln w="9525">
                <a:solidFill>
                  <a:srgbClr val="000000"/>
                </a:solidFill>
                <a:miter lim="800000"/>
                <a:headEnd/>
                <a:tailEnd/>
              </a:ln>
            </xdr:spPr>
          </xdr:sp>
        </xdr:grpSp>
        <xdr:grpSp>
          <xdr:nvGrpSpPr>
            <xdr:cNvPr id="92427" name="Group 1121">
              <a:extLst>
                <a:ext uri="{FF2B5EF4-FFF2-40B4-BE49-F238E27FC236}">
                  <a16:creationId xmlns:a16="http://schemas.microsoft.com/office/drawing/2014/main" id="{67DEF3CB-66B9-6A97-619F-759BE36D5445}"/>
                </a:ext>
              </a:extLst>
            </xdr:cNvPr>
            <xdr:cNvGrpSpPr>
              <a:grpSpLocks/>
            </xdr:cNvGrpSpPr>
          </xdr:nvGrpSpPr>
          <xdr:grpSpPr bwMode="auto">
            <a:xfrm>
              <a:off x="1074" y="284"/>
              <a:ext cx="38" cy="29"/>
              <a:chOff x="1074" y="283"/>
              <a:chExt cx="38" cy="29"/>
            </a:xfrm>
          </xdr:grpSpPr>
          <xdr:grpSp>
            <xdr:nvGrpSpPr>
              <xdr:cNvPr id="92467" name="Group 1122">
                <a:extLst>
                  <a:ext uri="{FF2B5EF4-FFF2-40B4-BE49-F238E27FC236}">
                    <a16:creationId xmlns:a16="http://schemas.microsoft.com/office/drawing/2014/main" id="{46D10EEA-8159-D26B-9A9A-5A3BA7ACDF39}"/>
                  </a:ext>
                </a:extLst>
              </xdr:cNvPr>
              <xdr:cNvGrpSpPr>
                <a:grpSpLocks/>
              </xdr:cNvGrpSpPr>
            </xdr:nvGrpSpPr>
            <xdr:grpSpPr bwMode="auto">
              <a:xfrm>
                <a:off x="1080" y="283"/>
                <a:ext cx="26" cy="29"/>
                <a:chOff x="172" y="107"/>
                <a:chExt cx="26" cy="32"/>
              </a:xfrm>
            </xdr:grpSpPr>
            <xdr:sp macro="" textlink="">
              <xdr:nvSpPr>
                <xdr:cNvPr id="92470" name="Oval 1123">
                  <a:extLst>
                    <a:ext uri="{FF2B5EF4-FFF2-40B4-BE49-F238E27FC236}">
                      <a16:creationId xmlns:a16="http://schemas.microsoft.com/office/drawing/2014/main" id="{A565816B-0409-7E7D-6FF7-5489120AEC5F}"/>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471" name="Line 1124">
                  <a:extLst>
                    <a:ext uri="{FF2B5EF4-FFF2-40B4-BE49-F238E27FC236}">
                      <a16:creationId xmlns:a16="http://schemas.microsoft.com/office/drawing/2014/main" id="{3A390499-BFEA-133B-5921-7BDB6E135005}"/>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72" name="Line 1125">
                  <a:extLst>
                    <a:ext uri="{FF2B5EF4-FFF2-40B4-BE49-F238E27FC236}">
                      <a16:creationId xmlns:a16="http://schemas.microsoft.com/office/drawing/2014/main" id="{C0253D1C-720C-A46A-5408-34DE0EBF47D3}"/>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73" name="Line 1126">
                  <a:extLst>
                    <a:ext uri="{FF2B5EF4-FFF2-40B4-BE49-F238E27FC236}">
                      <a16:creationId xmlns:a16="http://schemas.microsoft.com/office/drawing/2014/main" id="{AFE09754-D49D-1E91-11AA-F710B96DCB77}"/>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74" name="Line 1127">
                  <a:extLst>
                    <a:ext uri="{FF2B5EF4-FFF2-40B4-BE49-F238E27FC236}">
                      <a16:creationId xmlns:a16="http://schemas.microsoft.com/office/drawing/2014/main" id="{369B0CAF-A1A0-868B-B5D9-34CD95C1EF9C}"/>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75" name="Line 1128">
                  <a:extLst>
                    <a:ext uri="{FF2B5EF4-FFF2-40B4-BE49-F238E27FC236}">
                      <a16:creationId xmlns:a16="http://schemas.microsoft.com/office/drawing/2014/main" id="{BCBF79C7-AEFB-49DB-AE49-079F54B3C946}"/>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76" name="Line 1129">
                  <a:extLst>
                    <a:ext uri="{FF2B5EF4-FFF2-40B4-BE49-F238E27FC236}">
                      <a16:creationId xmlns:a16="http://schemas.microsoft.com/office/drawing/2014/main" id="{18F4775C-373F-45DD-ED9C-31E68D23ED34}"/>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77" name="Freeform 1130">
                  <a:extLst>
                    <a:ext uri="{FF2B5EF4-FFF2-40B4-BE49-F238E27FC236}">
                      <a16:creationId xmlns:a16="http://schemas.microsoft.com/office/drawing/2014/main" id="{C1A06DCC-0E5D-AA58-CA98-432FA875B21F}"/>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478" name="Freeform 1131">
                  <a:extLst>
                    <a:ext uri="{FF2B5EF4-FFF2-40B4-BE49-F238E27FC236}">
                      <a16:creationId xmlns:a16="http://schemas.microsoft.com/office/drawing/2014/main" id="{D215C0D9-F442-684D-F990-3BA9326E5391}"/>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479" name="Freeform 1132">
                  <a:extLst>
                    <a:ext uri="{FF2B5EF4-FFF2-40B4-BE49-F238E27FC236}">
                      <a16:creationId xmlns:a16="http://schemas.microsoft.com/office/drawing/2014/main" id="{F8A8283D-4640-0932-79C6-850573CC5A36}"/>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480" name="Oval 1133">
                  <a:extLst>
                    <a:ext uri="{FF2B5EF4-FFF2-40B4-BE49-F238E27FC236}">
                      <a16:creationId xmlns:a16="http://schemas.microsoft.com/office/drawing/2014/main" id="{AF60CF7E-7D79-3F6A-E452-F2A0C6E141BA}"/>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481" name="Oval 1134">
                  <a:extLst>
                    <a:ext uri="{FF2B5EF4-FFF2-40B4-BE49-F238E27FC236}">
                      <a16:creationId xmlns:a16="http://schemas.microsoft.com/office/drawing/2014/main" id="{D0289CD7-D8EC-4ECA-11A7-B8D8E3A3A8FA}"/>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468" name="Rectangle 1135">
                <a:extLst>
                  <a:ext uri="{FF2B5EF4-FFF2-40B4-BE49-F238E27FC236}">
                    <a16:creationId xmlns:a16="http://schemas.microsoft.com/office/drawing/2014/main" id="{CEA2F1A7-1DF9-52CA-6693-6801697DD845}"/>
                  </a:ext>
                </a:extLst>
              </xdr:cNvPr>
              <xdr:cNvSpPr>
                <a:spLocks noChangeArrowheads="1"/>
              </xdr:cNvSpPr>
            </xdr:nvSpPr>
            <xdr:spPr bwMode="auto">
              <a:xfrm>
                <a:off x="1107" y="289"/>
                <a:ext cx="5" cy="16"/>
              </a:xfrm>
              <a:prstGeom prst="rect">
                <a:avLst/>
              </a:prstGeom>
              <a:solidFill>
                <a:srgbClr val="FFFFFF"/>
              </a:solidFill>
              <a:ln w="9525">
                <a:solidFill>
                  <a:srgbClr val="000000"/>
                </a:solidFill>
                <a:miter lim="800000"/>
                <a:headEnd/>
                <a:tailEnd/>
              </a:ln>
            </xdr:spPr>
          </xdr:sp>
          <xdr:sp macro="" textlink="">
            <xdr:nvSpPr>
              <xdr:cNvPr id="92469" name="Rectangle 1136">
                <a:extLst>
                  <a:ext uri="{FF2B5EF4-FFF2-40B4-BE49-F238E27FC236}">
                    <a16:creationId xmlns:a16="http://schemas.microsoft.com/office/drawing/2014/main" id="{6E5ADA3D-DF05-A1B0-11DF-9EC1E4FA78FA}"/>
                  </a:ext>
                </a:extLst>
              </xdr:cNvPr>
              <xdr:cNvSpPr>
                <a:spLocks noChangeArrowheads="1"/>
              </xdr:cNvSpPr>
            </xdr:nvSpPr>
            <xdr:spPr bwMode="auto">
              <a:xfrm>
                <a:off x="1074" y="289"/>
                <a:ext cx="5" cy="16"/>
              </a:xfrm>
              <a:prstGeom prst="rect">
                <a:avLst/>
              </a:prstGeom>
              <a:solidFill>
                <a:srgbClr val="FFFFFF"/>
              </a:solidFill>
              <a:ln w="9525">
                <a:solidFill>
                  <a:srgbClr val="000000"/>
                </a:solidFill>
                <a:miter lim="800000"/>
                <a:headEnd/>
                <a:tailEnd/>
              </a:ln>
            </xdr:spPr>
          </xdr:sp>
        </xdr:grpSp>
        <xdr:grpSp>
          <xdr:nvGrpSpPr>
            <xdr:cNvPr id="92428" name="Group 1137">
              <a:extLst>
                <a:ext uri="{FF2B5EF4-FFF2-40B4-BE49-F238E27FC236}">
                  <a16:creationId xmlns:a16="http://schemas.microsoft.com/office/drawing/2014/main" id="{D296558C-3E6C-B7FC-2325-F9B1575C4711}"/>
                </a:ext>
              </a:extLst>
            </xdr:cNvPr>
            <xdr:cNvGrpSpPr>
              <a:grpSpLocks/>
            </xdr:cNvGrpSpPr>
          </xdr:nvGrpSpPr>
          <xdr:grpSpPr bwMode="auto">
            <a:xfrm>
              <a:off x="1037" y="312"/>
              <a:ext cx="32" cy="37"/>
              <a:chOff x="1037" y="349"/>
              <a:chExt cx="32" cy="37"/>
            </a:xfrm>
          </xdr:grpSpPr>
          <xdr:grpSp>
            <xdr:nvGrpSpPr>
              <xdr:cNvPr id="92452" name="Group 1138">
                <a:extLst>
                  <a:ext uri="{FF2B5EF4-FFF2-40B4-BE49-F238E27FC236}">
                    <a16:creationId xmlns:a16="http://schemas.microsoft.com/office/drawing/2014/main" id="{0DA7BCCC-0159-6579-1591-EB2B6E54D4F1}"/>
                  </a:ext>
                </a:extLst>
              </xdr:cNvPr>
              <xdr:cNvGrpSpPr>
                <a:grpSpLocks/>
              </xdr:cNvGrpSpPr>
            </xdr:nvGrpSpPr>
            <xdr:grpSpPr bwMode="auto">
              <a:xfrm rot="5400000">
                <a:off x="1040" y="353"/>
                <a:ext cx="25" cy="32"/>
                <a:chOff x="172" y="107"/>
                <a:chExt cx="26" cy="32"/>
              </a:xfrm>
            </xdr:grpSpPr>
            <xdr:sp macro="" textlink="">
              <xdr:nvSpPr>
                <xdr:cNvPr id="92455" name="Oval 1139">
                  <a:extLst>
                    <a:ext uri="{FF2B5EF4-FFF2-40B4-BE49-F238E27FC236}">
                      <a16:creationId xmlns:a16="http://schemas.microsoft.com/office/drawing/2014/main" id="{FE788FEA-04A9-ADF6-2202-E2F42BD718DF}"/>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456" name="Line 1140">
                  <a:extLst>
                    <a:ext uri="{FF2B5EF4-FFF2-40B4-BE49-F238E27FC236}">
                      <a16:creationId xmlns:a16="http://schemas.microsoft.com/office/drawing/2014/main" id="{21FEB210-981F-B009-97FD-94B2EEA658CB}"/>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57" name="Line 1141">
                  <a:extLst>
                    <a:ext uri="{FF2B5EF4-FFF2-40B4-BE49-F238E27FC236}">
                      <a16:creationId xmlns:a16="http://schemas.microsoft.com/office/drawing/2014/main" id="{47B9D36D-FA49-DDCC-8723-4301BBF117A6}"/>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58" name="Line 1142">
                  <a:extLst>
                    <a:ext uri="{FF2B5EF4-FFF2-40B4-BE49-F238E27FC236}">
                      <a16:creationId xmlns:a16="http://schemas.microsoft.com/office/drawing/2014/main" id="{F53CFA28-4185-5038-2433-0AE9B45CC677}"/>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59" name="Line 1143">
                  <a:extLst>
                    <a:ext uri="{FF2B5EF4-FFF2-40B4-BE49-F238E27FC236}">
                      <a16:creationId xmlns:a16="http://schemas.microsoft.com/office/drawing/2014/main" id="{A31A9E48-536F-17C2-9B06-E00468856553}"/>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60" name="Line 1144">
                  <a:extLst>
                    <a:ext uri="{FF2B5EF4-FFF2-40B4-BE49-F238E27FC236}">
                      <a16:creationId xmlns:a16="http://schemas.microsoft.com/office/drawing/2014/main" id="{81C6C224-1785-F300-E614-F2A01BE4C2A5}"/>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61" name="Line 1145">
                  <a:extLst>
                    <a:ext uri="{FF2B5EF4-FFF2-40B4-BE49-F238E27FC236}">
                      <a16:creationId xmlns:a16="http://schemas.microsoft.com/office/drawing/2014/main" id="{1DFA9061-8C72-6420-C159-0D17D2A197AD}"/>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62" name="Freeform 1146">
                  <a:extLst>
                    <a:ext uri="{FF2B5EF4-FFF2-40B4-BE49-F238E27FC236}">
                      <a16:creationId xmlns:a16="http://schemas.microsoft.com/office/drawing/2014/main" id="{1F3F08EC-3167-1BEB-A522-314F3DFBD19A}"/>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463" name="Freeform 1147">
                  <a:extLst>
                    <a:ext uri="{FF2B5EF4-FFF2-40B4-BE49-F238E27FC236}">
                      <a16:creationId xmlns:a16="http://schemas.microsoft.com/office/drawing/2014/main" id="{5E8E998C-662B-CA53-1BE7-A6B77A5EACAA}"/>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464" name="Freeform 1148">
                  <a:extLst>
                    <a:ext uri="{FF2B5EF4-FFF2-40B4-BE49-F238E27FC236}">
                      <a16:creationId xmlns:a16="http://schemas.microsoft.com/office/drawing/2014/main" id="{963C375A-98DB-8F2A-1C38-54B3282B25BB}"/>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465" name="Oval 1149">
                  <a:extLst>
                    <a:ext uri="{FF2B5EF4-FFF2-40B4-BE49-F238E27FC236}">
                      <a16:creationId xmlns:a16="http://schemas.microsoft.com/office/drawing/2014/main" id="{1944A10F-5EAF-76C4-4893-4E6011206FD3}"/>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466" name="Oval 1150">
                  <a:extLst>
                    <a:ext uri="{FF2B5EF4-FFF2-40B4-BE49-F238E27FC236}">
                      <a16:creationId xmlns:a16="http://schemas.microsoft.com/office/drawing/2014/main" id="{8A6D3F6F-376F-76FC-C377-EE7034AEC951}"/>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453" name="Rectangle 1151">
                <a:extLst>
                  <a:ext uri="{FF2B5EF4-FFF2-40B4-BE49-F238E27FC236}">
                    <a16:creationId xmlns:a16="http://schemas.microsoft.com/office/drawing/2014/main" id="{9803A79F-2C18-D350-E1C7-240EDCB5790F}"/>
                  </a:ext>
                </a:extLst>
              </xdr:cNvPr>
              <xdr:cNvSpPr>
                <a:spLocks noChangeArrowheads="1"/>
              </xdr:cNvSpPr>
            </xdr:nvSpPr>
            <xdr:spPr bwMode="auto">
              <a:xfrm rot="5400000">
                <a:off x="1050" y="375"/>
                <a:ext cx="5" cy="17"/>
              </a:xfrm>
              <a:prstGeom prst="rect">
                <a:avLst/>
              </a:prstGeom>
              <a:solidFill>
                <a:srgbClr val="FFFFFF"/>
              </a:solidFill>
              <a:ln w="9525">
                <a:solidFill>
                  <a:srgbClr val="000000"/>
                </a:solidFill>
                <a:miter lim="800000"/>
                <a:headEnd/>
                <a:tailEnd/>
              </a:ln>
            </xdr:spPr>
          </xdr:sp>
          <xdr:sp macro="" textlink="">
            <xdr:nvSpPr>
              <xdr:cNvPr id="92454" name="Rectangle 1152">
                <a:extLst>
                  <a:ext uri="{FF2B5EF4-FFF2-40B4-BE49-F238E27FC236}">
                    <a16:creationId xmlns:a16="http://schemas.microsoft.com/office/drawing/2014/main" id="{FE797E35-CBCD-697B-B0BA-38BE016F61A4}"/>
                  </a:ext>
                </a:extLst>
              </xdr:cNvPr>
              <xdr:cNvSpPr>
                <a:spLocks noChangeArrowheads="1"/>
              </xdr:cNvSpPr>
            </xdr:nvSpPr>
            <xdr:spPr bwMode="auto">
              <a:xfrm rot="5400000">
                <a:off x="1050" y="343"/>
                <a:ext cx="5" cy="17"/>
              </a:xfrm>
              <a:prstGeom prst="rect">
                <a:avLst/>
              </a:prstGeom>
              <a:solidFill>
                <a:srgbClr val="FFFFFF"/>
              </a:solidFill>
              <a:ln w="9525">
                <a:solidFill>
                  <a:srgbClr val="000000"/>
                </a:solidFill>
                <a:miter lim="800000"/>
                <a:headEnd/>
                <a:tailEnd/>
              </a:ln>
            </xdr:spPr>
          </xdr:sp>
        </xdr:grpSp>
        <xdr:grpSp>
          <xdr:nvGrpSpPr>
            <xdr:cNvPr id="92429" name="Group 1153">
              <a:extLst>
                <a:ext uri="{FF2B5EF4-FFF2-40B4-BE49-F238E27FC236}">
                  <a16:creationId xmlns:a16="http://schemas.microsoft.com/office/drawing/2014/main" id="{3526FED1-B261-2BEA-6486-5C1FBF1A7A69}"/>
                </a:ext>
              </a:extLst>
            </xdr:cNvPr>
            <xdr:cNvGrpSpPr>
              <a:grpSpLocks/>
            </xdr:cNvGrpSpPr>
          </xdr:nvGrpSpPr>
          <xdr:grpSpPr bwMode="auto">
            <a:xfrm>
              <a:off x="1017" y="384"/>
              <a:ext cx="70" cy="60"/>
              <a:chOff x="1017" y="384"/>
              <a:chExt cx="70" cy="60"/>
            </a:xfrm>
          </xdr:grpSpPr>
          <xdr:sp macro="" textlink="">
            <xdr:nvSpPr>
              <xdr:cNvPr id="92430" name="Rectangle 1154">
                <a:extLst>
                  <a:ext uri="{FF2B5EF4-FFF2-40B4-BE49-F238E27FC236}">
                    <a16:creationId xmlns:a16="http://schemas.microsoft.com/office/drawing/2014/main" id="{D64C76FA-C597-EED1-FD50-1DB40B3D6FA2}"/>
                  </a:ext>
                </a:extLst>
              </xdr:cNvPr>
              <xdr:cNvSpPr>
                <a:spLocks noChangeArrowheads="1"/>
              </xdr:cNvSpPr>
            </xdr:nvSpPr>
            <xdr:spPr bwMode="auto">
              <a:xfrm>
                <a:off x="1030" y="388"/>
                <a:ext cx="44" cy="8"/>
              </a:xfrm>
              <a:prstGeom prst="rect">
                <a:avLst/>
              </a:prstGeom>
              <a:solidFill>
                <a:srgbClr val="FFFFFF"/>
              </a:solidFill>
              <a:ln w="9525">
                <a:solidFill>
                  <a:srgbClr val="000000"/>
                </a:solidFill>
                <a:miter lim="800000"/>
                <a:headEnd/>
                <a:tailEnd/>
              </a:ln>
            </xdr:spPr>
          </xdr:sp>
          <xdr:grpSp>
            <xdr:nvGrpSpPr>
              <xdr:cNvPr id="92431" name="Group 1155">
                <a:extLst>
                  <a:ext uri="{FF2B5EF4-FFF2-40B4-BE49-F238E27FC236}">
                    <a16:creationId xmlns:a16="http://schemas.microsoft.com/office/drawing/2014/main" id="{95C59A75-1120-0C8A-334B-4567E5EBFB3B}"/>
                  </a:ext>
                </a:extLst>
              </xdr:cNvPr>
              <xdr:cNvGrpSpPr>
                <a:grpSpLocks/>
              </xdr:cNvGrpSpPr>
            </xdr:nvGrpSpPr>
            <xdr:grpSpPr bwMode="auto">
              <a:xfrm>
                <a:off x="1017" y="398"/>
                <a:ext cx="70" cy="46"/>
                <a:chOff x="1017" y="398"/>
                <a:chExt cx="70" cy="46"/>
              </a:xfrm>
            </xdr:grpSpPr>
            <xdr:grpSp>
              <xdr:nvGrpSpPr>
                <xdr:cNvPr id="92442" name="Group 1156">
                  <a:extLst>
                    <a:ext uri="{FF2B5EF4-FFF2-40B4-BE49-F238E27FC236}">
                      <a16:creationId xmlns:a16="http://schemas.microsoft.com/office/drawing/2014/main" id="{FDCA3388-B44E-DCE3-505C-D14F3AF3B921}"/>
                    </a:ext>
                  </a:extLst>
                </xdr:cNvPr>
                <xdr:cNvGrpSpPr>
                  <a:grpSpLocks/>
                </xdr:cNvGrpSpPr>
              </xdr:nvGrpSpPr>
              <xdr:grpSpPr bwMode="auto">
                <a:xfrm>
                  <a:off x="1017" y="398"/>
                  <a:ext cx="70" cy="46"/>
                  <a:chOff x="97" y="100"/>
                  <a:chExt cx="70" cy="47"/>
                </a:xfrm>
              </xdr:grpSpPr>
              <xdr:sp macro="" textlink="">
                <xdr:nvSpPr>
                  <xdr:cNvPr id="92445" name="Line 1157">
                    <a:extLst>
                      <a:ext uri="{FF2B5EF4-FFF2-40B4-BE49-F238E27FC236}">
                        <a16:creationId xmlns:a16="http://schemas.microsoft.com/office/drawing/2014/main" id="{38EFAC36-F531-8BF7-451B-733C652A0C21}"/>
                      </a:ext>
                    </a:extLst>
                  </xdr:cNvPr>
                  <xdr:cNvSpPr>
                    <a:spLocks noChangeShapeType="1"/>
                  </xdr:cNvSpPr>
                </xdr:nvSpPr>
                <xdr:spPr bwMode="auto">
                  <a:xfrm flipV="1">
                    <a:off x="97" y="136"/>
                    <a:ext cx="12"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46" name="Line 1158">
                    <a:extLst>
                      <a:ext uri="{FF2B5EF4-FFF2-40B4-BE49-F238E27FC236}">
                        <a16:creationId xmlns:a16="http://schemas.microsoft.com/office/drawing/2014/main" id="{FB77F64D-AA50-F3C7-6CFA-AB8774CE1F68}"/>
                      </a:ext>
                    </a:extLst>
                  </xdr:cNvPr>
                  <xdr:cNvSpPr>
                    <a:spLocks noChangeShapeType="1"/>
                  </xdr:cNvSpPr>
                </xdr:nvSpPr>
                <xdr:spPr bwMode="auto">
                  <a:xfrm flipH="1" flipV="1">
                    <a:off x="155" y="137"/>
                    <a:ext cx="12" cy="1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47" name="Line 1159">
                    <a:extLst>
                      <a:ext uri="{FF2B5EF4-FFF2-40B4-BE49-F238E27FC236}">
                        <a16:creationId xmlns:a16="http://schemas.microsoft.com/office/drawing/2014/main" id="{A9C816FF-4EA8-68D1-2EED-605CBAB95F3A}"/>
                      </a:ext>
                    </a:extLst>
                  </xdr:cNvPr>
                  <xdr:cNvSpPr>
                    <a:spLocks noChangeShapeType="1"/>
                  </xdr:cNvSpPr>
                </xdr:nvSpPr>
                <xdr:spPr bwMode="auto">
                  <a:xfrm flipV="1">
                    <a:off x="109" y="114"/>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48" name="Line 1160">
                    <a:extLst>
                      <a:ext uri="{FF2B5EF4-FFF2-40B4-BE49-F238E27FC236}">
                        <a16:creationId xmlns:a16="http://schemas.microsoft.com/office/drawing/2014/main" id="{8DF31419-F9B5-D5FD-15C7-0ECDB3A4ACDB}"/>
                      </a:ext>
                    </a:extLst>
                  </xdr:cNvPr>
                  <xdr:cNvSpPr>
                    <a:spLocks noChangeShapeType="1"/>
                  </xdr:cNvSpPr>
                </xdr:nvSpPr>
                <xdr:spPr bwMode="auto">
                  <a:xfrm flipV="1">
                    <a:off x="155" y="113"/>
                    <a:ext cx="0"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49" name="Line 1161">
                    <a:extLst>
                      <a:ext uri="{FF2B5EF4-FFF2-40B4-BE49-F238E27FC236}">
                        <a16:creationId xmlns:a16="http://schemas.microsoft.com/office/drawing/2014/main" id="{03584310-A90B-0D0B-FF2E-C430FA9746DE}"/>
                      </a:ext>
                    </a:extLst>
                  </xdr:cNvPr>
                  <xdr:cNvSpPr>
                    <a:spLocks noChangeShapeType="1"/>
                  </xdr:cNvSpPr>
                </xdr:nvSpPr>
                <xdr:spPr bwMode="auto">
                  <a:xfrm flipV="1">
                    <a:off x="109" y="108"/>
                    <a:ext cx="4" cy="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50" name="Line 1162">
                    <a:extLst>
                      <a:ext uri="{FF2B5EF4-FFF2-40B4-BE49-F238E27FC236}">
                        <a16:creationId xmlns:a16="http://schemas.microsoft.com/office/drawing/2014/main" id="{82B14256-BFDB-6BB8-01E3-413D267A88BE}"/>
                      </a:ext>
                    </a:extLst>
                  </xdr:cNvPr>
                  <xdr:cNvSpPr>
                    <a:spLocks noChangeShapeType="1"/>
                  </xdr:cNvSpPr>
                </xdr:nvSpPr>
                <xdr:spPr bwMode="auto">
                  <a:xfrm flipH="1" flipV="1">
                    <a:off x="151" y="107"/>
                    <a:ext cx="4" cy="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51" name="Rectangle 1163">
                    <a:extLst>
                      <a:ext uri="{FF2B5EF4-FFF2-40B4-BE49-F238E27FC236}">
                        <a16:creationId xmlns:a16="http://schemas.microsoft.com/office/drawing/2014/main" id="{A33F0125-7E9A-9B5A-C1B6-1EEE351E6A06}"/>
                      </a:ext>
                    </a:extLst>
                  </xdr:cNvPr>
                  <xdr:cNvSpPr>
                    <a:spLocks noChangeArrowheads="1"/>
                  </xdr:cNvSpPr>
                </xdr:nvSpPr>
                <xdr:spPr bwMode="auto">
                  <a:xfrm>
                    <a:off x="110" y="100"/>
                    <a:ext cx="44" cy="8"/>
                  </a:xfrm>
                  <a:prstGeom prst="rect">
                    <a:avLst/>
                  </a:prstGeom>
                  <a:solidFill>
                    <a:srgbClr val="FFFFFF"/>
                  </a:solidFill>
                  <a:ln w="9525">
                    <a:solidFill>
                      <a:srgbClr val="000000"/>
                    </a:solidFill>
                    <a:miter lim="800000"/>
                    <a:headEnd/>
                    <a:tailEnd/>
                  </a:ln>
                </xdr:spPr>
              </xdr:sp>
            </xdr:grpSp>
            <xdr:sp macro="" textlink="">
              <xdr:nvSpPr>
                <xdr:cNvPr id="92443" name="Rectangle 1164">
                  <a:extLst>
                    <a:ext uri="{FF2B5EF4-FFF2-40B4-BE49-F238E27FC236}">
                      <a16:creationId xmlns:a16="http://schemas.microsoft.com/office/drawing/2014/main" id="{C7D220C6-1C5B-2F73-DAD0-7AFFAEA2B6C9}"/>
                    </a:ext>
                  </a:extLst>
                </xdr:cNvPr>
                <xdr:cNvSpPr>
                  <a:spLocks noChangeArrowheads="1"/>
                </xdr:cNvSpPr>
              </xdr:nvSpPr>
              <xdr:spPr bwMode="auto">
                <a:xfrm>
                  <a:off x="1022" y="413"/>
                  <a:ext cx="6" cy="16"/>
                </a:xfrm>
                <a:prstGeom prst="rect">
                  <a:avLst/>
                </a:prstGeom>
                <a:solidFill>
                  <a:srgbClr val="FFFFFF"/>
                </a:solidFill>
                <a:ln w="9525">
                  <a:solidFill>
                    <a:srgbClr val="000000"/>
                  </a:solidFill>
                  <a:miter lim="800000"/>
                  <a:headEnd/>
                  <a:tailEnd/>
                </a:ln>
              </xdr:spPr>
            </xdr:sp>
            <xdr:sp macro="" textlink="">
              <xdr:nvSpPr>
                <xdr:cNvPr id="92444" name="Rectangle 1165">
                  <a:extLst>
                    <a:ext uri="{FF2B5EF4-FFF2-40B4-BE49-F238E27FC236}">
                      <a16:creationId xmlns:a16="http://schemas.microsoft.com/office/drawing/2014/main" id="{BBD0A267-8DA1-33F2-AE38-C21E46CD3787}"/>
                    </a:ext>
                  </a:extLst>
                </xdr:cNvPr>
                <xdr:cNvSpPr>
                  <a:spLocks noChangeArrowheads="1"/>
                </xdr:cNvSpPr>
              </xdr:nvSpPr>
              <xdr:spPr bwMode="auto">
                <a:xfrm>
                  <a:off x="1076" y="413"/>
                  <a:ext cx="6" cy="16"/>
                </a:xfrm>
                <a:prstGeom prst="rect">
                  <a:avLst/>
                </a:prstGeom>
                <a:solidFill>
                  <a:srgbClr val="FFFFFF"/>
                </a:solidFill>
                <a:ln w="9525">
                  <a:solidFill>
                    <a:srgbClr val="000000"/>
                  </a:solidFill>
                  <a:miter lim="800000"/>
                  <a:headEnd/>
                  <a:tailEnd/>
                </a:ln>
              </xdr:spPr>
            </xdr:sp>
          </xdr:grpSp>
          <xdr:sp macro="" textlink="">
            <xdr:nvSpPr>
              <xdr:cNvPr id="92432" name="Rectangle 1166">
                <a:extLst>
                  <a:ext uri="{FF2B5EF4-FFF2-40B4-BE49-F238E27FC236}">
                    <a16:creationId xmlns:a16="http://schemas.microsoft.com/office/drawing/2014/main" id="{0BCFFEFA-CB70-8C22-17C9-4D8D451C5F99}"/>
                  </a:ext>
                </a:extLst>
              </xdr:cNvPr>
              <xdr:cNvSpPr>
                <a:spLocks noChangeArrowheads="1"/>
              </xdr:cNvSpPr>
            </xdr:nvSpPr>
            <xdr:spPr bwMode="auto">
              <a:xfrm>
                <a:off x="1051" y="384"/>
                <a:ext cx="3" cy="3"/>
              </a:xfrm>
              <a:prstGeom prst="rect">
                <a:avLst/>
              </a:prstGeom>
              <a:solidFill>
                <a:srgbClr val="FFFFFF"/>
              </a:solidFill>
              <a:ln w="9525">
                <a:solidFill>
                  <a:srgbClr val="000000"/>
                </a:solidFill>
                <a:miter lim="800000"/>
                <a:headEnd/>
                <a:tailEnd/>
              </a:ln>
            </xdr:spPr>
          </xdr:sp>
          <xdr:sp macro="" textlink="">
            <xdr:nvSpPr>
              <xdr:cNvPr id="92433" name="Rectangle 1167">
                <a:extLst>
                  <a:ext uri="{FF2B5EF4-FFF2-40B4-BE49-F238E27FC236}">
                    <a16:creationId xmlns:a16="http://schemas.microsoft.com/office/drawing/2014/main" id="{AFBE0A7F-4126-BCE4-5667-5E47310B0495}"/>
                  </a:ext>
                </a:extLst>
              </xdr:cNvPr>
              <xdr:cNvSpPr>
                <a:spLocks noChangeArrowheads="1"/>
              </xdr:cNvSpPr>
            </xdr:nvSpPr>
            <xdr:spPr bwMode="auto">
              <a:xfrm>
                <a:off x="1060" y="384"/>
                <a:ext cx="3" cy="3"/>
              </a:xfrm>
              <a:prstGeom prst="rect">
                <a:avLst/>
              </a:prstGeom>
              <a:solidFill>
                <a:srgbClr val="FFFFFF"/>
              </a:solidFill>
              <a:ln w="9525">
                <a:solidFill>
                  <a:srgbClr val="000000"/>
                </a:solidFill>
                <a:miter lim="800000"/>
                <a:headEnd/>
                <a:tailEnd/>
              </a:ln>
            </xdr:spPr>
          </xdr:sp>
          <xdr:sp macro="" textlink="">
            <xdr:nvSpPr>
              <xdr:cNvPr id="92434" name="Rectangle 1168">
                <a:extLst>
                  <a:ext uri="{FF2B5EF4-FFF2-40B4-BE49-F238E27FC236}">
                    <a16:creationId xmlns:a16="http://schemas.microsoft.com/office/drawing/2014/main" id="{564A801B-67BB-89F1-6FAD-1F22264B025F}"/>
                  </a:ext>
                </a:extLst>
              </xdr:cNvPr>
              <xdr:cNvSpPr>
                <a:spLocks noChangeArrowheads="1"/>
              </xdr:cNvSpPr>
            </xdr:nvSpPr>
            <xdr:spPr bwMode="auto">
              <a:xfrm>
                <a:off x="1069" y="384"/>
                <a:ext cx="3" cy="3"/>
              </a:xfrm>
              <a:prstGeom prst="rect">
                <a:avLst/>
              </a:prstGeom>
              <a:solidFill>
                <a:srgbClr val="FFFFFF"/>
              </a:solidFill>
              <a:ln w="9525">
                <a:solidFill>
                  <a:srgbClr val="000000"/>
                </a:solidFill>
                <a:miter lim="800000"/>
                <a:headEnd/>
                <a:tailEnd/>
              </a:ln>
            </xdr:spPr>
          </xdr:sp>
          <xdr:sp macro="" textlink="">
            <xdr:nvSpPr>
              <xdr:cNvPr id="92435" name="Rectangle 1169">
                <a:extLst>
                  <a:ext uri="{FF2B5EF4-FFF2-40B4-BE49-F238E27FC236}">
                    <a16:creationId xmlns:a16="http://schemas.microsoft.com/office/drawing/2014/main" id="{99AF5053-38B6-D962-56ED-01F35A0BCEAE}"/>
                  </a:ext>
                </a:extLst>
              </xdr:cNvPr>
              <xdr:cNvSpPr>
                <a:spLocks noChangeArrowheads="1"/>
              </xdr:cNvSpPr>
            </xdr:nvSpPr>
            <xdr:spPr bwMode="auto">
              <a:xfrm>
                <a:off x="1051" y="406"/>
                <a:ext cx="3" cy="3"/>
              </a:xfrm>
              <a:prstGeom prst="rect">
                <a:avLst/>
              </a:prstGeom>
              <a:solidFill>
                <a:srgbClr val="FFFFFF"/>
              </a:solidFill>
              <a:ln w="9525">
                <a:solidFill>
                  <a:srgbClr val="000000"/>
                </a:solidFill>
                <a:miter lim="800000"/>
                <a:headEnd/>
                <a:tailEnd/>
              </a:ln>
            </xdr:spPr>
          </xdr:sp>
          <xdr:sp macro="" textlink="">
            <xdr:nvSpPr>
              <xdr:cNvPr id="92436" name="Rectangle 1170">
                <a:extLst>
                  <a:ext uri="{FF2B5EF4-FFF2-40B4-BE49-F238E27FC236}">
                    <a16:creationId xmlns:a16="http://schemas.microsoft.com/office/drawing/2014/main" id="{4A320A19-AD3D-31F8-E0F5-B6D0D4096F2F}"/>
                  </a:ext>
                </a:extLst>
              </xdr:cNvPr>
              <xdr:cNvSpPr>
                <a:spLocks noChangeArrowheads="1"/>
              </xdr:cNvSpPr>
            </xdr:nvSpPr>
            <xdr:spPr bwMode="auto">
              <a:xfrm>
                <a:off x="1069" y="406"/>
                <a:ext cx="3" cy="3"/>
              </a:xfrm>
              <a:prstGeom prst="rect">
                <a:avLst/>
              </a:prstGeom>
              <a:solidFill>
                <a:srgbClr val="FFFFFF"/>
              </a:solidFill>
              <a:ln w="9525">
                <a:solidFill>
                  <a:srgbClr val="000000"/>
                </a:solidFill>
                <a:miter lim="800000"/>
                <a:headEnd/>
                <a:tailEnd/>
              </a:ln>
            </xdr:spPr>
          </xdr:sp>
          <xdr:sp macro="" textlink="">
            <xdr:nvSpPr>
              <xdr:cNvPr id="92437" name="Rectangle 1171">
                <a:extLst>
                  <a:ext uri="{FF2B5EF4-FFF2-40B4-BE49-F238E27FC236}">
                    <a16:creationId xmlns:a16="http://schemas.microsoft.com/office/drawing/2014/main" id="{A587AE4F-E0D3-C696-73B1-BF2B32619AC4}"/>
                  </a:ext>
                </a:extLst>
              </xdr:cNvPr>
              <xdr:cNvSpPr>
                <a:spLocks noChangeArrowheads="1"/>
              </xdr:cNvSpPr>
            </xdr:nvSpPr>
            <xdr:spPr bwMode="auto">
              <a:xfrm>
                <a:off x="1041" y="384"/>
                <a:ext cx="3" cy="3"/>
              </a:xfrm>
              <a:prstGeom prst="rect">
                <a:avLst/>
              </a:prstGeom>
              <a:solidFill>
                <a:srgbClr val="FFFFFF"/>
              </a:solidFill>
              <a:ln w="9525">
                <a:solidFill>
                  <a:srgbClr val="000000"/>
                </a:solidFill>
                <a:miter lim="800000"/>
                <a:headEnd/>
                <a:tailEnd/>
              </a:ln>
            </xdr:spPr>
          </xdr:sp>
          <xdr:sp macro="" textlink="">
            <xdr:nvSpPr>
              <xdr:cNvPr id="92438" name="Rectangle 1172">
                <a:extLst>
                  <a:ext uri="{FF2B5EF4-FFF2-40B4-BE49-F238E27FC236}">
                    <a16:creationId xmlns:a16="http://schemas.microsoft.com/office/drawing/2014/main" id="{B057A485-014F-4A6C-A9DE-7393779E2B01}"/>
                  </a:ext>
                </a:extLst>
              </xdr:cNvPr>
              <xdr:cNvSpPr>
                <a:spLocks noChangeArrowheads="1"/>
              </xdr:cNvSpPr>
            </xdr:nvSpPr>
            <xdr:spPr bwMode="auto">
              <a:xfrm>
                <a:off x="1032" y="384"/>
                <a:ext cx="3" cy="3"/>
              </a:xfrm>
              <a:prstGeom prst="rect">
                <a:avLst/>
              </a:prstGeom>
              <a:solidFill>
                <a:srgbClr val="FFFFFF"/>
              </a:solidFill>
              <a:ln w="9525">
                <a:solidFill>
                  <a:srgbClr val="000000"/>
                </a:solidFill>
                <a:miter lim="800000"/>
                <a:headEnd/>
                <a:tailEnd/>
              </a:ln>
            </xdr:spPr>
          </xdr:sp>
          <xdr:sp macro="" textlink="">
            <xdr:nvSpPr>
              <xdr:cNvPr id="92439" name="Rectangle 1173">
                <a:extLst>
                  <a:ext uri="{FF2B5EF4-FFF2-40B4-BE49-F238E27FC236}">
                    <a16:creationId xmlns:a16="http://schemas.microsoft.com/office/drawing/2014/main" id="{F17AD43D-F078-0BC0-9938-853BDB17C3F4}"/>
                  </a:ext>
                </a:extLst>
              </xdr:cNvPr>
              <xdr:cNvSpPr>
                <a:spLocks noChangeArrowheads="1"/>
              </xdr:cNvSpPr>
            </xdr:nvSpPr>
            <xdr:spPr bwMode="auto">
              <a:xfrm>
                <a:off x="1060" y="406"/>
                <a:ext cx="3" cy="3"/>
              </a:xfrm>
              <a:prstGeom prst="rect">
                <a:avLst/>
              </a:prstGeom>
              <a:solidFill>
                <a:srgbClr val="FFFFFF"/>
              </a:solidFill>
              <a:ln w="9525">
                <a:solidFill>
                  <a:srgbClr val="000000"/>
                </a:solidFill>
                <a:miter lim="800000"/>
                <a:headEnd/>
                <a:tailEnd/>
              </a:ln>
            </xdr:spPr>
          </xdr:sp>
          <xdr:sp macro="" textlink="">
            <xdr:nvSpPr>
              <xdr:cNvPr id="92440" name="Rectangle 1174">
                <a:extLst>
                  <a:ext uri="{FF2B5EF4-FFF2-40B4-BE49-F238E27FC236}">
                    <a16:creationId xmlns:a16="http://schemas.microsoft.com/office/drawing/2014/main" id="{99BB0E88-8E87-C5A2-9E99-C0DA3AB5A045}"/>
                  </a:ext>
                </a:extLst>
              </xdr:cNvPr>
              <xdr:cNvSpPr>
                <a:spLocks noChangeArrowheads="1"/>
              </xdr:cNvSpPr>
            </xdr:nvSpPr>
            <xdr:spPr bwMode="auto">
              <a:xfrm>
                <a:off x="1041" y="406"/>
                <a:ext cx="3" cy="3"/>
              </a:xfrm>
              <a:prstGeom prst="rect">
                <a:avLst/>
              </a:prstGeom>
              <a:solidFill>
                <a:srgbClr val="FFFFFF"/>
              </a:solidFill>
              <a:ln w="9525">
                <a:solidFill>
                  <a:srgbClr val="000000"/>
                </a:solidFill>
                <a:miter lim="800000"/>
                <a:headEnd/>
                <a:tailEnd/>
              </a:ln>
            </xdr:spPr>
          </xdr:sp>
          <xdr:sp macro="" textlink="">
            <xdr:nvSpPr>
              <xdr:cNvPr id="92441" name="Rectangle 1175">
                <a:extLst>
                  <a:ext uri="{FF2B5EF4-FFF2-40B4-BE49-F238E27FC236}">
                    <a16:creationId xmlns:a16="http://schemas.microsoft.com/office/drawing/2014/main" id="{89BBCDC1-A6DF-5D12-9522-786CAA7EDC59}"/>
                  </a:ext>
                </a:extLst>
              </xdr:cNvPr>
              <xdr:cNvSpPr>
                <a:spLocks noChangeArrowheads="1"/>
              </xdr:cNvSpPr>
            </xdr:nvSpPr>
            <xdr:spPr bwMode="auto">
              <a:xfrm>
                <a:off x="1031" y="406"/>
                <a:ext cx="3" cy="3"/>
              </a:xfrm>
              <a:prstGeom prst="rect">
                <a:avLst/>
              </a:prstGeom>
              <a:solidFill>
                <a:srgbClr val="FFFFFF"/>
              </a:solidFill>
              <a:ln w="9525">
                <a:solidFill>
                  <a:srgbClr val="000000"/>
                </a:solidFill>
                <a:miter lim="800000"/>
                <a:headEnd/>
                <a:tailEnd/>
              </a:ln>
            </xdr:spPr>
          </xdr:sp>
        </xdr:grpSp>
      </xdr:grpSp>
      <xdr:grpSp>
        <xdr:nvGrpSpPr>
          <xdr:cNvPr id="92413" name="Group 1176">
            <a:extLst>
              <a:ext uri="{FF2B5EF4-FFF2-40B4-BE49-F238E27FC236}">
                <a16:creationId xmlns:a16="http://schemas.microsoft.com/office/drawing/2014/main" id="{F5372CFA-79F0-7378-089B-591A3AF82F8A}"/>
              </a:ext>
            </a:extLst>
          </xdr:cNvPr>
          <xdr:cNvGrpSpPr>
            <a:grpSpLocks/>
          </xdr:cNvGrpSpPr>
        </xdr:nvGrpSpPr>
        <xdr:grpSpPr bwMode="auto">
          <a:xfrm>
            <a:off x="998" y="553"/>
            <a:ext cx="113" cy="21"/>
            <a:chOff x="272" y="436"/>
            <a:chExt cx="113" cy="21"/>
          </a:xfrm>
        </xdr:grpSpPr>
        <xdr:sp macro="" textlink="">
          <xdr:nvSpPr>
            <xdr:cNvPr id="92414" name="Rectangle 1177">
              <a:extLst>
                <a:ext uri="{FF2B5EF4-FFF2-40B4-BE49-F238E27FC236}">
                  <a16:creationId xmlns:a16="http://schemas.microsoft.com/office/drawing/2014/main" id="{B7547A49-4337-B0D9-B731-C00E93713D00}"/>
                </a:ext>
              </a:extLst>
            </xdr:cNvPr>
            <xdr:cNvSpPr>
              <a:spLocks noChangeArrowheads="1"/>
            </xdr:cNvSpPr>
          </xdr:nvSpPr>
          <xdr:spPr bwMode="auto">
            <a:xfrm>
              <a:off x="272" y="442"/>
              <a:ext cx="113" cy="15"/>
            </a:xfrm>
            <a:prstGeom prst="rect">
              <a:avLst/>
            </a:prstGeom>
            <a:solidFill>
              <a:srgbClr val="FFFFFF"/>
            </a:solidFill>
            <a:ln w="9525">
              <a:solidFill>
                <a:srgbClr val="000000"/>
              </a:solidFill>
              <a:miter lim="800000"/>
              <a:headEnd/>
              <a:tailEnd/>
            </a:ln>
          </xdr:spPr>
        </xdr:sp>
        <xdr:sp macro="" textlink="">
          <xdr:nvSpPr>
            <xdr:cNvPr id="92415" name="Rectangle 1178">
              <a:extLst>
                <a:ext uri="{FF2B5EF4-FFF2-40B4-BE49-F238E27FC236}">
                  <a16:creationId xmlns:a16="http://schemas.microsoft.com/office/drawing/2014/main" id="{65AF0384-9D5E-D2E0-DAAD-4E8F7968963A}"/>
                </a:ext>
              </a:extLst>
            </xdr:cNvPr>
            <xdr:cNvSpPr>
              <a:spLocks noChangeArrowheads="1"/>
            </xdr:cNvSpPr>
          </xdr:nvSpPr>
          <xdr:spPr bwMode="auto">
            <a:xfrm>
              <a:off x="371" y="436"/>
              <a:ext cx="6" cy="6"/>
            </a:xfrm>
            <a:prstGeom prst="rect">
              <a:avLst/>
            </a:prstGeom>
            <a:solidFill>
              <a:srgbClr val="FFFFFF"/>
            </a:solidFill>
            <a:ln w="9525">
              <a:solidFill>
                <a:srgbClr val="000000"/>
              </a:solidFill>
              <a:miter lim="800000"/>
              <a:headEnd/>
              <a:tailEnd/>
            </a:ln>
          </xdr:spPr>
        </xdr:sp>
        <xdr:sp macro="" textlink="">
          <xdr:nvSpPr>
            <xdr:cNvPr id="92416" name="Rectangle 1179">
              <a:extLst>
                <a:ext uri="{FF2B5EF4-FFF2-40B4-BE49-F238E27FC236}">
                  <a16:creationId xmlns:a16="http://schemas.microsoft.com/office/drawing/2014/main" id="{D2619335-9779-E2E6-DC5E-77E7D1DC2FF8}"/>
                </a:ext>
              </a:extLst>
            </xdr:cNvPr>
            <xdr:cNvSpPr>
              <a:spLocks noChangeArrowheads="1"/>
            </xdr:cNvSpPr>
          </xdr:nvSpPr>
          <xdr:spPr bwMode="auto">
            <a:xfrm>
              <a:off x="279" y="436"/>
              <a:ext cx="6" cy="6"/>
            </a:xfrm>
            <a:prstGeom prst="rect">
              <a:avLst/>
            </a:prstGeom>
            <a:solidFill>
              <a:srgbClr val="FFFFFF"/>
            </a:solidFill>
            <a:ln w="9525">
              <a:solidFill>
                <a:srgbClr val="000000"/>
              </a:solidFill>
              <a:miter lim="800000"/>
              <a:headEnd/>
              <a:tailEnd/>
            </a:ln>
          </xdr:spPr>
        </xdr:sp>
        <xdr:sp macro="" textlink="">
          <xdr:nvSpPr>
            <xdr:cNvPr id="92417" name="Rectangle 1180">
              <a:extLst>
                <a:ext uri="{FF2B5EF4-FFF2-40B4-BE49-F238E27FC236}">
                  <a16:creationId xmlns:a16="http://schemas.microsoft.com/office/drawing/2014/main" id="{B1CFEC20-DECD-C314-3C00-3A01729355AF}"/>
                </a:ext>
              </a:extLst>
            </xdr:cNvPr>
            <xdr:cNvSpPr>
              <a:spLocks noChangeArrowheads="1"/>
            </xdr:cNvSpPr>
          </xdr:nvSpPr>
          <xdr:spPr bwMode="auto">
            <a:xfrm>
              <a:off x="298" y="436"/>
              <a:ext cx="6" cy="6"/>
            </a:xfrm>
            <a:prstGeom prst="rect">
              <a:avLst/>
            </a:prstGeom>
            <a:solidFill>
              <a:srgbClr val="FFFFFF"/>
            </a:solidFill>
            <a:ln w="9525">
              <a:solidFill>
                <a:srgbClr val="000000"/>
              </a:solidFill>
              <a:miter lim="800000"/>
              <a:headEnd/>
              <a:tailEnd/>
            </a:ln>
          </xdr:spPr>
        </xdr:sp>
        <xdr:sp macro="" textlink="">
          <xdr:nvSpPr>
            <xdr:cNvPr id="92418" name="Rectangle 1181">
              <a:extLst>
                <a:ext uri="{FF2B5EF4-FFF2-40B4-BE49-F238E27FC236}">
                  <a16:creationId xmlns:a16="http://schemas.microsoft.com/office/drawing/2014/main" id="{094769F5-8144-EBAC-BF09-B32079476174}"/>
                </a:ext>
              </a:extLst>
            </xdr:cNvPr>
            <xdr:cNvSpPr>
              <a:spLocks noChangeArrowheads="1"/>
            </xdr:cNvSpPr>
          </xdr:nvSpPr>
          <xdr:spPr bwMode="auto">
            <a:xfrm>
              <a:off x="318" y="436"/>
              <a:ext cx="6" cy="6"/>
            </a:xfrm>
            <a:prstGeom prst="rect">
              <a:avLst/>
            </a:prstGeom>
            <a:solidFill>
              <a:srgbClr val="FFFFFF"/>
            </a:solidFill>
            <a:ln w="9525">
              <a:solidFill>
                <a:srgbClr val="000000"/>
              </a:solidFill>
              <a:miter lim="800000"/>
              <a:headEnd/>
              <a:tailEnd/>
            </a:ln>
          </xdr:spPr>
        </xdr:sp>
        <xdr:sp macro="" textlink="">
          <xdr:nvSpPr>
            <xdr:cNvPr id="92419" name="Rectangle 1182">
              <a:extLst>
                <a:ext uri="{FF2B5EF4-FFF2-40B4-BE49-F238E27FC236}">
                  <a16:creationId xmlns:a16="http://schemas.microsoft.com/office/drawing/2014/main" id="{B72B5DCC-18DD-9F97-CB1C-FA2A280E1327}"/>
                </a:ext>
              </a:extLst>
            </xdr:cNvPr>
            <xdr:cNvSpPr>
              <a:spLocks noChangeArrowheads="1"/>
            </xdr:cNvSpPr>
          </xdr:nvSpPr>
          <xdr:spPr bwMode="auto">
            <a:xfrm>
              <a:off x="337" y="436"/>
              <a:ext cx="6" cy="6"/>
            </a:xfrm>
            <a:prstGeom prst="rect">
              <a:avLst/>
            </a:prstGeom>
            <a:solidFill>
              <a:srgbClr val="FFFFFF"/>
            </a:solidFill>
            <a:ln w="9525">
              <a:solidFill>
                <a:srgbClr val="000000"/>
              </a:solidFill>
              <a:miter lim="800000"/>
              <a:headEnd/>
              <a:tailEnd/>
            </a:ln>
          </xdr:spPr>
        </xdr:sp>
        <xdr:sp macro="" textlink="">
          <xdr:nvSpPr>
            <xdr:cNvPr id="92420" name="Rectangle 1183">
              <a:extLst>
                <a:ext uri="{FF2B5EF4-FFF2-40B4-BE49-F238E27FC236}">
                  <a16:creationId xmlns:a16="http://schemas.microsoft.com/office/drawing/2014/main" id="{F62C9EB2-4CE4-FB64-F485-3E1F67BA38A5}"/>
                </a:ext>
              </a:extLst>
            </xdr:cNvPr>
            <xdr:cNvSpPr>
              <a:spLocks noChangeArrowheads="1"/>
            </xdr:cNvSpPr>
          </xdr:nvSpPr>
          <xdr:spPr bwMode="auto">
            <a:xfrm>
              <a:off x="355" y="436"/>
              <a:ext cx="6" cy="6"/>
            </a:xfrm>
            <a:prstGeom prst="rect">
              <a:avLst/>
            </a:prstGeom>
            <a:solidFill>
              <a:srgbClr val="FFFFFF"/>
            </a:solidFill>
            <a:ln w="9525">
              <a:solidFill>
                <a:srgbClr val="000000"/>
              </a:solidFill>
              <a:miter lim="800000"/>
              <a:headEnd/>
              <a:tailEnd/>
            </a:ln>
          </xdr:spPr>
        </xdr:sp>
      </xdr:grpSp>
    </xdr:grpSp>
    <xdr:clientData fLocksWithSheet="0"/>
  </xdr:twoCellAnchor>
  <xdr:twoCellAnchor>
    <xdr:from>
      <xdr:col>18</xdr:col>
      <xdr:colOff>212271</xdr:colOff>
      <xdr:row>217</xdr:row>
      <xdr:rowOff>27214</xdr:rowOff>
    </xdr:from>
    <xdr:to>
      <xdr:col>22</xdr:col>
      <xdr:colOff>70757</xdr:colOff>
      <xdr:row>231</xdr:row>
      <xdr:rowOff>130629</xdr:rowOff>
    </xdr:to>
    <xdr:grpSp>
      <xdr:nvGrpSpPr>
        <xdr:cNvPr id="92292" name="Group 1184">
          <a:extLst>
            <a:ext uri="{FF2B5EF4-FFF2-40B4-BE49-F238E27FC236}">
              <a16:creationId xmlns:a16="http://schemas.microsoft.com/office/drawing/2014/main" id="{7796CB74-1A86-BDED-A35D-4187C751A22C}"/>
            </a:ext>
          </a:extLst>
        </xdr:cNvPr>
        <xdr:cNvGrpSpPr>
          <a:grpSpLocks/>
        </xdr:cNvGrpSpPr>
      </xdr:nvGrpSpPr>
      <xdr:grpSpPr bwMode="auto">
        <a:xfrm>
          <a:off x="11853582" y="40954298"/>
          <a:ext cx="2445444" cy="2568709"/>
          <a:chOff x="220" y="337"/>
          <a:chExt cx="242" cy="259"/>
        </a:xfrm>
      </xdr:grpSpPr>
      <xdr:grpSp>
        <xdr:nvGrpSpPr>
          <xdr:cNvPr id="92314" name="Group 1185">
            <a:extLst>
              <a:ext uri="{FF2B5EF4-FFF2-40B4-BE49-F238E27FC236}">
                <a16:creationId xmlns:a16="http://schemas.microsoft.com/office/drawing/2014/main" id="{19937844-D0CB-79B8-134E-CA2DFB00034D}"/>
              </a:ext>
            </a:extLst>
          </xdr:cNvPr>
          <xdr:cNvGrpSpPr>
            <a:grpSpLocks/>
          </xdr:cNvGrpSpPr>
        </xdr:nvGrpSpPr>
        <xdr:grpSpPr bwMode="auto">
          <a:xfrm>
            <a:off x="330" y="337"/>
            <a:ext cx="86" cy="125"/>
            <a:chOff x="330" y="329"/>
            <a:chExt cx="86" cy="125"/>
          </a:xfrm>
        </xdr:grpSpPr>
        <xdr:grpSp>
          <xdr:nvGrpSpPr>
            <xdr:cNvPr id="92369" name="Group 1186">
              <a:extLst>
                <a:ext uri="{FF2B5EF4-FFF2-40B4-BE49-F238E27FC236}">
                  <a16:creationId xmlns:a16="http://schemas.microsoft.com/office/drawing/2014/main" id="{564B7E0F-7F5B-9A71-80CE-58D8017D12D3}"/>
                </a:ext>
              </a:extLst>
            </xdr:cNvPr>
            <xdr:cNvGrpSpPr>
              <a:grpSpLocks/>
            </xdr:cNvGrpSpPr>
          </xdr:nvGrpSpPr>
          <xdr:grpSpPr bwMode="auto">
            <a:xfrm rot="5400000">
              <a:off x="331" y="388"/>
              <a:ext cx="43" cy="46"/>
              <a:chOff x="172" y="107"/>
              <a:chExt cx="26" cy="32"/>
            </a:xfrm>
          </xdr:grpSpPr>
          <xdr:sp macro="" textlink="">
            <xdr:nvSpPr>
              <xdr:cNvPr id="92400" name="Oval 1187">
                <a:extLst>
                  <a:ext uri="{FF2B5EF4-FFF2-40B4-BE49-F238E27FC236}">
                    <a16:creationId xmlns:a16="http://schemas.microsoft.com/office/drawing/2014/main" id="{13F85987-3046-6718-3688-107BF6C2106F}"/>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401" name="Line 1188">
                <a:extLst>
                  <a:ext uri="{FF2B5EF4-FFF2-40B4-BE49-F238E27FC236}">
                    <a16:creationId xmlns:a16="http://schemas.microsoft.com/office/drawing/2014/main" id="{84703C8D-6D12-1906-7B7D-7A297C9F7325}"/>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02" name="Line 1189">
                <a:extLst>
                  <a:ext uri="{FF2B5EF4-FFF2-40B4-BE49-F238E27FC236}">
                    <a16:creationId xmlns:a16="http://schemas.microsoft.com/office/drawing/2014/main" id="{64CA9215-84CD-38C8-3E2F-7E23DF4CC5A1}"/>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03" name="Line 1190">
                <a:extLst>
                  <a:ext uri="{FF2B5EF4-FFF2-40B4-BE49-F238E27FC236}">
                    <a16:creationId xmlns:a16="http://schemas.microsoft.com/office/drawing/2014/main" id="{D3843AC5-23B1-BB4D-020B-4268405108E9}"/>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04" name="Line 1191">
                <a:extLst>
                  <a:ext uri="{FF2B5EF4-FFF2-40B4-BE49-F238E27FC236}">
                    <a16:creationId xmlns:a16="http://schemas.microsoft.com/office/drawing/2014/main" id="{08B88BAE-3BC1-FE09-C59B-2CD135160BCB}"/>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05" name="Line 1192">
                <a:extLst>
                  <a:ext uri="{FF2B5EF4-FFF2-40B4-BE49-F238E27FC236}">
                    <a16:creationId xmlns:a16="http://schemas.microsoft.com/office/drawing/2014/main" id="{CB6F8F18-95F8-A112-FFBB-D80E34513B70}"/>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06" name="Line 1193">
                <a:extLst>
                  <a:ext uri="{FF2B5EF4-FFF2-40B4-BE49-F238E27FC236}">
                    <a16:creationId xmlns:a16="http://schemas.microsoft.com/office/drawing/2014/main" id="{82938400-E0BE-AD18-CD2E-D11F24DEC416}"/>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407" name="Freeform 1194">
                <a:extLst>
                  <a:ext uri="{FF2B5EF4-FFF2-40B4-BE49-F238E27FC236}">
                    <a16:creationId xmlns:a16="http://schemas.microsoft.com/office/drawing/2014/main" id="{5A11F73A-273B-CE4F-EAB1-FC8397474C66}"/>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408" name="Freeform 1195">
                <a:extLst>
                  <a:ext uri="{FF2B5EF4-FFF2-40B4-BE49-F238E27FC236}">
                    <a16:creationId xmlns:a16="http://schemas.microsoft.com/office/drawing/2014/main" id="{2B9A9B57-CF24-40CF-F3F5-36B3ECC7ECDD}"/>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409" name="Freeform 1196">
                <a:extLst>
                  <a:ext uri="{FF2B5EF4-FFF2-40B4-BE49-F238E27FC236}">
                    <a16:creationId xmlns:a16="http://schemas.microsoft.com/office/drawing/2014/main" id="{9EA0C1B0-90B0-9D70-9E76-151A45F1631A}"/>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410" name="Oval 1197">
                <a:extLst>
                  <a:ext uri="{FF2B5EF4-FFF2-40B4-BE49-F238E27FC236}">
                    <a16:creationId xmlns:a16="http://schemas.microsoft.com/office/drawing/2014/main" id="{7FFA49D9-E535-7B82-CCDF-D278EA42F782}"/>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411" name="Oval 1198">
                <a:extLst>
                  <a:ext uri="{FF2B5EF4-FFF2-40B4-BE49-F238E27FC236}">
                    <a16:creationId xmlns:a16="http://schemas.microsoft.com/office/drawing/2014/main" id="{49E576E7-51FE-F6C9-0DEA-E3AC5D85D471}"/>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370" name="Line 1199">
              <a:extLst>
                <a:ext uri="{FF2B5EF4-FFF2-40B4-BE49-F238E27FC236}">
                  <a16:creationId xmlns:a16="http://schemas.microsoft.com/office/drawing/2014/main" id="{ABF86CED-242B-B365-6C90-80603945DC8C}"/>
                </a:ext>
              </a:extLst>
            </xdr:cNvPr>
            <xdr:cNvSpPr>
              <a:spLocks noChangeShapeType="1"/>
            </xdr:cNvSpPr>
          </xdr:nvSpPr>
          <xdr:spPr bwMode="auto">
            <a:xfrm flipV="1">
              <a:off x="332" y="438"/>
              <a:ext cx="13" cy="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71" name="Line 1200">
              <a:extLst>
                <a:ext uri="{FF2B5EF4-FFF2-40B4-BE49-F238E27FC236}">
                  <a16:creationId xmlns:a16="http://schemas.microsoft.com/office/drawing/2014/main" id="{FFFAE62D-FD01-B734-AF99-9CEF704CBD1D}"/>
                </a:ext>
              </a:extLst>
            </xdr:cNvPr>
            <xdr:cNvSpPr>
              <a:spLocks noChangeShapeType="1"/>
            </xdr:cNvSpPr>
          </xdr:nvSpPr>
          <xdr:spPr bwMode="auto">
            <a:xfrm flipV="1">
              <a:off x="345" y="433"/>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72" name="Line 1201">
              <a:extLst>
                <a:ext uri="{FF2B5EF4-FFF2-40B4-BE49-F238E27FC236}">
                  <a16:creationId xmlns:a16="http://schemas.microsoft.com/office/drawing/2014/main" id="{33964E4C-7D04-2E49-0615-10DB694169C0}"/>
                </a:ext>
              </a:extLst>
            </xdr:cNvPr>
            <xdr:cNvSpPr>
              <a:spLocks noChangeShapeType="1"/>
            </xdr:cNvSpPr>
          </xdr:nvSpPr>
          <xdr:spPr bwMode="auto">
            <a:xfrm flipH="1" flipV="1">
              <a:off x="360" y="438"/>
              <a:ext cx="14"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73" name="Line 1202">
              <a:extLst>
                <a:ext uri="{FF2B5EF4-FFF2-40B4-BE49-F238E27FC236}">
                  <a16:creationId xmlns:a16="http://schemas.microsoft.com/office/drawing/2014/main" id="{B84706DD-8081-88B7-F7B2-A412830DA68D}"/>
                </a:ext>
              </a:extLst>
            </xdr:cNvPr>
            <xdr:cNvSpPr>
              <a:spLocks noChangeShapeType="1"/>
            </xdr:cNvSpPr>
          </xdr:nvSpPr>
          <xdr:spPr bwMode="auto">
            <a:xfrm flipV="1">
              <a:off x="360" y="433"/>
              <a:ext cx="0" cy="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74" name="Rectangle 1203">
              <a:extLst>
                <a:ext uri="{FF2B5EF4-FFF2-40B4-BE49-F238E27FC236}">
                  <a16:creationId xmlns:a16="http://schemas.microsoft.com/office/drawing/2014/main" id="{72C338ED-41CF-99BE-17D3-D9B54152E8D4}"/>
                </a:ext>
              </a:extLst>
            </xdr:cNvPr>
            <xdr:cNvSpPr>
              <a:spLocks noChangeArrowheads="1"/>
            </xdr:cNvSpPr>
          </xdr:nvSpPr>
          <xdr:spPr bwMode="auto">
            <a:xfrm>
              <a:off x="347" y="370"/>
              <a:ext cx="11" cy="18"/>
            </a:xfrm>
            <a:prstGeom prst="rect">
              <a:avLst/>
            </a:prstGeom>
            <a:solidFill>
              <a:srgbClr val="FFFFFF"/>
            </a:solidFill>
            <a:ln w="9525">
              <a:solidFill>
                <a:srgbClr val="000000"/>
              </a:solidFill>
              <a:miter lim="800000"/>
              <a:headEnd/>
              <a:tailEnd/>
            </a:ln>
          </xdr:spPr>
        </xdr:sp>
        <xdr:sp macro="" textlink="">
          <xdr:nvSpPr>
            <xdr:cNvPr id="92375" name="Line 1204">
              <a:extLst>
                <a:ext uri="{FF2B5EF4-FFF2-40B4-BE49-F238E27FC236}">
                  <a16:creationId xmlns:a16="http://schemas.microsoft.com/office/drawing/2014/main" id="{02975D55-B7A2-7E57-17B6-9721446F6DD3}"/>
                </a:ext>
              </a:extLst>
            </xdr:cNvPr>
            <xdr:cNvSpPr>
              <a:spLocks noChangeShapeType="1"/>
            </xdr:cNvSpPr>
          </xdr:nvSpPr>
          <xdr:spPr bwMode="auto">
            <a:xfrm>
              <a:off x="344" y="370"/>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76" name="Line 1205">
              <a:extLst>
                <a:ext uri="{FF2B5EF4-FFF2-40B4-BE49-F238E27FC236}">
                  <a16:creationId xmlns:a16="http://schemas.microsoft.com/office/drawing/2014/main" id="{5D2C24DF-A529-4022-621E-E08CC489A104}"/>
                </a:ext>
              </a:extLst>
            </xdr:cNvPr>
            <xdr:cNvSpPr>
              <a:spLocks noChangeShapeType="1"/>
            </xdr:cNvSpPr>
          </xdr:nvSpPr>
          <xdr:spPr bwMode="auto">
            <a:xfrm flipV="1">
              <a:off x="344" y="342"/>
              <a:ext cx="0" cy="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92377" name="Group 1206">
              <a:extLst>
                <a:ext uri="{FF2B5EF4-FFF2-40B4-BE49-F238E27FC236}">
                  <a16:creationId xmlns:a16="http://schemas.microsoft.com/office/drawing/2014/main" id="{C940B32D-CC61-DAC8-A0A2-C98C67EC6E11}"/>
                </a:ext>
              </a:extLst>
            </xdr:cNvPr>
            <xdr:cNvGrpSpPr>
              <a:grpSpLocks/>
            </xdr:cNvGrpSpPr>
          </xdr:nvGrpSpPr>
          <xdr:grpSpPr bwMode="auto">
            <a:xfrm>
              <a:off x="379" y="329"/>
              <a:ext cx="37" cy="52"/>
              <a:chOff x="172" y="107"/>
              <a:chExt cx="26" cy="32"/>
            </a:xfrm>
          </xdr:grpSpPr>
          <xdr:sp macro="" textlink="">
            <xdr:nvSpPr>
              <xdr:cNvPr id="92388" name="Oval 1207">
                <a:extLst>
                  <a:ext uri="{FF2B5EF4-FFF2-40B4-BE49-F238E27FC236}">
                    <a16:creationId xmlns:a16="http://schemas.microsoft.com/office/drawing/2014/main" id="{96017F79-5EB1-EAC4-56C4-1A6799094803}"/>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389" name="Line 1208">
                <a:extLst>
                  <a:ext uri="{FF2B5EF4-FFF2-40B4-BE49-F238E27FC236}">
                    <a16:creationId xmlns:a16="http://schemas.microsoft.com/office/drawing/2014/main" id="{648E744A-087B-3EDD-8F2E-B9E6E21490C5}"/>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90" name="Line 1209">
                <a:extLst>
                  <a:ext uri="{FF2B5EF4-FFF2-40B4-BE49-F238E27FC236}">
                    <a16:creationId xmlns:a16="http://schemas.microsoft.com/office/drawing/2014/main" id="{27A664C1-DDF7-AF4A-5017-A198EE8C9B25}"/>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91" name="Line 1210">
                <a:extLst>
                  <a:ext uri="{FF2B5EF4-FFF2-40B4-BE49-F238E27FC236}">
                    <a16:creationId xmlns:a16="http://schemas.microsoft.com/office/drawing/2014/main" id="{FD6616F9-0341-F80F-2B9A-85FECE99C12E}"/>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92" name="Line 1211">
                <a:extLst>
                  <a:ext uri="{FF2B5EF4-FFF2-40B4-BE49-F238E27FC236}">
                    <a16:creationId xmlns:a16="http://schemas.microsoft.com/office/drawing/2014/main" id="{6FD1AF6C-6DD5-4707-1CB3-E88FEDAA1EB6}"/>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93" name="Line 1212">
                <a:extLst>
                  <a:ext uri="{FF2B5EF4-FFF2-40B4-BE49-F238E27FC236}">
                    <a16:creationId xmlns:a16="http://schemas.microsoft.com/office/drawing/2014/main" id="{6FCF9E17-9297-4708-A63E-3A584DE63629}"/>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94" name="Line 1213">
                <a:extLst>
                  <a:ext uri="{FF2B5EF4-FFF2-40B4-BE49-F238E27FC236}">
                    <a16:creationId xmlns:a16="http://schemas.microsoft.com/office/drawing/2014/main" id="{8C9325F1-5673-D054-2A47-D44C2916154B}"/>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95" name="Freeform 1214">
                <a:extLst>
                  <a:ext uri="{FF2B5EF4-FFF2-40B4-BE49-F238E27FC236}">
                    <a16:creationId xmlns:a16="http://schemas.microsoft.com/office/drawing/2014/main" id="{A6FA3ADC-9711-63E3-5A61-203F2EAF2C03}"/>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396" name="Freeform 1215">
                <a:extLst>
                  <a:ext uri="{FF2B5EF4-FFF2-40B4-BE49-F238E27FC236}">
                    <a16:creationId xmlns:a16="http://schemas.microsoft.com/office/drawing/2014/main" id="{C0B2B1DD-06B1-E5C5-CDB1-5C180D2B28BA}"/>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397" name="Freeform 1216">
                <a:extLst>
                  <a:ext uri="{FF2B5EF4-FFF2-40B4-BE49-F238E27FC236}">
                    <a16:creationId xmlns:a16="http://schemas.microsoft.com/office/drawing/2014/main" id="{AB5D68F3-1E96-ADBE-F8ED-009D674081B9}"/>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398" name="Oval 1217">
                <a:extLst>
                  <a:ext uri="{FF2B5EF4-FFF2-40B4-BE49-F238E27FC236}">
                    <a16:creationId xmlns:a16="http://schemas.microsoft.com/office/drawing/2014/main" id="{8B151749-CFA1-B78A-77D6-260D975E0EE6}"/>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399" name="Oval 1218">
                <a:extLst>
                  <a:ext uri="{FF2B5EF4-FFF2-40B4-BE49-F238E27FC236}">
                    <a16:creationId xmlns:a16="http://schemas.microsoft.com/office/drawing/2014/main" id="{1E58770A-37EA-B0C4-4119-527589A4A6FB}"/>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sp macro="" textlink="">
          <xdr:nvSpPr>
            <xdr:cNvPr id="92378" name="Line 1219">
              <a:extLst>
                <a:ext uri="{FF2B5EF4-FFF2-40B4-BE49-F238E27FC236}">
                  <a16:creationId xmlns:a16="http://schemas.microsoft.com/office/drawing/2014/main" id="{A5602FC3-7D0D-88DB-E669-E1BE77AF3606}"/>
                </a:ext>
              </a:extLst>
            </xdr:cNvPr>
            <xdr:cNvSpPr>
              <a:spLocks noChangeShapeType="1"/>
            </xdr:cNvSpPr>
          </xdr:nvSpPr>
          <xdr:spPr bwMode="auto">
            <a:xfrm flipV="1">
              <a:off x="363" y="366"/>
              <a:ext cx="0"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79" name="Line 1220">
              <a:extLst>
                <a:ext uri="{FF2B5EF4-FFF2-40B4-BE49-F238E27FC236}">
                  <a16:creationId xmlns:a16="http://schemas.microsoft.com/office/drawing/2014/main" id="{22EA6D05-F296-9AE8-32F9-7059879861EC}"/>
                </a:ext>
              </a:extLst>
            </xdr:cNvPr>
            <xdr:cNvSpPr>
              <a:spLocks noChangeShapeType="1"/>
            </xdr:cNvSpPr>
          </xdr:nvSpPr>
          <xdr:spPr bwMode="auto">
            <a:xfrm>
              <a:off x="363" y="365"/>
              <a:ext cx="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80" name="Line 1221">
              <a:extLst>
                <a:ext uri="{FF2B5EF4-FFF2-40B4-BE49-F238E27FC236}">
                  <a16:creationId xmlns:a16="http://schemas.microsoft.com/office/drawing/2014/main" id="{247C9850-385D-AAFF-7135-D8C9AE9D1C69}"/>
                </a:ext>
              </a:extLst>
            </xdr:cNvPr>
            <xdr:cNvSpPr>
              <a:spLocks noChangeShapeType="1"/>
            </xdr:cNvSpPr>
          </xdr:nvSpPr>
          <xdr:spPr bwMode="auto">
            <a:xfrm flipV="1">
              <a:off x="367" y="345"/>
              <a:ext cx="0" cy="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81" name="Line 1222">
              <a:extLst>
                <a:ext uri="{FF2B5EF4-FFF2-40B4-BE49-F238E27FC236}">
                  <a16:creationId xmlns:a16="http://schemas.microsoft.com/office/drawing/2014/main" id="{960193E4-470C-B476-3AB9-00F64FF51414}"/>
                </a:ext>
              </a:extLst>
            </xdr:cNvPr>
            <xdr:cNvSpPr>
              <a:spLocks noChangeShapeType="1"/>
            </xdr:cNvSpPr>
          </xdr:nvSpPr>
          <xdr:spPr bwMode="auto">
            <a:xfrm flipH="1">
              <a:off x="363" y="345"/>
              <a:ext cx="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82" name="Line 1223">
              <a:extLst>
                <a:ext uri="{FF2B5EF4-FFF2-40B4-BE49-F238E27FC236}">
                  <a16:creationId xmlns:a16="http://schemas.microsoft.com/office/drawing/2014/main" id="{F164AF8C-24BE-23A3-DDF6-93DF34017994}"/>
                </a:ext>
              </a:extLst>
            </xdr:cNvPr>
            <xdr:cNvSpPr>
              <a:spLocks noChangeShapeType="1"/>
            </xdr:cNvSpPr>
          </xdr:nvSpPr>
          <xdr:spPr bwMode="auto">
            <a:xfrm flipV="1">
              <a:off x="363" y="342"/>
              <a:ext cx="0" cy="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83" name="Line 1224">
              <a:extLst>
                <a:ext uri="{FF2B5EF4-FFF2-40B4-BE49-F238E27FC236}">
                  <a16:creationId xmlns:a16="http://schemas.microsoft.com/office/drawing/2014/main" id="{EE98C8B1-1CF2-FFD8-A8CD-95D4A1021026}"/>
                </a:ext>
              </a:extLst>
            </xdr:cNvPr>
            <xdr:cNvSpPr>
              <a:spLocks noChangeShapeType="1"/>
            </xdr:cNvSpPr>
          </xdr:nvSpPr>
          <xdr:spPr bwMode="auto">
            <a:xfrm>
              <a:off x="344" y="342"/>
              <a:ext cx="1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84" name="Rectangle 1225">
              <a:extLst>
                <a:ext uri="{FF2B5EF4-FFF2-40B4-BE49-F238E27FC236}">
                  <a16:creationId xmlns:a16="http://schemas.microsoft.com/office/drawing/2014/main" id="{32E1ED17-4228-F41C-95E7-221FE9B8D3D1}"/>
                </a:ext>
              </a:extLst>
            </xdr:cNvPr>
            <xdr:cNvSpPr>
              <a:spLocks noChangeArrowheads="1"/>
            </xdr:cNvSpPr>
          </xdr:nvSpPr>
          <xdr:spPr bwMode="auto">
            <a:xfrm>
              <a:off x="369" y="349"/>
              <a:ext cx="10" cy="13"/>
            </a:xfrm>
            <a:prstGeom prst="rect">
              <a:avLst/>
            </a:prstGeom>
            <a:solidFill>
              <a:srgbClr val="FFFFFF"/>
            </a:solidFill>
            <a:ln w="9525">
              <a:solidFill>
                <a:srgbClr val="000000"/>
              </a:solidFill>
              <a:miter lim="800000"/>
              <a:headEnd/>
              <a:tailEnd/>
            </a:ln>
          </xdr:spPr>
        </xdr:sp>
        <xdr:sp macro="" textlink="">
          <xdr:nvSpPr>
            <xdr:cNvPr id="92385" name="Rectangle 1226">
              <a:extLst>
                <a:ext uri="{FF2B5EF4-FFF2-40B4-BE49-F238E27FC236}">
                  <a16:creationId xmlns:a16="http://schemas.microsoft.com/office/drawing/2014/main" id="{B28C3361-AEAD-2D29-1CF8-F6B2B6BD5F35}"/>
                </a:ext>
              </a:extLst>
            </xdr:cNvPr>
            <xdr:cNvSpPr>
              <a:spLocks noChangeArrowheads="1"/>
            </xdr:cNvSpPr>
          </xdr:nvSpPr>
          <xdr:spPr bwMode="auto">
            <a:xfrm>
              <a:off x="341" y="329"/>
              <a:ext cx="23" cy="13"/>
            </a:xfrm>
            <a:prstGeom prst="rect">
              <a:avLst/>
            </a:prstGeom>
            <a:solidFill>
              <a:srgbClr val="FFFFFF"/>
            </a:solidFill>
            <a:ln w="9525">
              <a:solidFill>
                <a:srgbClr val="000000"/>
              </a:solidFill>
              <a:miter lim="800000"/>
              <a:headEnd/>
              <a:tailEnd/>
            </a:ln>
          </xdr:spPr>
        </xdr:sp>
        <xdr:sp macro="" textlink="">
          <xdr:nvSpPr>
            <xdr:cNvPr id="92386" name="Rectangle 1227">
              <a:extLst>
                <a:ext uri="{FF2B5EF4-FFF2-40B4-BE49-F238E27FC236}">
                  <a16:creationId xmlns:a16="http://schemas.microsoft.com/office/drawing/2014/main" id="{929B9F95-3ABB-259E-3AD7-2335FF491E22}"/>
                </a:ext>
              </a:extLst>
            </xdr:cNvPr>
            <xdr:cNvSpPr>
              <a:spLocks noChangeArrowheads="1"/>
            </xdr:cNvSpPr>
          </xdr:nvSpPr>
          <xdr:spPr bwMode="auto">
            <a:xfrm>
              <a:off x="337" y="331"/>
              <a:ext cx="4" cy="6"/>
            </a:xfrm>
            <a:prstGeom prst="rect">
              <a:avLst/>
            </a:prstGeom>
            <a:solidFill>
              <a:srgbClr val="FFFFFF"/>
            </a:solidFill>
            <a:ln w="9525">
              <a:solidFill>
                <a:srgbClr val="000000"/>
              </a:solidFill>
              <a:miter lim="800000"/>
              <a:headEnd/>
              <a:tailEnd/>
            </a:ln>
          </xdr:spPr>
        </xdr:sp>
        <xdr:sp macro="" textlink="">
          <xdr:nvSpPr>
            <xdr:cNvPr id="92387" name="Rectangle 1228">
              <a:extLst>
                <a:ext uri="{FF2B5EF4-FFF2-40B4-BE49-F238E27FC236}">
                  <a16:creationId xmlns:a16="http://schemas.microsoft.com/office/drawing/2014/main" id="{0B9F9A61-5BB7-D959-285B-F4EEC46C0D9A}"/>
                </a:ext>
              </a:extLst>
            </xdr:cNvPr>
            <xdr:cNvSpPr>
              <a:spLocks noChangeArrowheads="1"/>
            </xdr:cNvSpPr>
          </xdr:nvSpPr>
          <xdr:spPr bwMode="auto">
            <a:xfrm>
              <a:off x="364" y="331"/>
              <a:ext cx="5" cy="6"/>
            </a:xfrm>
            <a:prstGeom prst="rect">
              <a:avLst/>
            </a:prstGeom>
            <a:solidFill>
              <a:srgbClr val="FFFFFF"/>
            </a:solidFill>
            <a:ln w="9525">
              <a:solidFill>
                <a:srgbClr val="000000"/>
              </a:solidFill>
              <a:miter lim="800000"/>
              <a:headEnd/>
              <a:tailEnd/>
            </a:ln>
          </xdr:spPr>
        </xdr:sp>
      </xdr:grpSp>
      <xdr:grpSp>
        <xdr:nvGrpSpPr>
          <xdr:cNvPr id="92315" name="Group 1229">
            <a:extLst>
              <a:ext uri="{FF2B5EF4-FFF2-40B4-BE49-F238E27FC236}">
                <a16:creationId xmlns:a16="http://schemas.microsoft.com/office/drawing/2014/main" id="{B7170148-A5E6-FB86-53C4-66E7EF9AAAE8}"/>
              </a:ext>
            </a:extLst>
          </xdr:cNvPr>
          <xdr:cNvGrpSpPr>
            <a:grpSpLocks/>
          </xdr:cNvGrpSpPr>
        </xdr:nvGrpSpPr>
        <xdr:grpSpPr bwMode="auto">
          <a:xfrm>
            <a:off x="220" y="454"/>
            <a:ext cx="242" cy="142"/>
            <a:chOff x="220" y="449"/>
            <a:chExt cx="242" cy="142"/>
          </a:xfrm>
        </xdr:grpSpPr>
        <xdr:sp macro="" textlink="">
          <xdr:nvSpPr>
            <xdr:cNvPr id="92316" name="Rectangle 1230">
              <a:extLst>
                <a:ext uri="{FF2B5EF4-FFF2-40B4-BE49-F238E27FC236}">
                  <a16:creationId xmlns:a16="http://schemas.microsoft.com/office/drawing/2014/main" id="{AD09410A-BDE4-5236-CF50-58F5E8AED7C4}"/>
                </a:ext>
              </a:extLst>
            </xdr:cNvPr>
            <xdr:cNvSpPr>
              <a:spLocks noChangeArrowheads="1"/>
            </xdr:cNvSpPr>
          </xdr:nvSpPr>
          <xdr:spPr bwMode="auto">
            <a:xfrm>
              <a:off x="257" y="536"/>
              <a:ext cx="13" cy="14"/>
            </a:xfrm>
            <a:prstGeom prst="rect">
              <a:avLst/>
            </a:prstGeom>
            <a:solidFill>
              <a:srgbClr val="FFFFFF"/>
            </a:solidFill>
            <a:ln w="9525">
              <a:solidFill>
                <a:srgbClr val="000000"/>
              </a:solidFill>
              <a:miter lim="800000"/>
              <a:headEnd/>
              <a:tailEnd/>
            </a:ln>
          </xdr:spPr>
        </xdr:sp>
        <xdr:sp macro="" textlink="">
          <xdr:nvSpPr>
            <xdr:cNvPr id="92317" name="Rectangle 1231">
              <a:extLst>
                <a:ext uri="{FF2B5EF4-FFF2-40B4-BE49-F238E27FC236}">
                  <a16:creationId xmlns:a16="http://schemas.microsoft.com/office/drawing/2014/main" id="{D34AC194-DEE4-F21D-7892-6A4C80973042}"/>
                </a:ext>
              </a:extLst>
            </xdr:cNvPr>
            <xdr:cNvSpPr>
              <a:spLocks noChangeArrowheads="1"/>
            </xdr:cNvSpPr>
          </xdr:nvSpPr>
          <xdr:spPr bwMode="auto">
            <a:xfrm>
              <a:off x="257" y="504"/>
              <a:ext cx="12" cy="9"/>
            </a:xfrm>
            <a:prstGeom prst="rect">
              <a:avLst/>
            </a:prstGeom>
            <a:solidFill>
              <a:srgbClr val="FFFFFF"/>
            </a:solidFill>
            <a:ln w="9525">
              <a:solidFill>
                <a:srgbClr val="000000"/>
              </a:solidFill>
              <a:miter lim="800000"/>
              <a:headEnd/>
              <a:tailEnd/>
            </a:ln>
          </xdr:spPr>
        </xdr:sp>
        <xdr:grpSp>
          <xdr:nvGrpSpPr>
            <xdr:cNvPr id="92318" name="Group 1232">
              <a:extLst>
                <a:ext uri="{FF2B5EF4-FFF2-40B4-BE49-F238E27FC236}">
                  <a16:creationId xmlns:a16="http://schemas.microsoft.com/office/drawing/2014/main" id="{22958562-697E-0C08-4C42-8C53EAD6A72F}"/>
                </a:ext>
              </a:extLst>
            </xdr:cNvPr>
            <xdr:cNvGrpSpPr>
              <a:grpSpLocks/>
            </xdr:cNvGrpSpPr>
          </xdr:nvGrpSpPr>
          <xdr:grpSpPr bwMode="auto">
            <a:xfrm>
              <a:off x="241" y="513"/>
              <a:ext cx="32" cy="41"/>
              <a:chOff x="215" y="454"/>
              <a:chExt cx="32" cy="41"/>
            </a:xfrm>
          </xdr:grpSpPr>
          <xdr:sp macro="" textlink="">
            <xdr:nvSpPr>
              <xdr:cNvPr id="92362" name="Rectangle 1233">
                <a:extLst>
                  <a:ext uri="{FF2B5EF4-FFF2-40B4-BE49-F238E27FC236}">
                    <a16:creationId xmlns:a16="http://schemas.microsoft.com/office/drawing/2014/main" id="{5CCC4895-9FC4-5C91-275D-D50B3B46BF90}"/>
                  </a:ext>
                </a:extLst>
              </xdr:cNvPr>
              <xdr:cNvSpPr>
                <a:spLocks noChangeArrowheads="1"/>
              </xdr:cNvSpPr>
            </xdr:nvSpPr>
            <xdr:spPr bwMode="auto">
              <a:xfrm>
                <a:off x="227" y="471"/>
                <a:ext cx="20" cy="6"/>
              </a:xfrm>
              <a:prstGeom prst="rect">
                <a:avLst/>
              </a:prstGeom>
              <a:solidFill>
                <a:srgbClr val="FFFFFF"/>
              </a:solidFill>
              <a:ln w="9525">
                <a:solidFill>
                  <a:srgbClr val="000000"/>
                </a:solidFill>
                <a:miter lim="800000"/>
                <a:headEnd/>
                <a:tailEnd/>
              </a:ln>
            </xdr:spPr>
          </xdr:sp>
          <xdr:sp macro="" textlink="">
            <xdr:nvSpPr>
              <xdr:cNvPr id="92363" name="Rectangle 1234">
                <a:extLst>
                  <a:ext uri="{FF2B5EF4-FFF2-40B4-BE49-F238E27FC236}">
                    <a16:creationId xmlns:a16="http://schemas.microsoft.com/office/drawing/2014/main" id="{9A3E2B08-9B02-BA86-DA83-73B56DDA4CA6}"/>
                  </a:ext>
                </a:extLst>
              </xdr:cNvPr>
              <xdr:cNvSpPr>
                <a:spLocks noChangeArrowheads="1"/>
              </xdr:cNvSpPr>
            </xdr:nvSpPr>
            <xdr:spPr bwMode="auto">
              <a:xfrm>
                <a:off x="227" y="458"/>
                <a:ext cx="20" cy="14"/>
              </a:xfrm>
              <a:prstGeom prst="rect">
                <a:avLst/>
              </a:prstGeom>
              <a:solidFill>
                <a:srgbClr val="FFFFFF"/>
              </a:solidFill>
              <a:ln w="9525">
                <a:solidFill>
                  <a:srgbClr val="000000"/>
                </a:solidFill>
                <a:miter lim="800000"/>
                <a:headEnd/>
                <a:tailEnd/>
              </a:ln>
            </xdr:spPr>
          </xdr:sp>
          <xdr:sp macro="" textlink="">
            <xdr:nvSpPr>
              <xdr:cNvPr id="92364" name="Rectangle 1235">
                <a:extLst>
                  <a:ext uri="{FF2B5EF4-FFF2-40B4-BE49-F238E27FC236}">
                    <a16:creationId xmlns:a16="http://schemas.microsoft.com/office/drawing/2014/main" id="{5F347DB4-3D39-39A7-8733-2C6AC3C88138}"/>
                  </a:ext>
                </a:extLst>
              </xdr:cNvPr>
              <xdr:cNvSpPr>
                <a:spLocks noChangeArrowheads="1"/>
              </xdr:cNvSpPr>
            </xdr:nvSpPr>
            <xdr:spPr bwMode="auto">
              <a:xfrm>
                <a:off x="227" y="454"/>
                <a:ext cx="20" cy="5"/>
              </a:xfrm>
              <a:prstGeom prst="rect">
                <a:avLst/>
              </a:prstGeom>
              <a:solidFill>
                <a:srgbClr val="FFFFFF"/>
              </a:solidFill>
              <a:ln w="9525">
                <a:solidFill>
                  <a:srgbClr val="000000"/>
                </a:solidFill>
                <a:miter lim="800000"/>
                <a:headEnd/>
                <a:tailEnd/>
              </a:ln>
            </xdr:spPr>
          </xdr:sp>
          <xdr:sp macro="" textlink="">
            <xdr:nvSpPr>
              <xdr:cNvPr id="92365" name="Rectangle 1236">
                <a:extLst>
                  <a:ext uri="{FF2B5EF4-FFF2-40B4-BE49-F238E27FC236}">
                    <a16:creationId xmlns:a16="http://schemas.microsoft.com/office/drawing/2014/main" id="{E5CA3733-F079-8460-925A-70A95F2E9AB4}"/>
                  </a:ext>
                </a:extLst>
              </xdr:cNvPr>
              <xdr:cNvSpPr>
                <a:spLocks noChangeArrowheads="1"/>
              </xdr:cNvSpPr>
            </xdr:nvSpPr>
            <xdr:spPr bwMode="auto">
              <a:xfrm>
                <a:off x="222" y="460"/>
                <a:ext cx="5" cy="10"/>
              </a:xfrm>
              <a:prstGeom prst="rect">
                <a:avLst/>
              </a:prstGeom>
              <a:solidFill>
                <a:srgbClr val="FFFFFF"/>
              </a:solidFill>
              <a:ln w="9525">
                <a:solidFill>
                  <a:srgbClr val="000000"/>
                </a:solidFill>
                <a:miter lim="800000"/>
                <a:headEnd/>
                <a:tailEnd/>
              </a:ln>
            </xdr:spPr>
          </xdr:sp>
          <xdr:sp macro="" textlink="">
            <xdr:nvSpPr>
              <xdr:cNvPr id="92366" name="Line 1237">
                <a:extLst>
                  <a:ext uri="{FF2B5EF4-FFF2-40B4-BE49-F238E27FC236}">
                    <a16:creationId xmlns:a16="http://schemas.microsoft.com/office/drawing/2014/main" id="{47703540-A386-1F96-9722-A0304B7CFBD9}"/>
                  </a:ext>
                </a:extLst>
              </xdr:cNvPr>
              <xdr:cNvSpPr>
                <a:spLocks noChangeShapeType="1"/>
              </xdr:cNvSpPr>
            </xdr:nvSpPr>
            <xdr:spPr bwMode="auto">
              <a:xfrm>
                <a:off x="219" y="463"/>
                <a:ext cx="0" cy="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67" name="Line 1238">
                <a:extLst>
                  <a:ext uri="{FF2B5EF4-FFF2-40B4-BE49-F238E27FC236}">
                    <a16:creationId xmlns:a16="http://schemas.microsoft.com/office/drawing/2014/main" id="{241E5796-9991-1807-58C8-A4FEE043E325}"/>
                  </a:ext>
                </a:extLst>
              </xdr:cNvPr>
              <xdr:cNvSpPr>
                <a:spLocks noChangeShapeType="1"/>
              </xdr:cNvSpPr>
            </xdr:nvSpPr>
            <xdr:spPr bwMode="auto">
              <a:xfrm flipH="1">
                <a:off x="215" y="476"/>
                <a:ext cx="4" cy="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68" name="Line 1239">
                <a:extLst>
                  <a:ext uri="{FF2B5EF4-FFF2-40B4-BE49-F238E27FC236}">
                    <a16:creationId xmlns:a16="http://schemas.microsoft.com/office/drawing/2014/main" id="{6A60BA1B-EE09-252D-9189-1653F61A4C15}"/>
                  </a:ext>
                </a:extLst>
              </xdr:cNvPr>
              <xdr:cNvSpPr>
                <a:spLocks noChangeShapeType="1"/>
              </xdr:cNvSpPr>
            </xdr:nvSpPr>
            <xdr:spPr bwMode="auto">
              <a:xfrm>
                <a:off x="215" y="483"/>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19" name="AutoShape 1240">
              <a:extLst>
                <a:ext uri="{FF2B5EF4-FFF2-40B4-BE49-F238E27FC236}">
                  <a16:creationId xmlns:a16="http://schemas.microsoft.com/office/drawing/2014/main" id="{77E0F10D-85D0-FBD4-025D-E8DE8813477C}"/>
                </a:ext>
              </a:extLst>
            </xdr:cNvPr>
            <xdr:cNvSpPr>
              <a:spLocks noChangeArrowheads="1"/>
            </xdr:cNvSpPr>
          </xdr:nvSpPr>
          <xdr:spPr bwMode="auto">
            <a:xfrm>
              <a:off x="220" y="483"/>
              <a:ext cx="49" cy="41"/>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902 h 21600"/>
              </a:gdLst>
              <a:ahLst/>
              <a:cxnLst>
                <a:cxn ang="T8">
                  <a:pos x="T0" y="T1"/>
                </a:cxn>
                <a:cxn ang="T9">
                  <a:pos x="T2" y="T3"/>
                </a:cxn>
                <a:cxn ang="T10">
                  <a:pos x="T4" y="T5"/>
                </a:cxn>
                <a:cxn ang="T11">
                  <a:pos x="T6" y="T7"/>
                </a:cxn>
              </a:cxnLst>
              <a:rect l="T12" t="T13" r="T14" b="T15"/>
              <a:pathLst>
                <a:path w="21600" h="21600">
                  <a:moveTo>
                    <a:pt x="5400" y="10800"/>
                  </a:moveTo>
                  <a:cubicBezTo>
                    <a:pt x="5400" y="7817"/>
                    <a:pt x="7817" y="5400"/>
                    <a:pt x="10800" y="5400"/>
                  </a:cubicBezTo>
                  <a:cubicBezTo>
                    <a:pt x="13782" y="5399"/>
                    <a:pt x="16199" y="7817"/>
                    <a:pt x="16200" y="10799"/>
                  </a:cubicBezTo>
                  <a:lnTo>
                    <a:pt x="21600" y="10800"/>
                  </a:lnTo>
                  <a:cubicBezTo>
                    <a:pt x="21600" y="4835"/>
                    <a:pt x="16764" y="0"/>
                    <a:pt x="10800" y="0"/>
                  </a:cubicBezTo>
                  <a:cubicBezTo>
                    <a:pt x="4835" y="0"/>
                    <a:pt x="0" y="4835"/>
                    <a:pt x="0" y="10800"/>
                  </a:cubicBezTo>
                  <a:lnTo>
                    <a:pt x="5400" y="10800"/>
                  </a:lnTo>
                  <a:close/>
                </a:path>
              </a:pathLst>
            </a:custGeom>
            <a:solidFill>
              <a:srgbClr val="FFFFFF"/>
            </a:solidFill>
            <a:ln w="9525">
              <a:solidFill>
                <a:srgbClr val="000000"/>
              </a:solidFill>
              <a:miter lim="800000"/>
              <a:headEnd/>
              <a:tailEnd/>
            </a:ln>
          </xdr:spPr>
        </xdr:sp>
        <xdr:sp macro="" textlink="">
          <xdr:nvSpPr>
            <xdr:cNvPr id="92320" name="Line 1241">
              <a:extLst>
                <a:ext uri="{FF2B5EF4-FFF2-40B4-BE49-F238E27FC236}">
                  <a16:creationId xmlns:a16="http://schemas.microsoft.com/office/drawing/2014/main" id="{046D649B-6371-6F99-E2F3-9532C34558DF}"/>
                </a:ext>
              </a:extLst>
            </xdr:cNvPr>
            <xdr:cNvSpPr>
              <a:spLocks noChangeShapeType="1"/>
            </xdr:cNvSpPr>
          </xdr:nvSpPr>
          <xdr:spPr bwMode="auto">
            <a:xfrm flipH="1">
              <a:off x="277" y="576"/>
              <a:ext cx="3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21" name="Line 1242">
              <a:extLst>
                <a:ext uri="{FF2B5EF4-FFF2-40B4-BE49-F238E27FC236}">
                  <a16:creationId xmlns:a16="http://schemas.microsoft.com/office/drawing/2014/main" id="{9C1FBE33-05C1-21B9-A37E-EC87995C68D6}"/>
                </a:ext>
              </a:extLst>
            </xdr:cNvPr>
            <xdr:cNvSpPr>
              <a:spLocks noChangeShapeType="1"/>
            </xdr:cNvSpPr>
          </xdr:nvSpPr>
          <xdr:spPr bwMode="auto">
            <a:xfrm flipH="1">
              <a:off x="278" y="561"/>
              <a:ext cx="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22" name="Line 1243">
              <a:extLst>
                <a:ext uri="{FF2B5EF4-FFF2-40B4-BE49-F238E27FC236}">
                  <a16:creationId xmlns:a16="http://schemas.microsoft.com/office/drawing/2014/main" id="{59FC0247-3D26-EF28-5FB1-8C5499E2482C}"/>
                </a:ext>
              </a:extLst>
            </xdr:cNvPr>
            <xdr:cNvSpPr>
              <a:spLocks noChangeShapeType="1"/>
            </xdr:cNvSpPr>
          </xdr:nvSpPr>
          <xdr:spPr bwMode="auto">
            <a:xfrm flipV="1">
              <a:off x="277" y="558"/>
              <a:ext cx="0" cy="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23" name="Freeform 1244">
              <a:extLst>
                <a:ext uri="{FF2B5EF4-FFF2-40B4-BE49-F238E27FC236}">
                  <a16:creationId xmlns:a16="http://schemas.microsoft.com/office/drawing/2014/main" id="{EE6320B9-89B8-8947-4ABD-D637886A96E4}"/>
                </a:ext>
              </a:extLst>
            </xdr:cNvPr>
            <xdr:cNvSpPr>
              <a:spLocks/>
            </xdr:cNvSpPr>
          </xdr:nvSpPr>
          <xdr:spPr bwMode="auto">
            <a:xfrm>
              <a:off x="255" y="551"/>
              <a:ext cx="21" cy="27"/>
            </a:xfrm>
            <a:custGeom>
              <a:avLst/>
              <a:gdLst>
                <a:gd name="T0" fmla="*/ 21 w 13"/>
                <a:gd name="T1" fmla="*/ 27 h 19"/>
                <a:gd name="T2" fmla="*/ 13 w 13"/>
                <a:gd name="T3" fmla="*/ 26 h 19"/>
                <a:gd name="T4" fmla="*/ 6 w 13"/>
                <a:gd name="T5" fmla="*/ 21 h 19"/>
                <a:gd name="T6" fmla="*/ 2 w 13"/>
                <a:gd name="T7" fmla="*/ 16 h 19"/>
                <a:gd name="T8" fmla="*/ 0 w 13"/>
                <a:gd name="T9" fmla="*/ 9 h 19"/>
                <a:gd name="T10" fmla="*/ 0 w 13"/>
                <a:gd name="T11" fmla="*/ 0 h 19"/>
                <a:gd name="T12" fmla="*/ 0 60000 65536"/>
                <a:gd name="T13" fmla="*/ 0 60000 65536"/>
                <a:gd name="T14" fmla="*/ 0 60000 65536"/>
                <a:gd name="T15" fmla="*/ 0 60000 65536"/>
                <a:gd name="T16" fmla="*/ 0 60000 65536"/>
                <a:gd name="T17" fmla="*/ 0 60000 65536"/>
                <a:gd name="T18" fmla="*/ 0 w 13"/>
                <a:gd name="T19" fmla="*/ 0 h 19"/>
                <a:gd name="T20" fmla="*/ 13 w 13"/>
                <a:gd name="T21" fmla="*/ 19 h 19"/>
              </a:gdLst>
              <a:ahLst/>
              <a:cxnLst>
                <a:cxn ang="T12">
                  <a:pos x="T0" y="T1"/>
                </a:cxn>
                <a:cxn ang="T13">
                  <a:pos x="T2" y="T3"/>
                </a:cxn>
                <a:cxn ang="T14">
                  <a:pos x="T4" y="T5"/>
                </a:cxn>
                <a:cxn ang="T15">
                  <a:pos x="T6" y="T7"/>
                </a:cxn>
                <a:cxn ang="T16">
                  <a:pos x="T8" y="T9"/>
                </a:cxn>
                <a:cxn ang="T17">
                  <a:pos x="T10" y="T11"/>
                </a:cxn>
              </a:cxnLst>
              <a:rect l="T18" t="T19" r="T20" b="T21"/>
              <a:pathLst>
                <a:path w="13" h="19">
                  <a:moveTo>
                    <a:pt x="13" y="19"/>
                  </a:moveTo>
                  <a:lnTo>
                    <a:pt x="8" y="18"/>
                  </a:lnTo>
                  <a:lnTo>
                    <a:pt x="4" y="15"/>
                  </a:lnTo>
                  <a:lnTo>
                    <a:pt x="1" y="11"/>
                  </a:lnTo>
                  <a:lnTo>
                    <a:pt x="0" y="6"/>
                  </a:lnTo>
                  <a:lnTo>
                    <a:pt x="0"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324" name="Freeform 1245">
              <a:extLst>
                <a:ext uri="{FF2B5EF4-FFF2-40B4-BE49-F238E27FC236}">
                  <a16:creationId xmlns:a16="http://schemas.microsoft.com/office/drawing/2014/main" id="{B42F040A-C7D4-E57D-2231-58BE2C4935C9}"/>
                </a:ext>
              </a:extLst>
            </xdr:cNvPr>
            <xdr:cNvSpPr>
              <a:spLocks/>
            </xdr:cNvSpPr>
          </xdr:nvSpPr>
          <xdr:spPr bwMode="auto">
            <a:xfrm>
              <a:off x="272" y="550"/>
              <a:ext cx="5" cy="8"/>
            </a:xfrm>
            <a:custGeom>
              <a:avLst/>
              <a:gdLst>
                <a:gd name="T0" fmla="*/ 5 w 5"/>
                <a:gd name="T1" fmla="*/ 8 h 11"/>
                <a:gd name="T2" fmla="*/ 0 w 5"/>
                <a:gd name="T3" fmla="*/ 0 h 11"/>
                <a:gd name="T4" fmla="*/ 0 60000 65536"/>
                <a:gd name="T5" fmla="*/ 0 60000 65536"/>
                <a:gd name="T6" fmla="*/ 0 w 5"/>
                <a:gd name="T7" fmla="*/ 0 h 11"/>
                <a:gd name="T8" fmla="*/ 5 w 5"/>
                <a:gd name="T9" fmla="*/ 11 h 11"/>
              </a:gdLst>
              <a:ahLst/>
              <a:cxnLst>
                <a:cxn ang="T4">
                  <a:pos x="T0" y="T1"/>
                </a:cxn>
                <a:cxn ang="T5">
                  <a:pos x="T2" y="T3"/>
                </a:cxn>
              </a:cxnLst>
              <a:rect l="T6" t="T7" r="T8" b="T9"/>
              <a:pathLst>
                <a:path w="5" h="11">
                  <a:moveTo>
                    <a:pt x="5" y="11"/>
                  </a:moveTo>
                  <a:cubicBezTo>
                    <a:pt x="0" y="8"/>
                    <a:pt x="0" y="6"/>
                    <a:pt x="0" y="0"/>
                  </a:cubicBezTo>
                </a:path>
              </a:pathLst>
            </a:custGeom>
            <a:noFill/>
            <a:ln w="9525" cap="flat" cmpd="sng">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325" name="Line 1246">
              <a:extLst>
                <a:ext uri="{FF2B5EF4-FFF2-40B4-BE49-F238E27FC236}">
                  <a16:creationId xmlns:a16="http://schemas.microsoft.com/office/drawing/2014/main" id="{9FB11731-1A0E-44A5-D2AD-5412673881A6}"/>
                </a:ext>
              </a:extLst>
            </xdr:cNvPr>
            <xdr:cNvSpPr>
              <a:spLocks noChangeShapeType="1"/>
            </xdr:cNvSpPr>
          </xdr:nvSpPr>
          <xdr:spPr bwMode="auto">
            <a:xfrm flipV="1">
              <a:off x="255" y="550"/>
              <a:ext cx="1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26" name="Rectangle 1247">
              <a:extLst>
                <a:ext uri="{FF2B5EF4-FFF2-40B4-BE49-F238E27FC236}">
                  <a16:creationId xmlns:a16="http://schemas.microsoft.com/office/drawing/2014/main" id="{A7F1F007-2B6A-B40C-887D-0788B92561D2}"/>
                </a:ext>
              </a:extLst>
            </xdr:cNvPr>
            <xdr:cNvSpPr>
              <a:spLocks noChangeArrowheads="1"/>
            </xdr:cNvSpPr>
          </xdr:nvSpPr>
          <xdr:spPr bwMode="auto">
            <a:xfrm>
              <a:off x="295" y="472"/>
              <a:ext cx="113" cy="15"/>
            </a:xfrm>
            <a:prstGeom prst="rect">
              <a:avLst/>
            </a:prstGeom>
            <a:solidFill>
              <a:srgbClr val="FFFFFF"/>
            </a:solidFill>
            <a:ln w="9525">
              <a:solidFill>
                <a:srgbClr val="000000"/>
              </a:solidFill>
              <a:miter lim="800000"/>
              <a:headEnd/>
              <a:tailEnd/>
            </a:ln>
          </xdr:spPr>
        </xdr:sp>
        <xdr:sp macro="" textlink="">
          <xdr:nvSpPr>
            <xdr:cNvPr id="92327" name="Line 1248">
              <a:extLst>
                <a:ext uri="{FF2B5EF4-FFF2-40B4-BE49-F238E27FC236}">
                  <a16:creationId xmlns:a16="http://schemas.microsoft.com/office/drawing/2014/main" id="{A172A2A2-24F2-0351-6492-21CB38B909C4}"/>
                </a:ext>
              </a:extLst>
            </xdr:cNvPr>
            <xdr:cNvSpPr>
              <a:spLocks noChangeShapeType="1"/>
            </xdr:cNvSpPr>
          </xdr:nvSpPr>
          <xdr:spPr bwMode="auto">
            <a:xfrm flipH="1">
              <a:off x="305" y="493"/>
              <a:ext cx="0" cy="3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28" name="Line 1249">
              <a:extLst>
                <a:ext uri="{FF2B5EF4-FFF2-40B4-BE49-F238E27FC236}">
                  <a16:creationId xmlns:a16="http://schemas.microsoft.com/office/drawing/2014/main" id="{691FFDB4-EC86-55FF-D7E8-2EBD7A16E6A6}"/>
                </a:ext>
              </a:extLst>
            </xdr:cNvPr>
            <xdr:cNvSpPr>
              <a:spLocks noChangeShapeType="1"/>
            </xdr:cNvSpPr>
          </xdr:nvSpPr>
          <xdr:spPr bwMode="auto">
            <a:xfrm flipH="1">
              <a:off x="397" y="493"/>
              <a:ext cx="0" cy="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29" name="Rectangle 1250">
              <a:extLst>
                <a:ext uri="{FF2B5EF4-FFF2-40B4-BE49-F238E27FC236}">
                  <a16:creationId xmlns:a16="http://schemas.microsoft.com/office/drawing/2014/main" id="{69C21B8E-362B-6411-C654-8FD8670007E7}"/>
                </a:ext>
              </a:extLst>
            </xdr:cNvPr>
            <xdr:cNvSpPr>
              <a:spLocks noChangeArrowheads="1"/>
            </xdr:cNvSpPr>
          </xdr:nvSpPr>
          <xdr:spPr bwMode="auto">
            <a:xfrm>
              <a:off x="341" y="487"/>
              <a:ext cx="6" cy="6"/>
            </a:xfrm>
            <a:prstGeom prst="rect">
              <a:avLst/>
            </a:prstGeom>
            <a:solidFill>
              <a:srgbClr val="FFFFFF"/>
            </a:solidFill>
            <a:ln w="9525">
              <a:solidFill>
                <a:srgbClr val="000000"/>
              </a:solidFill>
              <a:miter lim="800000"/>
              <a:headEnd/>
              <a:tailEnd/>
            </a:ln>
          </xdr:spPr>
        </xdr:sp>
        <xdr:sp macro="" textlink="">
          <xdr:nvSpPr>
            <xdr:cNvPr id="92330" name="Rectangle 1251">
              <a:extLst>
                <a:ext uri="{FF2B5EF4-FFF2-40B4-BE49-F238E27FC236}">
                  <a16:creationId xmlns:a16="http://schemas.microsoft.com/office/drawing/2014/main" id="{6E06DCA6-76C4-89C3-1973-D2601B59C4F4}"/>
                </a:ext>
              </a:extLst>
            </xdr:cNvPr>
            <xdr:cNvSpPr>
              <a:spLocks noChangeArrowheads="1"/>
            </xdr:cNvSpPr>
          </xdr:nvSpPr>
          <xdr:spPr bwMode="auto">
            <a:xfrm>
              <a:off x="302" y="487"/>
              <a:ext cx="6" cy="6"/>
            </a:xfrm>
            <a:prstGeom prst="rect">
              <a:avLst/>
            </a:prstGeom>
            <a:solidFill>
              <a:srgbClr val="FFFFFF"/>
            </a:solidFill>
            <a:ln w="9525">
              <a:solidFill>
                <a:srgbClr val="000000"/>
              </a:solidFill>
              <a:miter lim="800000"/>
              <a:headEnd/>
              <a:tailEnd/>
            </a:ln>
          </xdr:spPr>
        </xdr:sp>
        <xdr:sp macro="" textlink="">
          <xdr:nvSpPr>
            <xdr:cNvPr id="92331" name="Rectangle 1252">
              <a:extLst>
                <a:ext uri="{FF2B5EF4-FFF2-40B4-BE49-F238E27FC236}">
                  <a16:creationId xmlns:a16="http://schemas.microsoft.com/office/drawing/2014/main" id="{7765AA01-BCB7-E910-B676-C945530E132E}"/>
                </a:ext>
              </a:extLst>
            </xdr:cNvPr>
            <xdr:cNvSpPr>
              <a:spLocks noChangeArrowheads="1"/>
            </xdr:cNvSpPr>
          </xdr:nvSpPr>
          <xdr:spPr bwMode="auto">
            <a:xfrm>
              <a:off x="321" y="487"/>
              <a:ext cx="6" cy="6"/>
            </a:xfrm>
            <a:prstGeom prst="rect">
              <a:avLst/>
            </a:prstGeom>
            <a:solidFill>
              <a:srgbClr val="FFFFFF"/>
            </a:solidFill>
            <a:ln w="9525">
              <a:solidFill>
                <a:srgbClr val="000000"/>
              </a:solidFill>
              <a:miter lim="800000"/>
              <a:headEnd/>
              <a:tailEnd/>
            </a:ln>
          </xdr:spPr>
        </xdr:sp>
        <xdr:sp macro="" textlink="">
          <xdr:nvSpPr>
            <xdr:cNvPr id="92332" name="Rectangle 1253">
              <a:extLst>
                <a:ext uri="{FF2B5EF4-FFF2-40B4-BE49-F238E27FC236}">
                  <a16:creationId xmlns:a16="http://schemas.microsoft.com/office/drawing/2014/main" id="{F9837C29-E542-0606-1BD7-68F30F225F3D}"/>
                </a:ext>
              </a:extLst>
            </xdr:cNvPr>
            <xdr:cNvSpPr>
              <a:spLocks noChangeArrowheads="1"/>
            </xdr:cNvSpPr>
          </xdr:nvSpPr>
          <xdr:spPr bwMode="auto">
            <a:xfrm>
              <a:off x="360" y="487"/>
              <a:ext cx="6" cy="6"/>
            </a:xfrm>
            <a:prstGeom prst="rect">
              <a:avLst/>
            </a:prstGeom>
            <a:solidFill>
              <a:srgbClr val="FFFFFF"/>
            </a:solidFill>
            <a:ln w="9525">
              <a:solidFill>
                <a:srgbClr val="000000"/>
              </a:solidFill>
              <a:miter lim="800000"/>
              <a:headEnd/>
              <a:tailEnd/>
            </a:ln>
          </xdr:spPr>
        </xdr:sp>
        <xdr:sp macro="" textlink="">
          <xdr:nvSpPr>
            <xdr:cNvPr id="92333" name="Rectangle 1254">
              <a:extLst>
                <a:ext uri="{FF2B5EF4-FFF2-40B4-BE49-F238E27FC236}">
                  <a16:creationId xmlns:a16="http://schemas.microsoft.com/office/drawing/2014/main" id="{4D094ABA-6947-0290-7F55-85D79DDE046B}"/>
                </a:ext>
              </a:extLst>
            </xdr:cNvPr>
            <xdr:cNvSpPr>
              <a:spLocks noChangeArrowheads="1"/>
            </xdr:cNvSpPr>
          </xdr:nvSpPr>
          <xdr:spPr bwMode="auto">
            <a:xfrm>
              <a:off x="378" y="487"/>
              <a:ext cx="6" cy="6"/>
            </a:xfrm>
            <a:prstGeom prst="rect">
              <a:avLst/>
            </a:prstGeom>
            <a:solidFill>
              <a:srgbClr val="FFFFFF"/>
            </a:solidFill>
            <a:ln w="9525">
              <a:solidFill>
                <a:srgbClr val="000000"/>
              </a:solidFill>
              <a:miter lim="800000"/>
              <a:headEnd/>
              <a:tailEnd/>
            </a:ln>
          </xdr:spPr>
        </xdr:sp>
        <xdr:sp macro="" textlink="">
          <xdr:nvSpPr>
            <xdr:cNvPr id="92334" name="Rectangle 1255">
              <a:extLst>
                <a:ext uri="{FF2B5EF4-FFF2-40B4-BE49-F238E27FC236}">
                  <a16:creationId xmlns:a16="http://schemas.microsoft.com/office/drawing/2014/main" id="{0C8BC753-21E1-C200-AD9C-60D8079B8752}"/>
                </a:ext>
              </a:extLst>
            </xdr:cNvPr>
            <xdr:cNvSpPr>
              <a:spLocks noChangeArrowheads="1"/>
            </xdr:cNvSpPr>
          </xdr:nvSpPr>
          <xdr:spPr bwMode="auto">
            <a:xfrm>
              <a:off x="394" y="487"/>
              <a:ext cx="6" cy="6"/>
            </a:xfrm>
            <a:prstGeom prst="rect">
              <a:avLst/>
            </a:prstGeom>
            <a:solidFill>
              <a:srgbClr val="FFFFFF"/>
            </a:solidFill>
            <a:ln w="9525">
              <a:solidFill>
                <a:srgbClr val="000000"/>
              </a:solidFill>
              <a:miter lim="800000"/>
              <a:headEnd/>
              <a:tailEnd/>
            </a:ln>
          </xdr:spPr>
        </xdr:sp>
        <xdr:sp macro="" textlink="">
          <xdr:nvSpPr>
            <xdr:cNvPr id="92335" name="Rectangle 1256">
              <a:extLst>
                <a:ext uri="{FF2B5EF4-FFF2-40B4-BE49-F238E27FC236}">
                  <a16:creationId xmlns:a16="http://schemas.microsoft.com/office/drawing/2014/main" id="{9C3CCD60-7030-2381-C231-03C6B4AAD1A5}"/>
                </a:ext>
              </a:extLst>
            </xdr:cNvPr>
            <xdr:cNvSpPr>
              <a:spLocks noChangeArrowheads="1"/>
            </xdr:cNvSpPr>
          </xdr:nvSpPr>
          <xdr:spPr bwMode="auto">
            <a:xfrm>
              <a:off x="405" y="507"/>
              <a:ext cx="20" cy="14"/>
            </a:xfrm>
            <a:prstGeom prst="rect">
              <a:avLst/>
            </a:prstGeom>
            <a:solidFill>
              <a:srgbClr val="FFFFFF"/>
            </a:solidFill>
            <a:ln w="9525">
              <a:solidFill>
                <a:srgbClr val="000000"/>
              </a:solidFill>
              <a:miter lim="800000"/>
              <a:headEnd/>
              <a:tailEnd/>
            </a:ln>
          </xdr:spPr>
        </xdr:sp>
        <xdr:sp macro="" textlink="">
          <xdr:nvSpPr>
            <xdr:cNvPr id="92336" name="Line 1257">
              <a:extLst>
                <a:ext uri="{FF2B5EF4-FFF2-40B4-BE49-F238E27FC236}">
                  <a16:creationId xmlns:a16="http://schemas.microsoft.com/office/drawing/2014/main" id="{E4F6A143-18F9-4772-623A-E262D34EAFC6}"/>
                </a:ext>
              </a:extLst>
            </xdr:cNvPr>
            <xdr:cNvSpPr>
              <a:spLocks noChangeShapeType="1"/>
            </xdr:cNvSpPr>
          </xdr:nvSpPr>
          <xdr:spPr bwMode="auto">
            <a:xfrm>
              <a:off x="305" y="532"/>
              <a:ext cx="9"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37" name="Line 1258">
              <a:extLst>
                <a:ext uri="{FF2B5EF4-FFF2-40B4-BE49-F238E27FC236}">
                  <a16:creationId xmlns:a16="http://schemas.microsoft.com/office/drawing/2014/main" id="{95B34C1B-B7E1-2C44-3F47-3CD5457F5364}"/>
                </a:ext>
              </a:extLst>
            </xdr:cNvPr>
            <xdr:cNvSpPr>
              <a:spLocks noChangeShapeType="1"/>
            </xdr:cNvSpPr>
          </xdr:nvSpPr>
          <xdr:spPr bwMode="auto">
            <a:xfrm flipH="1">
              <a:off x="388" y="533"/>
              <a:ext cx="9" cy="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38" name="Line 1259">
              <a:extLst>
                <a:ext uri="{FF2B5EF4-FFF2-40B4-BE49-F238E27FC236}">
                  <a16:creationId xmlns:a16="http://schemas.microsoft.com/office/drawing/2014/main" id="{3BDFFCA5-19A5-B809-33F3-87BBCC96C4B7}"/>
                </a:ext>
              </a:extLst>
            </xdr:cNvPr>
            <xdr:cNvSpPr>
              <a:spLocks noChangeShapeType="1"/>
            </xdr:cNvSpPr>
          </xdr:nvSpPr>
          <xdr:spPr bwMode="auto">
            <a:xfrm>
              <a:off x="314" y="541"/>
              <a:ext cx="0" cy="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39" name="Line 1260">
              <a:extLst>
                <a:ext uri="{FF2B5EF4-FFF2-40B4-BE49-F238E27FC236}">
                  <a16:creationId xmlns:a16="http://schemas.microsoft.com/office/drawing/2014/main" id="{22F3BE62-23C5-88D0-2ECB-D1A2E8108309}"/>
                </a:ext>
              </a:extLst>
            </xdr:cNvPr>
            <xdr:cNvSpPr>
              <a:spLocks noChangeShapeType="1"/>
            </xdr:cNvSpPr>
          </xdr:nvSpPr>
          <xdr:spPr bwMode="auto">
            <a:xfrm>
              <a:off x="388" y="542"/>
              <a:ext cx="0" cy="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40" name="Rectangle 1261">
              <a:extLst>
                <a:ext uri="{FF2B5EF4-FFF2-40B4-BE49-F238E27FC236}">
                  <a16:creationId xmlns:a16="http://schemas.microsoft.com/office/drawing/2014/main" id="{1DCAC583-D803-A4F4-A777-D7A34E7F6216}"/>
                </a:ext>
              </a:extLst>
            </xdr:cNvPr>
            <xdr:cNvSpPr>
              <a:spLocks noChangeArrowheads="1"/>
            </xdr:cNvSpPr>
          </xdr:nvSpPr>
          <xdr:spPr bwMode="auto">
            <a:xfrm>
              <a:off x="397" y="502"/>
              <a:ext cx="8" cy="24"/>
            </a:xfrm>
            <a:prstGeom prst="rect">
              <a:avLst/>
            </a:prstGeom>
            <a:solidFill>
              <a:srgbClr val="FFFFFF"/>
            </a:solidFill>
            <a:ln w="9525">
              <a:solidFill>
                <a:srgbClr val="000000"/>
              </a:solidFill>
              <a:miter lim="800000"/>
              <a:headEnd/>
              <a:tailEnd/>
            </a:ln>
          </xdr:spPr>
        </xdr:sp>
        <xdr:sp macro="" textlink="">
          <xdr:nvSpPr>
            <xdr:cNvPr id="92341" name="Rectangle 1262">
              <a:extLst>
                <a:ext uri="{FF2B5EF4-FFF2-40B4-BE49-F238E27FC236}">
                  <a16:creationId xmlns:a16="http://schemas.microsoft.com/office/drawing/2014/main" id="{01EE80D1-82F5-5C63-7FFC-672060A7826A}"/>
                </a:ext>
              </a:extLst>
            </xdr:cNvPr>
            <xdr:cNvSpPr>
              <a:spLocks noChangeArrowheads="1"/>
            </xdr:cNvSpPr>
          </xdr:nvSpPr>
          <xdr:spPr bwMode="auto">
            <a:xfrm>
              <a:off x="297" y="501"/>
              <a:ext cx="8" cy="24"/>
            </a:xfrm>
            <a:prstGeom prst="rect">
              <a:avLst/>
            </a:prstGeom>
            <a:solidFill>
              <a:srgbClr val="FFFFFF"/>
            </a:solidFill>
            <a:ln w="9525">
              <a:solidFill>
                <a:srgbClr val="000000"/>
              </a:solidFill>
              <a:miter lim="800000"/>
              <a:headEnd/>
              <a:tailEnd/>
            </a:ln>
          </xdr:spPr>
        </xdr:sp>
        <xdr:grpSp>
          <xdr:nvGrpSpPr>
            <xdr:cNvPr id="92342" name="Group 1263">
              <a:extLst>
                <a:ext uri="{FF2B5EF4-FFF2-40B4-BE49-F238E27FC236}">
                  <a16:creationId xmlns:a16="http://schemas.microsoft.com/office/drawing/2014/main" id="{95185983-C44D-4081-10E0-2D85011064E1}"/>
                </a:ext>
              </a:extLst>
            </xdr:cNvPr>
            <xdr:cNvGrpSpPr>
              <a:grpSpLocks/>
            </xdr:cNvGrpSpPr>
          </xdr:nvGrpSpPr>
          <xdr:grpSpPr bwMode="auto">
            <a:xfrm>
              <a:off x="425" y="488"/>
              <a:ext cx="37" cy="52"/>
              <a:chOff x="172" y="107"/>
              <a:chExt cx="26" cy="32"/>
            </a:xfrm>
          </xdr:grpSpPr>
          <xdr:sp macro="" textlink="">
            <xdr:nvSpPr>
              <xdr:cNvPr id="92350" name="Oval 1264">
                <a:extLst>
                  <a:ext uri="{FF2B5EF4-FFF2-40B4-BE49-F238E27FC236}">
                    <a16:creationId xmlns:a16="http://schemas.microsoft.com/office/drawing/2014/main" id="{86265293-2667-A2D7-2429-EF76864C9185}"/>
                  </a:ext>
                </a:extLst>
              </xdr:cNvPr>
              <xdr:cNvSpPr>
                <a:spLocks noChangeArrowheads="1"/>
              </xdr:cNvSpPr>
            </xdr:nvSpPr>
            <xdr:spPr bwMode="auto">
              <a:xfrm>
                <a:off x="178" y="115"/>
                <a:ext cx="15" cy="16"/>
              </a:xfrm>
              <a:prstGeom prst="ellipse">
                <a:avLst/>
              </a:prstGeom>
              <a:solidFill>
                <a:srgbClr val="FFFFFF"/>
              </a:solidFill>
              <a:ln w="9525">
                <a:solidFill>
                  <a:srgbClr val="000000"/>
                </a:solidFill>
                <a:round/>
                <a:headEnd/>
                <a:tailEnd/>
              </a:ln>
            </xdr:spPr>
          </xdr:sp>
          <xdr:sp macro="" textlink="">
            <xdr:nvSpPr>
              <xdr:cNvPr id="92351" name="Line 1265">
                <a:extLst>
                  <a:ext uri="{FF2B5EF4-FFF2-40B4-BE49-F238E27FC236}">
                    <a16:creationId xmlns:a16="http://schemas.microsoft.com/office/drawing/2014/main" id="{A962B1B3-0585-909E-1F79-9640111DDACF}"/>
                  </a:ext>
                </a:extLst>
              </xdr:cNvPr>
              <xdr:cNvSpPr>
                <a:spLocks noChangeShapeType="1"/>
              </xdr:cNvSpPr>
            </xdr:nvSpPr>
            <xdr:spPr bwMode="auto">
              <a:xfrm>
                <a:off x="172" y="117"/>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52" name="Line 1266">
                <a:extLst>
                  <a:ext uri="{FF2B5EF4-FFF2-40B4-BE49-F238E27FC236}">
                    <a16:creationId xmlns:a16="http://schemas.microsoft.com/office/drawing/2014/main" id="{374812F6-27A4-F449-F298-7F6D713EA941}"/>
                  </a:ext>
                </a:extLst>
              </xdr:cNvPr>
              <xdr:cNvSpPr>
                <a:spLocks noChangeShapeType="1"/>
              </xdr:cNvSpPr>
            </xdr:nvSpPr>
            <xdr:spPr bwMode="auto">
              <a:xfrm>
                <a:off x="172" y="129"/>
                <a:ext cx="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53" name="Line 1267">
                <a:extLst>
                  <a:ext uri="{FF2B5EF4-FFF2-40B4-BE49-F238E27FC236}">
                    <a16:creationId xmlns:a16="http://schemas.microsoft.com/office/drawing/2014/main" id="{ECA83B06-CE8D-805B-37CB-BFC1157223AD}"/>
                  </a:ext>
                </a:extLst>
              </xdr:cNvPr>
              <xdr:cNvSpPr>
                <a:spLocks noChangeShapeType="1"/>
              </xdr:cNvSpPr>
            </xdr:nvSpPr>
            <xdr:spPr bwMode="auto">
              <a:xfrm>
                <a:off x="172" y="117"/>
                <a:ext cx="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54" name="Line 1268">
                <a:extLst>
                  <a:ext uri="{FF2B5EF4-FFF2-40B4-BE49-F238E27FC236}">
                    <a16:creationId xmlns:a16="http://schemas.microsoft.com/office/drawing/2014/main" id="{96C36065-7271-23F5-1702-2D7945CBBAF1}"/>
                  </a:ext>
                </a:extLst>
              </xdr:cNvPr>
              <xdr:cNvSpPr>
                <a:spLocks noChangeShapeType="1"/>
              </xdr:cNvSpPr>
            </xdr:nvSpPr>
            <xdr:spPr bwMode="auto">
              <a:xfrm>
                <a:off x="191" y="117"/>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55" name="Line 1269">
                <a:extLst>
                  <a:ext uri="{FF2B5EF4-FFF2-40B4-BE49-F238E27FC236}">
                    <a16:creationId xmlns:a16="http://schemas.microsoft.com/office/drawing/2014/main" id="{B4459C1B-ACA8-BC61-ACD2-61C468520505}"/>
                  </a:ext>
                </a:extLst>
              </xdr:cNvPr>
              <xdr:cNvSpPr>
                <a:spLocks noChangeShapeType="1"/>
              </xdr:cNvSpPr>
            </xdr:nvSpPr>
            <xdr:spPr bwMode="auto">
              <a:xfrm>
                <a:off x="192" y="129"/>
                <a:ext cx="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56" name="Line 1270">
                <a:extLst>
                  <a:ext uri="{FF2B5EF4-FFF2-40B4-BE49-F238E27FC236}">
                    <a16:creationId xmlns:a16="http://schemas.microsoft.com/office/drawing/2014/main" id="{92057D4B-8B60-3F6A-AE87-F56ED56B5EBC}"/>
                  </a:ext>
                </a:extLst>
              </xdr:cNvPr>
              <xdr:cNvSpPr>
                <a:spLocks noChangeShapeType="1"/>
              </xdr:cNvSpPr>
            </xdr:nvSpPr>
            <xdr:spPr bwMode="auto">
              <a:xfrm>
                <a:off x="198" y="117"/>
                <a:ext cx="0" cy="1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357" name="Freeform 1271">
                <a:extLst>
                  <a:ext uri="{FF2B5EF4-FFF2-40B4-BE49-F238E27FC236}">
                    <a16:creationId xmlns:a16="http://schemas.microsoft.com/office/drawing/2014/main" id="{91953878-7312-D0B3-5641-1D522158665E}"/>
                  </a:ext>
                </a:extLst>
              </xdr:cNvPr>
              <xdr:cNvSpPr>
                <a:spLocks/>
              </xdr:cNvSpPr>
            </xdr:nvSpPr>
            <xdr:spPr bwMode="auto">
              <a:xfrm>
                <a:off x="177" y="107"/>
                <a:ext cx="16" cy="32"/>
              </a:xfrm>
              <a:custGeom>
                <a:avLst/>
                <a:gdLst>
                  <a:gd name="T0" fmla="*/ 2 w 16"/>
                  <a:gd name="T1" fmla="*/ 1 h 32"/>
                  <a:gd name="T2" fmla="*/ 5 w 16"/>
                  <a:gd name="T3" fmla="*/ 0 h 32"/>
                  <a:gd name="T4" fmla="*/ 9 w 16"/>
                  <a:gd name="T5" fmla="*/ 0 h 32"/>
                  <a:gd name="T6" fmla="*/ 11 w 16"/>
                  <a:gd name="T7" fmla="*/ 0 h 32"/>
                  <a:gd name="T8" fmla="*/ 13 w 16"/>
                  <a:gd name="T9" fmla="*/ 0 h 32"/>
                  <a:gd name="T10" fmla="*/ 15 w 16"/>
                  <a:gd name="T11" fmla="*/ 1 h 32"/>
                  <a:gd name="T12" fmla="*/ 16 w 16"/>
                  <a:gd name="T13" fmla="*/ 2 h 32"/>
                  <a:gd name="T14" fmla="*/ 16 w 16"/>
                  <a:gd name="T15" fmla="*/ 2 h 32"/>
                  <a:gd name="T16" fmla="*/ 16 w 16"/>
                  <a:gd name="T17" fmla="*/ 2 h 32"/>
                  <a:gd name="T18" fmla="*/ 15 w 16"/>
                  <a:gd name="T19" fmla="*/ 2 h 32"/>
                  <a:gd name="T20" fmla="*/ 16 w 16"/>
                  <a:gd name="T21" fmla="*/ 3 h 32"/>
                  <a:gd name="T22" fmla="*/ 12 w 16"/>
                  <a:gd name="T23" fmla="*/ 11 h 32"/>
                  <a:gd name="T24" fmla="*/ 11 w 16"/>
                  <a:gd name="T25" fmla="*/ 14 h 32"/>
                  <a:gd name="T26" fmla="*/ 11 w 16"/>
                  <a:gd name="T27" fmla="*/ 13 h 32"/>
                  <a:gd name="T28" fmla="*/ 10 w 16"/>
                  <a:gd name="T29" fmla="*/ 15 h 32"/>
                  <a:gd name="T30" fmla="*/ 10 w 16"/>
                  <a:gd name="T31" fmla="*/ 16 h 32"/>
                  <a:gd name="T32" fmla="*/ 10 w 16"/>
                  <a:gd name="T33" fmla="*/ 19 h 32"/>
                  <a:gd name="T34" fmla="*/ 10 w 16"/>
                  <a:gd name="T35" fmla="*/ 23 h 32"/>
                  <a:gd name="T36" fmla="*/ 10 w 16"/>
                  <a:gd name="T37" fmla="*/ 27 h 32"/>
                  <a:gd name="T38" fmla="*/ 10 w 16"/>
                  <a:gd name="T39" fmla="*/ 31 h 32"/>
                  <a:gd name="T40" fmla="*/ 7 w 16"/>
                  <a:gd name="T41" fmla="*/ 31 h 32"/>
                  <a:gd name="T42" fmla="*/ 7 w 16"/>
                  <a:gd name="T43" fmla="*/ 30 h 32"/>
                  <a:gd name="T44" fmla="*/ 7 w 16"/>
                  <a:gd name="T45" fmla="*/ 28 h 32"/>
                  <a:gd name="T46" fmla="*/ 7 w 16"/>
                  <a:gd name="T47" fmla="*/ 18 h 32"/>
                  <a:gd name="T48" fmla="*/ 7 w 16"/>
                  <a:gd name="T49" fmla="*/ 16 h 32"/>
                  <a:gd name="T50" fmla="*/ 6 w 16"/>
                  <a:gd name="T51" fmla="*/ 14 h 32"/>
                  <a:gd name="T52" fmla="*/ 1 w 16"/>
                  <a:gd name="T53" fmla="*/ 4 h 32"/>
                  <a:gd name="T54" fmla="*/ 1 w 16"/>
                  <a:gd name="T55" fmla="*/ 2 h 32"/>
                  <a:gd name="T56" fmla="*/ 1 w 16"/>
                  <a:gd name="T57" fmla="*/ 2 h 32"/>
                  <a:gd name="T58" fmla="*/ 2 w 16"/>
                  <a:gd name="T59" fmla="*/ 1 h 3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6"/>
                  <a:gd name="T91" fmla="*/ 0 h 32"/>
                  <a:gd name="T92" fmla="*/ 16 w 16"/>
                  <a:gd name="T93" fmla="*/ 32 h 32"/>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6" h="32">
                    <a:moveTo>
                      <a:pt x="2" y="1"/>
                    </a:moveTo>
                    <a:cubicBezTo>
                      <a:pt x="2" y="1"/>
                      <a:pt x="4" y="0"/>
                      <a:pt x="5" y="0"/>
                    </a:cubicBezTo>
                    <a:cubicBezTo>
                      <a:pt x="6" y="0"/>
                      <a:pt x="8" y="0"/>
                      <a:pt x="9" y="0"/>
                    </a:cubicBezTo>
                    <a:cubicBezTo>
                      <a:pt x="10" y="0"/>
                      <a:pt x="10" y="0"/>
                      <a:pt x="11" y="0"/>
                    </a:cubicBezTo>
                    <a:cubicBezTo>
                      <a:pt x="12" y="0"/>
                      <a:pt x="12" y="0"/>
                      <a:pt x="13" y="0"/>
                    </a:cubicBezTo>
                    <a:cubicBezTo>
                      <a:pt x="14" y="0"/>
                      <a:pt x="15" y="1"/>
                      <a:pt x="15" y="1"/>
                    </a:cubicBezTo>
                    <a:cubicBezTo>
                      <a:pt x="15" y="1"/>
                      <a:pt x="16" y="2"/>
                      <a:pt x="16" y="2"/>
                    </a:cubicBezTo>
                    <a:cubicBezTo>
                      <a:pt x="16" y="2"/>
                      <a:pt x="16" y="2"/>
                      <a:pt x="16" y="2"/>
                    </a:cubicBezTo>
                    <a:cubicBezTo>
                      <a:pt x="16" y="2"/>
                      <a:pt x="16" y="2"/>
                      <a:pt x="16" y="2"/>
                    </a:cubicBezTo>
                    <a:cubicBezTo>
                      <a:pt x="16" y="2"/>
                      <a:pt x="15" y="2"/>
                      <a:pt x="15" y="2"/>
                    </a:cubicBezTo>
                    <a:cubicBezTo>
                      <a:pt x="15" y="2"/>
                      <a:pt x="16" y="2"/>
                      <a:pt x="16" y="3"/>
                    </a:cubicBezTo>
                    <a:cubicBezTo>
                      <a:pt x="16" y="4"/>
                      <a:pt x="13" y="9"/>
                      <a:pt x="12" y="11"/>
                    </a:cubicBezTo>
                    <a:cubicBezTo>
                      <a:pt x="11" y="13"/>
                      <a:pt x="11" y="14"/>
                      <a:pt x="11" y="14"/>
                    </a:cubicBezTo>
                    <a:cubicBezTo>
                      <a:pt x="11" y="14"/>
                      <a:pt x="11" y="13"/>
                      <a:pt x="11" y="13"/>
                    </a:cubicBezTo>
                    <a:cubicBezTo>
                      <a:pt x="11" y="13"/>
                      <a:pt x="10" y="15"/>
                      <a:pt x="10" y="15"/>
                    </a:cubicBezTo>
                    <a:cubicBezTo>
                      <a:pt x="10" y="15"/>
                      <a:pt x="10" y="15"/>
                      <a:pt x="10" y="16"/>
                    </a:cubicBezTo>
                    <a:cubicBezTo>
                      <a:pt x="10" y="17"/>
                      <a:pt x="10" y="18"/>
                      <a:pt x="10" y="19"/>
                    </a:cubicBezTo>
                    <a:cubicBezTo>
                      <a:pt x="10" y="22"/>
                      <a:pt x="10" y="22"/>
                      <a:pt x="10" y="23"/>
                    </a:cubicBezTo>
                    <a:cubicBezTo>
                      <a:pt x="10" y="24"/>
                      <a:pt x="10" y="26"/>
                      <a:pt x="10" y="27"/>
                    </a:cubicBezTo>
                    <a:cubicBezTo>
                      <a:pt x="10" y="28"/>
                      <a:pt x="10" y="30"/>
                      <a:pt x="10" y="31"/>
                    </a:cubicBezTo>
                    <a:cubicBezTo>
                      <a:pt x="10" y="32"/>
                      <a:pt x="7" y="31"/>
                      <a:pt x="7" y="31"/>
                    </a:cubicBezTo>
                    <a:cubicBezTo>
                      <a:pt x="6" y="31"/>
                      <a:pt x="7" y="30"/>
                      <a:pt x="7" y="30"/>
                    </a:cubicBezTo>
                    <a:cubicBezTo>
                      <a:pt x="7" y="30"/>
                      <a:pt x="7" y="30"/>
                      <a:pt x="7" y="28"/>
                    </a:cubicBezTo>
                    <a:cubicBezTo>
                      <a:pt x="7" y="26"/>
                      <a:pt x="7" y="20"/>
                      <a:pt x="7" y="18"/>
                    </a:cubicBezTo>
                    <a:cubicBezTo>
                      <a:pt x="7" y="16"/>
                      <a:pt x="7" y="17"/>
                      <a:pt x="7" y="16"/>
                    </a:cubicBezTo>
                    <a:cubicBezTo>
                      <a:pt x="7" y="15"/>
                      <a:pt x="7" y="16"/>
                      <a:pt x="6" y="14"/>
                    </a:cubicBezTo>
                    <a:cubicBezTo>
                      <a:pt x="5" y="12"/>
                      <a:pt x="2" y="6"/>
                      <a:pt x="1" y="4"/>
                    </a:cubicBezTo>
                    <a:cubicBezTo>
                      <a:pt x="0" y="2"/>
                      <a:pt x="1" y="2"/>
                      <a:pt x="1" y="2"/>
                    </a:cubicBezTo>
                    <a:cubicBezTo>
                      <a:pt x="1" y="2"/>
                      <a:pt x="1" y="2"/>
                      <a:pt x="1" y="2"/>
                    </a:cubicBezTo>
                    <a:cubicBezTo>
                      <a:pt x="1" y="2"/>
                      <a:pt x="2" y="1"/>
                      <a:pt x="2" y="1"/>
                    </a:cubicBezTo>
                    <a:close/>
                  </a:path>
                </a:pathLst>
              </a:custGeom>
              <a:solidFill>
                <a:srgbClr val="FFFFFF"/>
              </a:solidFill>
              <a:ln w="9525">
                <a:solidFill>
                  <a:srgbClr val="000000"/>
                </a:solidFill>
                <a:round/>
                <a:headEnd/>
                <a:tailEnd/>
              </a:ln>
            </xdr:spPr>
          </xdr:sp>
          <xdr:sp macro="" textlink="">
            <xdr:nvSpPr>
              <xdr:cNvPr id="92358" name="Freeform 1272">
                <a:extLst>
                  <a:ext uri="{FF2B5EF4-FFF2-40B4-BE49-F238E27FC236}">
                    <a16:creationId xmlns:a16="http://schemas.microsoft.com/office/drawing/2014/main" id="{FA460695-DE12-AFFB-C64D-EB15D12B50E5}"/>
                  </a:ext>
                </a:extLst>
              </xdr:cNvPr>
              <xdr:cNvSpPr>
                <a:spLocks/>
              </xdr:cNvSpPr>
            </xdr:nvSpPr>
            <xdr:spPr bwMode="auto">
              <a:xfrm>
                <a:off x="180" y="109"/>
                <a:ext cx="11" cy="11"/>
              </a:xfrm>
              <a:custGeom>
                <a:avLst/>
                <a:gdLst>
                  <a:gd name="T0" fmla="*/ 0 w 11"/>
                  <a:gd name="T1" fmla="*/ 1 h 11"/>
                  <a:gd name="T2" fmla="*/ 2 w 11"/>
                  <a:gd name="T3" fmla="*/ 0 h 11"/>
                  <a:gd name="T4" fmla="*/ 4 w 11"/>
                  <a:gd name="T5" fmla="*/ 0 h 11"/>
                  <a:gd name="T6" fmla="*/ 9 w 11"/>
                  <a:gd name="T7" fmla="*/ 0 h 11"/>
                  <a:gd name="T8" fmla="*/ 11 w 11"/>
                  <a:gd name="T9" fmla="*/ 1 h 11"/>
                  <a:gd name="T10" fmla="*/ 11 w 11"/>
                  <a:gd name="T11" fmla="*/ 2 h 11"/>
                  <a:gd name="T12" fmla="*/ 8 w 11"/>
                  <a:gd name="T13" fmla="*/ 7 h 11"/>
                  <a:gd name="T14" fmla="*/ 5 w 11"/>
                  <a:gd name="T15" fmla="*/ 11 h 11"/>
                  <a:gd name="T16" fmla="*/ 2 w 11"/>
                  <a:gd name="T17" fmla="*/ 6 h 11"/>
                  <a:gd name="T18" fmla="*/ 2 w 11"/>
                  <a:gd name="T19" fmla="*/ 6 h 11"/>
                  <a:gd name="T20" fmla="*/ 1 w 11"/>
                  <a:gd name="T21" fmla="*/ 4 h 11"/>
                  <a:gd name="T22" fmla="*/ 0 w 11"/>
                  <a:gd name="T23" fmla="*/ 1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
                  <a:gd name="T37" fmla="*/ 0 h 11"/>
                  <a:gd name="T38" fmla="*/ 11 w 11"/>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 h="11">
                    <a:moveTo>
                      <a:pt x="0" y="1"/>
                    </a:moveTo>
                    <a:cubicBezTo>
                      <a:pt x="0" y="0"/>
                      <a:pt x="1" y="0"/>
                      <a:pt x="2" y="0"/>
                    </a:cubicBezTo>
                    <a:cubicBezTo>
                      <a:pt x="3" y="0"/>
                      <a:pt x="3" y="0"/>
                      <a:pt x="4" y="0"/>
                    </a:cubicBezTo>
                    <a:cubicBezTo>
                      <a:pt x="5" y="0"/>
                      <a:pt x="8" y="0"/>
                      <a:pt x="9" y="0"/>
                    </a:cubicBezTo>
                    <a:cubicBezTo>
                      <a:pt x="10" y="0"/>
                      <a:pt x="11" y="1"/>
                      <a:pt x="11" y="1"/>
                    </a:cubicBezTo>
                    <a:cubicBezTo>
                      <a:pt x="11" y="1"/>
                      <a:pt x="11" y="1"/>
                      <a:pt x="11" y="2"/>
                    </a:cubicBezTo>
                    <a:cubicBezTo>
                      <a:pt x="11" y="3"/>
                      <a:pt x="9" y="6"/>
                      <a:pt x="8" y="7"/>
                    </a:cubicBezTo>
                    <a:cubicBezTo>
                      <a:pt x="7" y="8"/>
                      <a:pt x="6" y="11"/>
                      <a:pt x="5" y="11"/>
                    </a:cubicBezTo>
                    <a:cubicBezTo>
                      <a:pt x="4" y="11"/>
                      <a:pt x="2" y="7"/>
                      <a:pt x="2" y="6"/>
                    </a:cubicBezTo>
                    <a:cubicBezTo>
                      <a:pt x="2" y="5"/>
                      <a:pt x="2" y="6"/>
                      <a:pt x="2" y="6"/>
                    </a:cubicBezTo>
                    <a:cubicBezTo>
                      <a:pt x="2" y="6"/>
                      <a:pt x="1" y="5"/>
                      <a:pt x="1" y="4"/>
                    </a:cubicBezTo>
                    <a:cubicBezTo>
                      <a:pt x="1" y="3"/>
                      <a:pt x="0" y="2"/>
                      <a:pt x="0" y="1"/>
                    </a:cubicBezTo>
                    <a:close/>
                  </a:path>
                </a:pathLst>
              </a:custGeom>
              <a:solidFill>
                <a:srgbClr val="FFFFFF"/>
              </a:solidFill>
              <a:ln w="9525">
                <a:solidFill>
                  <a:srgbClr val="000000"/>
                </a:solidFill>
                <a:round/>
                <a:headEnd/>
                <a:tailEnd/>
              </a:ln>
            </xdr:spPr>
          </xdr:sp>
          <xdr:sp macro="" textlink="">
            <xdr:nvSpPr>
              <xdr:cNvPr id="92359" name="Freeform 1273">
                <a:extLst>
                  <a:ext uri="{FF2B5EF4-FFF2-40B4-BE49-F238E27FC236}">
                    <a16:creationId xmlns:a16="http://schemas.microsoft.com/office/drawing/2014/main" id="{C9C79BE1-1096-320C-7B1B-8B8E03064889}"/>
                  </a:ext>
                </a:extLst>
              </xdr:cNvPr>
              <xdr:cNvSpPr>
                <a:spLocks/>
              </xdr:cNvSpPr>
            </xdr:nvSpPr>
            <xdr:spPr bwMode="auto">
              <a:xfrm>
                <a:off x="183" y="115"/>
                <a:ext cx="5" cy="1"/>
              </a:xfrm>
              <a:custGeom>
                <a:avLst/>
                <a:gdLst>
                  <a:gd name="T0" fmla="*/ 0 w 5"/>
                  <a:gd name="T1" fmla="*/ 1 h 1"/>
                  <a:gd name="T2" fmla="*/ 2 w 5"/>
                  <a:gd name="T3" fmla="*/ 0 h 1"/>
                  <a:gd name="T4" fmla="*/ 5 w 5"/>
                  <a:gd name="T5" fmla="*/ 1 h 1"/>
                  <a:gd name="T6" fmla="*/ 0 60000 65536"/>
                  <a:gd name="T7" fmla="*/ 0 60000 65536"/>
                  <a:gd name="T8" fmla="*/ 0 60000 65536"/>
                  <a:gd name="T9" fmla="*/ 0 w 5"/>
                  <a:gd name="T10" fmla="*/ 0 h 1"/>
                  <a:gd name="T11" fmla="*/ 5 w 5"/>
                  <a:gd name="T12" fmla="*/ 1 h 1"/>
                </a:gdLst>
                <a:ahLst/>
                <a:cxnLst>
                  <a:cxn ang="T6">
                    <a:pos x="T0" y="T1"/>
                  </a:cxn>
                  <a:cxn ang="T7">
                    <a:pos x="T2" y="T3"/>
                  </a:cxn>
                  <a:cxn ang="T8">
                    <a:pos x="T4" y="T5"/>
                  </a:cxn>
                </a:cxnLst>
                <a:rect l="T9" t="T10" r="T11" b="T12"/>
                <a:pathLst>
                  <a:path w="5" h="1">
                    <a:moveTo>
                      <a:pt x="0" y="1"/>
                    </a:moveTo>
                    <a:cubicBezTo>
                      <a:pt x="0" y="1"/>
                      <a:pt x="1" y="0"/>
                      <a:pt x="2" y="0"/>
                    </a:cubicBezTo>
                    <a:cubicBezTo>
                      <a:pt x="3" y="0"/>
                      <a:pt x="5" y="1"/>
                      <a:pt x="5" y="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2360" name="Oval 1274">
                <a:extLst>
                  <a:ext uri="{FF2B5EF4-FFF2-40B4-BE49-F238E27FC236}">
                    <a16:creationId xmlns:a16="http://schemas.microsoft.com/office/drawing/2014/main" id="{14BB33A6-5501-9085-2DD3-70FB328C6645}"/>
                  </a:ext>
                </a:extLst>
              </xdr:cNvPr>
              <xdr:cNvSpPr>
                <a:spLocks noChangeArrowheads="1"/>
              </xdr:cNvSpPr>
            </xdr:nvSpPr>
            <xdr:spPr bwMode="auto">
              <a:xfrm>
                <a:off x="184" y="134"/>
                <a:ext cx="3" cy="3"/>
              </a:xfrm>
              <a:prstGeom prst="ellipse">
                <a:avLst/>
              </a:prstGeom>
              <a:solidFill>
                <a:srgbClr val="FFFFFF"/>
              </a:solidFill>
              <a:ln w="9525">
                <a:solidFill>
                  <a:srgbClr val="000000"/>
                </a:solidFill>
                <a:round/>
                <a:headEnd/>
                <a:tailEnd/>
              </a:ln>
            </xdr:spPr>
          </xdr:sp>
          <xdr:sp macro="" textlink="">
            <xdr:nvSpPr>
              <xdr:cNvPr id="92361" name="Oval 1275">
                <a:extLst>
                  <a:ext uri="{FF2B5EF4-FFF2-40B4-BE49-F238E27FC236}">
                    <a16:creationId xmlns:a16="http://schemas.microsoft.com/office/drawing/2014/main" id="{68299A18-C8C5-C3E0-BCEF-39F0A081F001}"/>
                  </a:ext>
                </a:extLst>
              </xdr:cNvPr>
              <xdr:cNvSpPr>
                <a:spLocks noChangeArrowheads="1"/>
              </xdr:cNvSpPr>
            </xdr:nvSpPr>
            <xdr:spPr bwMode="auto">
              <a:xfrm>
                <a:off x="184" y="122"/>
                <a:ext cx="3" cy="3"/>
              </a:xfrm>
              <a:prstGeom prst="ellipse">
                <a:avLst/>
              </a:prstGeom>
              <a:solidFill>
                <a:srgbClr val="FFFFFF"/>
              </a:solidFill>
              <a:ln w="9525">
                <a:solidFill>
                  <a:srgbClr val="000000"/>
                </a:solidFill>
                <a:round/>
                <a:headEnd/>
                <a:tailEnd/>
              </a:ln>
            </xdr:spPr>
          </xdr:sp>
        </xdr:grpSp>
        <xdr:grpSp>
          <xdr:nvGrpSpPr>
            <xdr:cNvPr id="92343" name="Group 1276">
              <a:extLst>
                <a:ext uri="{FF2B5EF4-FFF2-40B4-BE49-F238E27FC236}">
                  <a16:creationId xmlns:a16="http://schemas.microsoft.com/office/drawing/2014/main" id="{23D946F6-EAEA-51C4-3A94-055352B7842E}"/>
                </a:ext>
              </a:extLst>
            </xdr:cNvPr>
            <xdr:cNvGrpSpPr>
              <a:grpSpLocks/>
            </xdr:cNvGrpSpPr>
          </xdr:nvGrpSpPr>
          <xdr:grpSpPr bwMode="auto">
            <a:xfrm>
              <a:off x="295" y="449"/>
              <a:ext cx="113" cy="23"/>
              <a:chOff x="297" y="501"/>
              <a:chExt cx="113" cy="23"/>
            </a:xfrm>
          </xdr:grpSpPr>
          <xdr:sp macro="" textlink="">
            <xdr:nvSpPr>
              <xdr:cNvPr id="92345" name="Rectangle 1277">
                <a:extLst>
                  <a:ext uri="{FF2B5EF4-FFF2-40B4-BE49-F238E27FC236}">
                    <a16:creationId xmlns:a16="http://schemas.microsoft.com/office/drawing/2014/main" id="{4BE87038-44E9-2F8E-5D4F-37689673B989}"/>
                  </a:ext>
                </a:extLst>
              </xdr:cNvPr>
              <xdr:cNvSpPr>
                <a:spLocks noChangeArrowheads="1"/>
              </xdr:cNvSpPr>
            </xdr:nvSpPr>
            <xdr:spPr bwMode="auto">
              <a:xfrm>
                <a:off x="297" y="508"/>
                <a:ext cx="113" cy="16"/>
              </a:xfrm>
              <a:prstGeom prst="rect">
                <a:avLst/>
              </a:prstGeom>
              <a:solidFill>
                <a:srgbClr val="FFFFFF"/>
              </a:solidFill>
              <a:ln w="9525">
                <a:solidFill>
                  <a:srgbClr val="000000"/>
                </a:solidFill>
                <a:miter lim="800000"/>
                <a:headEnd/>
                <a:tailEnd/>
              </a:ln>
            </xdr:spPr>
          </xdr:sp>
          <xdr:sp macro="" textlink="">
            <xdr:nvSpPr>
              <xdr:cNvPr id="92346" name="Rectangle 1278">
                <a:extLst>
                  <a:ext uri="{FF2B5EF4-FFF2-40B4-BE49-F238E27FC236}">
                    <a16:creationId xmlns:a16="http://schemas.microsoft.com/office/drawing/2014/main" id="{CD0FFE06-B7B0-BC97-2C27-16019D8486F5}"/>
                  </a:ext>
                </a:extLst>
              </xdr:cNvPr>
              <xdr:cNvSpPr>
                <a:spLocks noChangeArrowheads="1"/>
              </xdr:cNvSpPr>
            </xdr:nvSpPr>
            <xdr:spPr bwMode="auto">
              <a:xfrm>
                <a:off x="396" y="501"/>
                <a:ext cx="6" cy="7"/>
              </a:xfrm>
              <a:prstGeom prst="rect">
                <a:avLst/>
              </a:prstGeom>
              <a:solidFill>
                <a:srgbClr val="FFFFFF"/>
              </a:solidFill>
              <a:ln w="9525">
                <a:solidFill>
                  <a:srgbClr val="000000"/>
                </a:solidFill>
                <a:miter lim="800000"/>
                <a:headEnd/>
                <a:tailEnd/>
              </a:ln>
            </xdr:spPr>
          </xdr:sp>
          <xdr:sp macro="" textlink="">
            <xdr:nvSpPr>
              <xdr:cNvPr id="92347" name="Rectangle 1279">
                <a:extLst>
                  <a:ext uri="{FF2B5EF4-FFF2-40B4-BE49-F238E27FC236}">
                    <a16:creationId xmlns:a16="http://schemas.microsoft.com/office/drawing/2014/main" id="{C4D608A3-8006-E746-BD94-3F596A279D02}"/>
                  </a:ext>
                </a:extLst>
              </xdr:cNvPr>
              <xdr:cNvSpPr>
                <a:spLocks noChangeArrowheads="1"/>
              </xdr:cNvSpPr>
            </xdr:nvSpPr>
            <xdr:spPr bwMode="auto">
              <a:xfrm>
                <a:off x="304" y="501"/>
                <a:ext cx="6" cy="7"/>
              </a:xfrm>
              <a:prstGeom prst="rect">
                <a:avLst/>
              </a:prstGeom>
              <a:solidFill>
                <a:srgbClr val="FFFFFF"/>
              </a:solidFill>
              <a:ln w="9525">
                <a:solidFill>
                  <a:srgbClr val="000000"/>
                </a:solidFill>
                <a:miter lim="800000"/>
                <a:headEnd/>
                <a:tailEnd/>
              </a:ln>
            </xdr:spPr>
          </xdr:sp>
          <xdr:sp macro="" textlink="">
            <xdr:nvSpPr>
              <xdr:cNvPr id="92348" name="Rectangle 1280">
                <a:extLst>
                  <a:ext uri="{FF2B5EF4-FFF2-40B4-BE49-F238E27FC236}">
                    <a16:creationId xmlns:a16="http://schemas.microsoft.com/office/drawing/2014/main" id="{D70D9ED3-84C2-3B4B-D71F-7E66769C9716}"/>
                  </a:ext>
                </a:extLst>
              </xdr:cNvPr>
              <xdr:cNvSpPr>
                <a:spLocks noChangeArrowheads="1"/>
              </xdr:cNvSpPr>
            </xdr:nvSpPr>
            <xdr:spPr bwMode="auto">
              <a:xfrm>
                <a:off x="323" y="501"/>
                <a:ext cx="6" cy="7"/>
              </a:xfrm>
              <a:prstGeom prst="rect">
                <a:avLst/>
              </a:prstGeom>
              <a:solidFill>
                <a:srgbClr val="FFFFFF"/>
              </a:solidFill>
              <a:ln w="9525">
                <a:solidFill>
                  <a:srgbClr val="000000"/>
                </a:solidFill>
                <a:miter lim="800000"/>
                <a:headEnd/>
                <a:tailEnd/>
              </a:ln>
            </xdr:spPr>
          </xdr:sp>
          <xdr:sp macro="" textlink="">
            <xdr:nvSpPr>
              <xdr:cNvPr id="92349" name="Rectangle 1281">
                <a:extLst>
                  <a:ext uri="{FF2B5EF4-FFF2-40B4-BE49-F238E27FC236}">
                    <a16:creationId xmlns:a16="http://schemas.microsoft.com/office/drawing/2014/main" id="{980FFA41-4549-DF3D-7E0E-1C07E930BC9E}"/>
                  </a:ext>
                </a:extLst>
              </xdr:cNvPr>
              <xdr:cNvSpPr>
                <a:spLocks noChangeArrowheads="1"/>
              </xdr:cNvSpPr>
            </xdr:nvSpPr>
            <xdr:spPr bwMode="auto">
              <a:xfrm>
                <a:off x="380" y="501"/>
                <a:ext cx="6" cy="7"/>
              </a:xfrm>
              <a:prstGeom prst="rect">
                <a:avLst/>
              </a:prstGeom>
              <a:solidFill>
                <a:srgbClr val="FFFFFF"/>
              </a:solidFill>
              <a:ln w="9525">
                <a:solidFill>
                  <a:srgbClr val="000000"/>
                </a:solidFill>
                <a:miter lim="800000"/>
                <a:headEnd/>
                <a:tailEnd/>
              </a:ln>
            </xdr:spPr>
          </xdr:sp>
        </xdr:grpSp>
        <xdr:sp macro="" textlink="">
          <xdr:nvSpPr>
            <xdr:cNvPr id="92344" name="Rectangle 1282">
              <a:extLst>
                <a:ext uri="{FF2B5EF4-FFF2-40B4-BE49-F238E27FC236}">
                  <a16:creationId xmlns:a16="http://schemas.microsoft.com/office/drawing/2014/main" id="{6A5526F9-6CD1-489B-19B5-16FB8633E470}"/>
                </a:ext>
              </a:extLst>
            </xdr:cNvPr>
            <xdr:cNvSpPr>
              <a:spLocks noChangeArrowheads="1"/>
            </xdr:cNvSpPr>
          </xdr:nvSpPr>
          <xdr:spPr bwMode="auto">
            <a:xfrm>
              <a:off x="277" y="505"/>
              <a:ext cx="20" cy="17"/>
            </a:xfrm>
            <a:prstGeom prst="rect">
              <a:avLst/>
            </a:prstGeom>
            <a:solidFill>
              <a:srgbClr val="FFFFFF"/>
            </a:solidFill>
            <a:ln w="9525">
              <a:solidFill>
                <a:srgbClr val="000000"/>
              </a:solidFill>
              <a:miter lim="800000"/>
              <a:headEnd/>
              <a:tailEnd/>
            </a:ln>
          </xdr:spPr>
        </xdr:sp>
      </xdr:grpSp>
    </xdr:grpSp>
    <xdr:clientData/>
  </xdr:twoCellAnchor>
  <xdr:twoCellAnchor editAs="oneCell">
    <xdr:from>
      <xdr:col>8</xdr:col>
      <xdr:colOff>122464</xdr:colOff>
      <xdr:row>370</xdr:row>
      <xdr:rowOff>111579</xdr:rowOff>
    </xdr:from>
    <xdr:to>
      <xdr:col>8</xdr:col>
      <xdr:colOff>152400</xdr:colOff>
      <xdr:row>414</xdr:row>
      <xdr:rowOff>19050</xdr:rowOff>
    </xdr:to>
    <xdr:pic>
      <xdr:nvPicPr>
        <xdr:cNvPr id="92293" name="11">
          <a:extLst>
            <a:ext uri="{FF2B5EF4-FFF2-40B4-BE49-F238E27FC236}">
              <a16:creationId xmlns:a16="http://schemas.microsoft.com/office/drawing/2014/main" id="{E2B4F1BB-72DA-DFFD-B23B-E7D18D7D287C}"/>
            </a:ext>
          </a:extLst>
        </xdr:cNvPr>
        <xdr:cNvPicPr>
          <a:picLocks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5304064" y="68269757"/>
          <a:ext cx="29936" cy="7690757"/>
        </a:xfrm>
        <a:prstGeom prst="rect">
          <a:avLst/>
        </a:prstGeom>
        <a:solidFill>
          <a:srgbClr val="FF0000"/>
        </a:solidFill>
        <a:ln w="9525">
          <a:solidFill>
            <a:srgbClr val="FF0000"/>
          </a:solidFill>
          <a:miter lim="800000"/>
          <a:headEnd/>
          <a:tailEnd/>
        </a:ln>
      </xdr:spPr>
    </xdr:pic>
    <xdr:clientData fLocksWithSheet="0"/>
  </xdr:twoCellAnchor>
  <xdr:twoCellAnchor editAs="oneCell">
    <xdr:from>
      <xdr:col>9</xdr:col>
      <xdr:colOff>557893</xdr:colOff>
      <xdr:row>386</xdr:row>
      <xdr:rowOff>27214</xdr:rowOff>
    </xdr:from>
    <xdr:to>
      <xdr:col>10</xdr:col>
      <xdr:colOff>51707</xdr:colOff>
      <xdr:row>388</xdr:row>
      <xdr:rowOff>84364</xdr:rowOff>
    </xdr:to>
    <xdr:pic>
      <xdr:nvPicPr>
        <xdr:cNvPr id="92294" name="3003">
          <a:extLst>
            <a:ext uri="{FF2B5EF4-FFF2-40B4-BE49-F238E27FC236}">
              <a16:creationId xmlns:a16="http://schemas.microsoft.com/office/drawing/2014/main" id="{310B8325-C692-753F-3500-27F3E023E1E1}"/>
            </a:ext>
          </a:extLst>
        </xdr:cNvPr>
        <xdr:cNvPicPr>
          <a:picLocks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6387193" y="71015679"/>
          <a:ext cx="141514" cy="410935"/>
        </a:xfrm>
        <a:prstGeom prst="rect">
          <a:avLst/>
        </a:prstGeom>
        <a:solidFill>
          <a:srgbClr val="FF0000"/>
        </a:solidFill>
        <a:ln w="0">
          <a:solidFill>
            <a:srgbClr val="FF0000"/>
          </a:solidFill>
          <a:miter lim="800000"/>
          <a:headEnd/>
          <a:tailEnd/>
        </a:ln>
      </xdr:spPr>
    </xdr:pic>
    <xdr:clientData fLocksWithSheet="0"/>
  </xdr:twoCellAnchor>
  <xdr:twoCellAnchor>
    <xdr:from>
      <xdr:col>16</xdr:col>
      <xdr:colOff>446314</xdr:colOff>
      <xdr:row>2</xdr:row>
      <xdr:rowOff>35379</xdr:rowOff>
    </xdr:from>
    <xdr:to>
      <xdr:col>17</xdr:col>
      <xdr:colOff>628650</xdr:colOff>
      <xdr:row>3</xdr:row>
      <xdr:rowOff>114300</xdr:rowOff>
    </xdr:to>
    <xdr:grpSp>
      <xdr:nvGrpSpPr>
        <xdr:cNvPr id="92295" name="Group 1285">
          <a:extLst>
            <a:ext uri="{FF2B5EF4-FFF2-40B4-BE49-F238E27FC236}">
              <a16:creationId xmlns:a16="http://schemas.microsoft.com/office/drawing/2014/main" id="{C54CBC43-C809-7EBC-7C10-6314810084C4}"/>
            </a:ext>
          </a:extLst>
        </xdr:cNvPr>
        <xdr:cNvGrpSpPr>
          <a:grpSpLocks/>
        </xdr:cNvGrpSpPr>
      </xdr:nvGrpSpPr>
      <xdr:grpSpPr bwMode="auto">
        <a:xfrm>
          <a:off x="10794146" y="441992"/>
          <a:ext cx="829076" cy="306241"/>
          <a:chOff x="177" y="1357"/>
          <a:chExt cx="204" cy="30"/>
        </a:xfrm>
      </xdr:grpSpPr>
      <xdr:sp macro="" textlink="">
        <xdr:nvSpPr>
          <xdr:cNvPr id="92306" name="Rectangle 1286">
            <a:extLst>
              <a:ext uri="{FF2B5EF4-FFF2-40B4-BE49-F238E27FC236}">
                <a16:creationId xmlns:a16="http://schemas.microsoft.com/office/drawing/2014/main" id="{24FCE3CE-4257-02E3-D42B-3F29CE77D955}"/>
              </a:ext>
            </a:extLst>
          </xdr:cNvPr>
          <xdr:cNvSpPr>
            <a:spLocks noChangeArrowheads="1"/>
          </xdr:cNvSpPr>
        </xdr:nvSpPr>
        <xdr:spPr bwMode="auto">
          <a:xfrm>
            <a:off x="333" y="1365"/>
            <a:ext cx="21" cy="4"/>
          </a:xfrm>
          <a:prstGeom prst="rect">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07" name="Rectangle 1287">
            <a:extLst>
              <a:ext uri="{FF2B5EF4-FFF2-40B4-BE49-F238E27FC236}">
                <a16:creationId xmlns:a16="http://schemas.microsoft.com/office/drawing/2014/main" id="{64E01E87-49E4-D68A-4A4A-2C69C16C9FBF}"/>
              </a:ext>
            </a:extLst>
          </xdr:cNvPr>
          <xdr:cNvSpPr>
            <a:spLocks noChangeArrowheads="1"/>
          </xdr:cNvSpPr>
        </xdr:nvSpPr>
        <xdr:spPr bwMode="auto">
          <a:xfrm>
            <a:off x="333" y="1379"/>
            <a:ext cx="21" cy="4"/>
          </a:xfrm>
          <a:prstGeom prst="rect">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08" name="AutoShape 1288">
            <a:extLst>
              <a:ext uri="{FF2B5EF4-FFF2-40B4-BE49-F238E27FC236}">
                <a16:creationId xmlns:a16="http://schemas.microsoft.com/office/drawing/2014/main" id="{101D85B9-46F6-45A5-BE24-DA00FDDFFAC9}"/>
              </a:ext>
            </a:extLst>
          </xdr:cNvPr>
          <xdr:cNvSpPr>
            <a:spLocks noChangeArrowheads="1"/>
          </xdr:cNvSpPr>
        </xdr:nvSpPr>
        <xdr:spPr bwMode="auto">
          <a:xfrm rot="5364902">
            <a:off x="349" y="1340"/>
            <a:ext cx="13" cy="50"/>
          </a:xfrm>
          <a:prstGeom prst="triangle">
            <a:avLst>
              <a:gd name="adj" fmla="val 50000"/>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09" name="AutoShape 1289">
            <a:extLst>
              <a:ext uri="{FF2B5EF4-FFF2-40B4-BE49-F238E27FC236}">
                <a16:creationId xmlns:a16="http://schemas.microsoft.com/office/drawing/2014/main" id="{E513D1FF-FA71-D3E3-B23C-72E467418A9F}"/>
              </a:ext>
            </a:extLst>
          </xdr:cNvPr>
          <xdr:cNvSpPr>
            <a:spLocks noChangeArrowheads="1"/>
          </xdr:cNvSpPr>
        </xdr:nvSpPr>
        <xdr:spPr bwMode="auto">
          <a:xfrm rot="5364902">
            <a:off x="349" y="1356"/>
            <a:ext cx="13" cy="50"/>
          </a:xfrm>
          <a:prstGeom prst="triangle">
            <a:avLst>
              <a:gd name="adj" fmla="val 50000"/>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10" name="Rectangle 1290">
            <a:extLst>
              <a:ext uri="{FF2B5EF4-FFF2-40B4-BE49-F238E27FC236}">
                <a16:creationId xmlns:a16="http://schemas.microsoft.com/office/drawing/2014/main" id="{F9D36E1C-575C-54A6-2E88-FF08480BF046}"/>
              </a:ext>
            </a:extLst>
          </xdr:cNvPr>
          <xdr:cNvSpPr>
            <a:spLocks noChangeArrowheads="1"/>
          </xdr:cNvSpPr>
        </xdr:nvSpPr>
        <xdr:spPr bwMode="auto">
          <a:xfrm flipH="1">
            <a:off x="204" y="1364"/>
            <a:ext cx="21" cy="3"/>
          </a:xfrm>
          <a:prstGeom prst="rect">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11" name="Rectangle 1291">
            <a:extLst>
              <a:ext uri="{FF2B5EF4-FFF2-40B4-BE49-F238E27FC236}">
                <a16:creationId xmlns:a16="http://schemas.microsoft.com/office/drawing/2014/main" id="{5EB87ECE-EDAD-F141-2995-9BA22DDEDB1D}"/>
              </a:ext>
            </a:extLst>
          </xdr:cNvPr>
          <xdr:cNvSpPr>
            <a:spLocks noChangeArrowheads="1"/>
          </xdr:cNvSpPr>
        </xdr:nvSpPr>
        <xdr:spPr bwMode="auto">
          <a:xfrm flipH="1">
            <a:off x="204" y="1378"/>
            <a:ext cx="21" cy="3"/>
          </a:xfrm>
          <a:prstGeom prst="rect">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12" name="AutoShape 1292">
            <a:extLst>
              <a:ext uri="{FF2B5EF4-FFF2-40B4-BE49-F238E27FC236}">
                <a16:creationId xmlns:a16="http://schemas.microsoft.com/office/drawing/2014/main" id="{61EBE828-EB6D-78E8-E785-D64929E82CB2}"/>
              </a:ext>
            </a:extLst>
          </xdr:cNvPr>
          <xdr:cNvSpPr>
            <a:spLocks noChangeArrowheads="1"/>
          </xdr:cNvSpPr>
        </xdr:nvSpPr>
        <xdr:spPr bwMode="auto">
          <a:xfrm rot="16235098" flipH="1">
            <a:off x="195" y="1339"/>
            <a:ext cx="13" cy="50"/>
          </a:xfrm>
          <a:prstGeom prst="triangle">
            <a:avLst>
              <a:gd name="adj" fmla="val 50000"/>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13" name="AutoShape 1293">
            <a:extLst>
              <a:ext uri="{FF2B5EF4-FFF2-40B4-BE49-F238E27FC236}">
                <a16:creationId xmlns:a16="http://schemas.microsoft.com/office/drawing/2014/main" id="{47D9EE65-42BA-6824-71FE-37FDCF36AA36}"/>
              </a:ext>
            </a:extLst>
          </xdr:cNvPr>
          <xdr:cNvSpPr>
            <a:spLocks noChangeArrowheads="1"/>
          </xdr:cNvSpPr>
        </xdr:nvSpPr>
        <xdr:spPr bwMode="auto">
          <a:xfrm rot="16235098" flipH="1">
            <a:off x="195" y="1353"/>
            <a:ext cx="14" cy="50"/>
          </a:xfrm>
          <a:prstGeom prst="triangle">
            <a:avLst>
              <a:gd name="adj" fmla="val 50000"/>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606879</xdr:colOff>
      <xdr:row>184</xdr:row>
      <xdr:rowOff>95250</xdr:rowOff>
    </xdr:from>
    <xdr:to>
      <xdr:col>4</xdr:col>
      <xdr:colOff>141514</xdr:colOff>
      <xdr:row>185</xdr:row>
      <xdr:rowOff>176893</xdr:rowOff>
    </xdr:to>
    <xdr:grpSp>
      <xdr:nvGrpSpPr>
        <xdr:cNvPr id="92296" name="Group 1294">
          <a:extLst>
            <a:ext uri="{FF2B5EF4-FFF2-40B4-BE49-F238E27FC236}">
              <a16:creationId xmlns:a16="http://schemas.microsoft.com/office/drawing/2014/main" id="{D79D92F3-FA67-A0C0-9B69-0A4E039C5F3F}"/>
            </a:ext>
          </a:extLst>
        </xdr:cNvPr>
        <xdr:cNvGrpSpPr>
          <a:grpSpLocks/>
        </xdr:cNvGrpSpPr>
      </xdr:nvGrpSpPr>
      <xdr:grpSpPr bwMode="auto">
        <a:xfrm>
          <a:off x="1900358" y="34852696"/>
          <a:ext cx="828114" cy="308962"/>
          <a:chOff x="177" y="1357"/>
          <a:chExt cx="204" cy="30"/>
        </a:xfrm>
      </xdr:grpSpPr>
      <xdr:sp macro="" textlink="">
        <xdr:nvSpPr>
          <xdr:cNvPr id="92298" name="Rectangle 1295">
            <a:extLst>
              <a:ext uri="{FF2B5EF4-FFF2-40B4-BE49-F238E27FC236}">
                <a16:creationId xmlns:a16="http://schemas.microsoft.com/office/drawing/2014/main" id="{F2E5E4A8-AE66-3B97-87C0-0EED24066A65}"/>
              </a:ext>
            </a:extLst>
          </xdr:cNvPr>
          <xdr:cNvSpPr>
            <a:spLocks noChangeArrowheads="1"/>
          </xdr:cNvSpPr>
        </xdr:nvSpPr>
        <xdr:spPr bwMode="auto">
          <a:xfrm>
            <a:off x="333" y="1365"/>
            <a:ext cx="21" cy="4"/>
          </a:xfrm>
          <a:prstGeom prst="rect">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299" name="Rectangle 1296">
            <a:extLst>
              <a:ext uri="{FF2B5EF4-FFF2-40B4-BE49-F238E27FC236}">
                <a16:creationId xmlns:a16="http://schemas.microsoft.com/office/drawing/2014/main" id="{2760E6D8-4AD6-7C7A-4780-5A8B0E179C9B}"/>
              </a:ext>
            </a:extLst>
          </xdr:cNvPr>
          <xdr:cNvSpPr>
            <a:spLocks noChangeArrowheads="1"/>
          </xdr:cNvSpPr>
        </xdr:nvSpPr>
        <xdr:spPr bwMode="auto">
          <a:xfrm>
            <a:off x="333" y="1379"/>
            <a:ext cx="21" cy="4"/>
          </a:xfrm>
          <a:prstGeom prst="rect">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00" name="AutoShape 1297">
            <a:extLst>
              <a:ext uri="{FF2B5EF4-FFF2-40B4-BE49-F238E27FC236}">
                <a16:creationId xmlns:a16="http://schemas.microsoft.com/office/drawing/2014/main" id="{F89C3168-5B65-0867-4E4B-AF5E2E3A9A63}"/>
              </a:ext>
            </a:extLst>
          </xdr:cNvPr>
          <xdr:cNvSpPr>
            <a:spLocks noChangeArrowheads="1"/>
          </xdr:cNvSpPr>
        </xdr:nvSpPr>
        <xdr:spPr bwMode="auto">
          <a:xfrm rot="5364902">
            <a:off x="349" y="1340"/>
            <a:ext cx="13" cy="50"/>
          </a:xfrm>
          <a:prstGeom prst="triangle">
            <a:avLst>
              <a:gd name="adj" fmla="val 50000"/>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01" name="AutoShape 1298">
            <a:extLst>
              <a:ext uri="{FF2B5EF4-FFF2-40B4-BE49-F238E27FC236}">
                <a16:creationId xmlns:a16="http://schemas.microsoft.com/office/drawing/2014/main" id="{DC0A0C23-E7F1-236E-E9FE-9139DF7D1D83}"/>
              </a:ext>
            </a:extLst>
          </xdr:cNvPr>
          <xdr:cNvSpPr>
            <a:spLocks noChangeArrowheads="1"/>
          </xdr:cNvSpPr>
        </xdr:nvSpPr>
        <xdr:spPr bwMode="auto">
          <a:xfrm rot="5364902">
            <a:off x="349" y="1356"/>
            <a:ext cx="13" cy="50"/>
          </a:xfrm>
          <a:prstGeom prst="triangle">
            <a:avLst>
              <a:gd name="adj" fmla="val 50000"/>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02" name="Rectangle 1299">
            <a:extLst>
              <a:ext uri="{FF2B5EF4-FFF2-40B4-BE49-F238E27FC236}">
                <a16:creationId xmlns:a16="http://schemas.microsoft.com/office/drawing/2014/main" id="{779CB68A-75AF-2F89-25FE-41576F15145D}"/>
              </a:ext>
            </a:extLst>
          </xdr:cNvPr>
          <xdr:cNvSpPr>
            <a:spLocks noChangeArrowheads="1"/>
          </xdr:cNvSpPr>
        </xdr:nvSpPr>
        <xdr:spPr bwMode="auto">
          <a:xfrm flipH="1">
            <a:off x="204" y="1364"/>
            <a:ext cx="21" cy="3"/>
          </a:xfrm>
          <a:prstGeom prst="rect">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03" name="Rectangle 1300">
            <a:extLst>
              <a:ext uri="{FF2B5EF4-FFF2-40B4-BE49-F238E27FC236}">
                <a16:creationId xmlns:a16="http://schemas.microsoft.com/office/drawing/2014/main" id="{C77AC48B-DFF8-6B13-B6B1-8212D834E2EB}"/>
              </a:ext>
            </a:extLst>
          </xdr:cNvPr>
          <xdr:cNvSpPr>
            <a:spLocks noChangeArrowheads="1"/>
          </xdr:cNvSpPr>
        </xdr:nvSpPr>
        <xdr:spPr bwMode="auto">
          <a:xfrm flipH="1">
            <a:off x="204" y="1378"/>
            <a:ext cx="21" cy="3"/>
          </a:xfrm>
          <a:prstGeom prst="rect">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04" name="AutoShape 1301">
            <a:extLst>
              <a:ext uri="{FF2B5EF4-FFF2-40B4-BE49-F238E27FC236}">
                <a16:creationId xmlns:a16="http://schemas.microsoft.com/office/drawing/2014/main" id="{9E85A85A-C156-E8F4-76E1-B45401219759}"/>
              </a:ext>
            </a:extLst>
          </xdr:cNvPr>
          <xdr:cNvSpPr>
            <a:spLocks noChangeArrowheads="1"/>
          </xdr:cNvSpPr>
        </xdr:nvSpPr>
        <xdr:spPr bwMode="auto">
          <a:xfrm rot="16235098" flipH="1">
            <a:off x="195" y="1339"/>
            <a:ext cx="13" cy="50"/>
          </a:xfrm>
          <a:prstGeom prst="triangle">
            <a:avLst>
              <a:gd name="adj" fmla="val 50000"/>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305" name="AutoShape 1302">
            <a:extLst>
              <a:ext uri="{FF2B5EF4-FFF2-40B4-BE49-F238E27FC236}">
                <a16:creationId xmlns:a16="http://schemas.microsoft.com/office/drawing/2014/main" id="{81D3DD61-FCBE-370E-CF9F-6289063A4E6D}"/>
              </a:ext>
            </a:extLst>
          </xdr:cNvPr>
          <xdr:cNvSpPr>
            <a:spLocks noChangeArrowheads="1"/>
          </xdr:cNvSpPr>
        </xdr:nvSpPr>
        <xdr:spPr bwMode="auto">
          <a:xfrm rot="16235098" flipH="1">
            <a:off x="195" y="1353"/>
            <a:ext cx="14" cy="50"/>
          </a:xfrm>
          <a:prstGeom prst="triangle">
            <a:avLst>
              <a:gd name="adj" fmla="val 50000"/>
            </a:avLst>
          </a:prstGeom>
          <a:solidFill>
            <a:srgbClr val="336666"/>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editAs="oneCell">
    <xdr:from>
      <xdr:col>9</xdr:col>
      <xdr:colOff>617764</xdr:colOff>
      <xdr:row>195</xdr:row>
      <xdr:rowOff>19050</xdr:rowOff>
    </xdr:from>
    <xdr:to>
      <xdr:col>12</xdr:col>
      <xdr:colOff>100693</xdr:colOff>
      <xdr:row>199</xdr:row>
      <xdr:rowOff>57150</xdr:rowOff>
    </xdr:to>
    <xdr:pic>
      <xdr:nvPicPr>
        <xdr:cNvPr id="92297" name="Picture 1303">
          <a:extLst>
            <a:ext uri="{FF2B5EF4-FFF2-40B4-BE49-F238E27FC236}">
              <a16:creationId xmlns:a16="http://schemas.microsoft.com/office/drawing/2014/main" id="{5B97C0F6-9035-5610-B3BC-A3C948DDECEF}"/>
            </a:ext>
          </a:extLst>
        </xdr:cNvPr>
        <xdr:cNvPicPr>
          <a:picLocks noChangeAspect="1" noChangeArrowheads="1"/>
        </xdr:cNvPicPr>
      </xdr:nvPicPr>
      <xdr:blipFill>
        <a:blip xmlns:r="http://schemas.openxmlformats.org/officeDocument/2006/relationships" r:embed="rId142" cstate="print">
          <a:lum bright="-6000" contrast="66000"/>
          <a:extLst>
            <a:ext uri="{28A0092B-C50C-407E-A947-70E740481C1C}">
              <a14:useLocalDpi xmlns:a14="http://schemas.microsoft.com/office/drawing/2010/main" val="0"/>
            </a:ext>
          </a:extLst>
        </a:blip>
        <a:srcRect/>
        <a:stretch>
          <a:fillRect/>
        </a:stretch>
      </xdr:blipFill>
      <xdr:spPr bwMode="auto">
        <a:xfrm>
          <a:off x="6447064" y="37218257"/>
          <a:ext cx="1426029" cy="745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29936</xdr:colOff>
          <xdr:row>12</xdr:row>
          <xdr:rowOff>8164</xdr:rowOff>
        </xdr:from>
        <xdr:to>
          <xdr:col>13</xdr:col>
          <xdr:colOff>342900</xdr:colOff>
          <xdr:row>12</xdr:row>
          <xdr:rowOff>209550</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500-000055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29936</xdr:colOff>
          <xdr:row>15</xdr:row>
          <xdr:rowOff>8164</xdr:rowOff>
        </xdr:from>
        <xdr:to>
          <xdr:col>13</xdr:col>
          <xdr:colOff>342900</xdr:colOff>
          <xdr:row>15</xdr:row>
          <xdr:rowOff>209550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500-000056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29936</xdr:colOff>
          <xdr:row>18</xdr:row>
          <xdr:rowOff>8164</xdr:rowOff>
        </xdr:from>
        <xdr:to>
          <xdr:col>13</xdr:col>
          <xdr:colOff>342900</xdr:colOff>
          <xdr:row>18</xdr:row>
          <xdr:rowOff>209550</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500-000057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29936</xdr:colOff>
          <xdr:row>21</xdr:row>
          <xdr:rowOff>8164</xdr:rowOff>
        </xdr:from>
        <xdr:to>
          <xdr:col>13</xdr:col>
          <xdr:colOff>342900</xdr:colOff>
          <xdr:row>21</xdr:row>
          <xdr:rowOff>209550</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500-000058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29936</xdr:colOff>
          <xdr:row>24</xdr:row>
          <xdr:rowOff>8164</xdr:rowOff>
        </xdr:from>
        <xdr:to>
          <xdr:col>13</xdr:col>
          <xdr:colOff>342900</xdr:colOff>
          <xdr:row>24</xdr:row>
          <xdr:rowOff>209550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500-000059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29936</xdr:colOff>
          <xdr:row>12</xdr:row>
          <xdr:rowOff>8164</xdr:rowOff>
        </xdr:from>
        <xdr:to>
          <xdr:col>14</xdr:col>
          <xdr:colOff>342900</xdr:colOff>
          <xdr:row>12</xdr:row>
          <xdr:rowOff>209550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500-00005A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29936</xdr:colOff>
          <xdr:row>15</xdr:row>
          <xdr:rowOff>8164</xdr:rowOff>
        </xdr:from>
        <xdr:to>
          <xdr:col>14</xdr:col>
          <xdr:colOff>342900</xdr:colOff>
          <xdr:row>15</xdr:row>
          <xdr:rowOff>209550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500-00005B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29936</xdr:colOff>
          <xdr:row>18</xdr:row>
          <xdr:rowOff>8164</xdr:rowOff>
        </xdr:from>
        <xdr:to>
          <xdr:col>14</xdr:col>
          <xdr:colOff>342900</xdr:colOff>
          <xdr:row>18</xdr:row>
          <xdr:rowOff>209550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500-00005C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29936</xdr:colOff>
          <xdr:row>21</xdr:row>
          <xdr:rowOff>8164</xdr:rowOff>
        </xdr:from>
        <xdr:to>
          <xdr:col>14</xdr:col>
          <xdr:colOff>342900</xdr:colOff>
          <xdr:row>21</xdr:row>
          <xdr:rowOff>209550</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500-00005D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29936</xdr:colOff>
          <xdr:row>24</xdr:row>
          <xdr:rowOff>8164</xdr:rowOff>
        </xdr:from>
        <xdr:to>
          <xdr:col>14</xdr:col>
          <xdr:colOff>342900</xdr:colOff>
          <xdr:row>24</xdr:row>
          <xdr:rowOff>209550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500-00005E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536121</xdr:colOff>
          <xdr:row>1</xdr:row>
          <xdr:rowOff>43543</xdr:rowOff>
        </xdr:from>
        <xdr:to>
          <xdr:col>13</xdr:col>
          <xdr:colOff>495300</xdr:colOff>
          <xdr:row>2</xdr:row>
          <xdr:rowOff>8164</xdr:rowOff>
        </xdr:to>
        <xdr:sp macro="" textlink="">
          <xdr:nvSpPr>
            <xdr:cNvPr id="45151" name="Button 95" hidden="1">
              <a:extLst>
                <a:ext uri="{63B3BB69-23CF-44E3-9099-C40C66FF867C}">
                  <a14:compatExt spid="_x0000_s45151"/>
                </a:ext>
                <a:ext uri="{FF2B5EF4-FFF2-40B4-BE49-F238E27FC236}">
                  <a16:creationId xmlns:a16="http://schemas.microsoft.com/office/drawing/2014/main" id="{00000000-0008-0000-0500-00005F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8164</xdr:rowOff>
        </xdr:from>
        <xdr:to>
          <xdr:col>1</xdr:col>
          <xdr:colOff>636814</xdr:colOff>
          <xdr:row>65</xdr:row>
          <xdr:rowOff>119743</xdr:rowOff>
        </xdr:to>
        <xdr:sp macro="" textlink="">
          <xdr:nvSpPr>
            <xdr:cNvPr id="45168" name="Button 112" hidden="1">
              <a:extLst>
                <a:ext uri="{63B3BB69-23CF-44E3-9099-C40C66FF867C}">
                  <a14:compatExt spid="_x0000_s45168"/>
                </a:ext>
                <a:ext uri="{FF2B5EF4-FFF2-40B4-BE49-F238E27FC236}">
                  <a16:creationId xmlns:a16="http://schemas.microsoft.com/office/drawing/2014/main" id="{00000000-0008-0000-0500-000070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40821</xdr:colOff>
          <xdr:row>64</xdr:row>
          <xdr:rowOff>0</xdr:rowOff>
        </xdr:from>
        <xdr:to>
          <xdr:col>3</xdr:col>
          <xdr:colOff>193221</xdr:colOff>
          <xdr:row>65</xdr:row>
          <xdr:rowOff>119743</xdr:rowOff>
        </xdr:to>
        <xdr:sp macro="" textlink="">
          <xdr:nvSpPr>
            <xdr:cNvPr id="45170" name="Button 114" hidden="1">
              <a:extLst>
                <a:ext uri="{63B3BB69-23CF-44E3-9099-C40C66FF867C}">
                  <a14:compatExt spid="_x0000_s45170"/>
                </a:ext>
                <a:ext uri="{FF2B5EF4-FFF2-40B4-BE49-F238E27FC236}">
                  <a16:creationId xmlns:a16="http://schemas.microsoft.com/office/drawing/2014/main" id="{00000000-0008-0000-0500-000072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xdr:row>
          <xdr:rowOff>46264</xdr:rowOff>
        </xdr:from>
        <xdr:to>
          <xdr:col>1</xdr:col>
          <xdr:colOff>636814</xdr:colOff>
          <xdr:row>75</xdr:row>
          <xdr:rowOff>27214</xdr:rowOff>
        </xdr:to>
        <xdr:sp macro="" textlink="">
          <xdr:nvSpPr>
            <xdr:cNvPr id="45171" name="Button 115" hidden="1">
              <a:extLst>
                <a:ext uri="{63B3BB69-23CF-44E3-9099-C40C66FF867C}">
                  <a14:compatExt spid="_x0000_s45171"/>
                </a:ext>
                <a:ext uri="{FF2B5EF4-FFF2-40B4-BE49-F238E27FC236}">
                  <a16:creationId xmlns:a16="http://schemas.microsoft.com/office/drawing/2014/main" id="{00000000-0008-0000-0500-000073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10886</xdr:colOff>
          <xdr:row>73</xdr:row>
          <xdr:rowOff>46264</xdr:rowOff>
        </xdr:from>
        <xdr:to>
          <xdr:col>4</xdr:col>
          <xdr:colOff>0</xdr:colOff>
          <xdr:row>75</xdr:row>
          <xdr:rowOff>27214</xdr:rowOff>
        </xdr:to>
        <xdr:sp macro="" textlink="">
          <xdr:nvSpPr>
            <xdr:cNvPr id="45172" name="Button 116" hidden="1">
              <a:extLst>
                <a:ext uri="{63B3BB69-23CF-44E3-9099-C40C66FF867C}">
                  <a14:compatExt spid="_x0000_s45172"/>
                </a:ext>
                <a:ext uri="{FF2B5EF4-FFF2-40B4-BE49-F238E27FC236}">
                  <a16:creationId xmlns:a16="http://schemas.microsoft.com/office/drawing/2014/main" id="{00000000-0008-0000-0500-000074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40821</xdr:colOff>
          <xdr:row>63</xdr:row>
          <xdr:rowOff>130629</xdr:rowOff>
        </xdr:from>
        <xdr:to>
          <xdr:col>5</xdr:col>
          <xdr:colOff>606879</xdr:colOff>
          <xdr:row>65</xdr:row>
          <xdr:rowOff>111579</xdr:rowOff>
        </xdr:to>
        <xdr:sp macro="" textlink="">
          <xdr:nvSpPr>
            <xdr:cNvPr id="45173" name="Button 117" hidden="1">
              <a:extLst>
                <a:ext uri="{63B3BB69-23CF-44E3-9099-C40C66FF867C}">
                  <a14:compatExt spid="_x0000_s45173"/>
                </a:ext>
                <a:ext uri="{FF2B5EF4-FFF2-40B4-BE49-F238E27FC236}">
                  <a16:creationId xmlns:a16="http://schemas.microsoft.com/office/drawing/2014/main" id="{00000000-0008-0000-0500-000075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40821</xdr:colOff>
          <xdr:row>73</xdr:row>
          <xdr:rowOff>130629</xdr:rowOff>
        </xdr:from>
        <xdr:to>
          <xdr:col>7</xdr:col>
          <xdr:colOff>606879</xdr:colOff>
          <xdr:row>75</xdr:row>
          <xdr:rowOff>111579</xdr:rowOff>
        </xdr:to>
        <xdr:sp macro="" textlink="">
          <xdr:nvSpPr>
            <xdr:cNvPr id="45174" name="Button 118" hidden="1">
              <a:extLst>
                <a:ext uri="{63B3BB69-23CF-44E3-9099-C40C66FF867C}">
                  <a14:compatExt spid="_x0000_s45174"/>
                </a:ext>
                <a:ext uri="{FF2B5EF4-FFF2-40B4-BE49-F238E27FC236}">
                  <a16:creationId xmlns:a16="http://schemas.microsoft.com/office/drawing/2014/main" id="{00000000-0008-0000-0500-000076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40821</xdr:colOff>
          <xdr:row>77</xdr:row>
          <xdr:rowOff>168729</xdr:rowOff>
        </xdr:from>
        <xdr:to>
          <xdr:col>5</xdr:col>
          <xdr:colOff>606879</xdr:colOff>
          <xdr:row>79</xdr:row>
          <xdr:rowOff>149679</xdr:rowOff>
        </xdr:to>
        <xdr:sp macro="" textlink="">
          <xdr:nvSpPr>
            <xdr:cNvPr id="45175" name="Button 119" hidden="1">
              <a:extLst>
                <a:ext uri="{63B3BB69-23CF-44E3-9099-C40C66FF867C}">
                  <a14:compatExt spid="_x0000_s45175"/>
                </a:ext>
                <a:ext uri="{FF2B5EF4-FFF2-40B4-BE49-F238E27FC236}">
                  <a16:creationId xmlns:a16="http://schemas.microsoft.com/office/drawing/2014/main" id="{00000000-0008-0000-0500-000077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40821</xdr:colOff>
          <xdr:row>79</xdr:row>
          <xdr:rowOff>19050</xdr:rowOff>
        </xdr:from>
        <xdr:to>
          <xdr:col>9</xdr:col>
          <xdr:colOff>606879</xdr:colOff>
          <xdr:row>81</xdr:row>
          <xdr:rowOff>0</xdr:rowOff>
        </xdr:to>
        <xdr:sp macro="" textlink="">
          <xdr:nvSpPr>
            <xdr:cNvPr id="45176" name="Button 120" hidden="1">
              <a:extLst>
                <a:ext uri="{63B3BB69-23CF-44E3-9099-C40C66FF867C}">
                  <a14:compatExt spid="_x0000_s45176"/>
                </a:ext>
                <a:ext uri="{FF2B5EF4-FFF2-40B4-BE49-F238E27FC236}">
                  <a16:creationId xmlns:a16="http://schemas.microsoft.com/office/drawing/2014/main" id="{00000000-0008-0000-0500-000078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40821</xdr:colOff>
          <xdr:row>84</xdr:row>
          <xdr:rowOff>149679</xdr:rowOff>
        </xdr:from>
        <xdr:to>
          <xdr:col>1</xdr:col>
          <xdr:colOff>606879</xdr:colOff>
          <xdr:row>86</xdr:row>
          <xdr:rowOff>130629</xdr:rowOff>
        </xdr:to>
        <xdr:sp macro="" textlink="">
          <xdr:nvSpPr>
            <xdr:cNvPr id="45177" name="Button 121" hidden="1">
              <a:extLst>
                <a:ext uri="{63B3BB69-23CF-44E3-9099-C40C66FF867C}">
                  <a14:compatExt spid="_x0000_s45177"/>
                </a:ext>
                <a:ext uri="{FF2B5EF4-FFF2-40B4-BE49-F238E27FC236}">
                  <a16:creationId xmlns:a16="http://schemas.microsoft.com/office/drawing/2014/main" id="{00000000-0008-0000-0500-000079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40821</xdr:colOff>
          <xdr:row>90</xdr:row>
          <xdr:rowOff>57150</xdr:rowOff>
        </xdr:from>
        <xdr:to>
          <xdr:col>3</xdr:col>
          <xdr:colOff>606879</xdr:colOff>
          <xdr:row>92</xdr:row>
          <xdr:rowOff>38100</xdr:rowOff>
        </xdr:to>
        <xdr:sp macro="" textlink="">
          <xdr:nvSpPr>
            <xdr:cNvPr id="45178" name="Button 122" hidden="1">
              <a:extLst>
                <a:ext uri="{63B3BB69-23CF-44E3-9099-C40C66FF867C}">
                  <a14:compatExt spid="_x0000_s45178"/>
                </a:ext>
                <a:ext uri="{FF2B5EF4-FFF2-40B4-BE49-F238E27FC236}">
                  <a16:creationId xmlns:a16="http://schemas.microsoft.com/office/drawing/2014/main" id="{00000000-0008-0000-0500-00007A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40821</xdr:colOff>
          <xdr:row>85</xdr:row>
          <xdr:rowOff>65314</xdr:rowOff>
        </xdr:from>
        <xdr:to>
          <xdr:col>7</xdr:col>
          <xdr:colOff>606879</xdr:colOff>
          <xdr:row>87</xdr:row>
          <xdr:rowOff>46264</xdr:rowOff>
        </xdr:to>
        <xdr:sp macro="" textlink="">
          <xdr:nvSpPr>
            <xdr:cNvPr id="45179" name="Button 123" hidden="1">
              <a:extLst>
                <a:ext uri="{63B3BB69-23CF-44E3-9099-C40C66FF867C}">
                  <a14:compatExt spid="_x0000_s45179"/>
                </a:ext>
                <a:ext uri="{FF2B5EF4-FFF2-40B4-BE49-F238E27FC236}">
                  <a16:creationId xmlns:a16="http://schemas.microsoft.com/office/drawing/2014/main" id="{00000000-0008-0000-0500-00007B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40821</xdr:colOff>
          <xdr:row>88</xdr:row>
          <xdr:rowOff>46264</xdr:rowOff>
        </xdr:from>
        <xdr:to>
          <xdr:col>5</xdr:col>
          <xdr:colOff>606879</xdr:colOff>
          <xdr:row>90</xdr:row>
          <xdr:rowOff>27214</xdr:rowOff>
        </xdr:to>
        <xdr:sp macro="" textlink="">
          <xdr:nvSpPr>
            <xdr:cNvPr id="45180" name="Button 124" hidden="1">
              <a:extLst>
                <a:ext uri="{63B3BB69-23CF-44E3-9099-C40C66FF867C}">
                  <a14:compatExt spid="_x0000_s45180"/>
                </a:ext>
                <a:ext uri="{FF2B5EF4-FFF2-40B4-BE49-F238E27FC236}">
                  <a16:creationId xmlns:a16="http://schemas.microsoft.com/office/drawing/2014/main" id="{00000000-0008-0000-0500-00007C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40821</xdr:colOff>
          <xdr:row>67</xdr:row>
          <xdr:rowOff>46264</xdr:rowOff>
        </xdr:from>
        <xdr:to>
          <xdr:col>11</xdr:col>
          <xdr:colOff>606879</xdr:colOff>
          <xdr:row>69</xdr:row>
          <xdr:rowOff>27214</xdr:rowOff>
        </xdr:to>
        <xdr:sp macro="" textlink="">
          <xdr:nvSpPr>
            <xdr:cNvPr id="45181" name="Button 125" hidden="1">
              <a:extLst>
                <a:ext uri="{63B3BB69-23CF-44E3-9099-C40C66FF867C}">
                  <a14:compatExt spid="_x0000_s45181"/>
                </a:ext>
                <a:ext uri="{FF2B5EF4-FFF2-40B4-BE49-F238E27FC236}">
                  <a16:creationId xmlns:a16="http://schemas.microsoft.com/office/drawing/2014/main" id="{00000000-0008-0000-0500-00007D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70757</xdr:colOff>
          <xdr:row>95</xdr:row>
          <xdr:rowOff>65314</xdr:rowOff>
        </xdr:from>
        <xdr:to>
          <xdr:col>11</xdr:col>
          <xdr:colOff>636814</xdr:colOff>
          <xdr:row>97</xdr:row>
          <xdr:rowOff>46264</xdr:rowOff>
        </xdr:to>
        <xdr:sp macro="" textlink="">
          <xdr:nvSpPr>
            <xdr:cNvPr id="45182" name="Button 126" hidden="1">
              <a:extLst>
                <a:ext uri="{63B3BB69-23CF-44E3-9099-C40C66FF867C}">
                  <a14:compatExt spid="_x0000_s45182"/>
                </a:ext>
                <a:ext uri="{FF2B5EF4-FFF2-40B4-BE49-F238E27FC236}">
                  <a16:creationId xmlns:a16="http://schemas.microsoft.com/office/drawing/2014/main" id="{00000000-0008-0000-0500-00007E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111</xdr:row>
          <xdr:rowOff>65314</xdr:rowOff>
        </xdr:from>
        <xdr:to>
          <xdr:col>5</xdr:col>
          <xdr:colOff>636814</xdr:colOff>
          <xdr:row>112</xdr:row>
          <xdr:rowOff>84364</xdr:rowOff>
        </xdr:to>
        <xdr:sp macro="" textlink="">
          <xdr:nvSpPr>
            <xdr:cNvPr id="45217" name="Button 161" hidden="1">
              <a:extLst>
                <a:ext uri="{63B3BB69-23CF-44E3-9099-C40C66FF867C}">
                  <a14:compatExt spid="_x0000_s45217"/>
                </a:ext>
                <a:ext uri="{FF2B5EF4-FFF2-40B4-BE49-F238E27FC236}">
                  <a16:creationId xmlns:a16="http://schemas.microsoft.com/office/drawing/2014/main" id="{00000000-0008-0000-0500-0000A1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129</xdr:row>
          <xdr:rowOff>65314</xdr:rowOff>
        </xdr:from>
        <xdr:to>
          <xdr:col>1</xdr:col>
          <xdr:colOff>636814</xdr:colOff>
          <xdr:row>130</xdr:row>
          <xdr:rowOff>84364</xdr:rowOff>
        </xdr:to>
        <xdr:sp macro="" textlink="">
          <xdr:nvSpPr>
            <xdr:cNvPr id="45218" name="Button 162" hidden="1">
              <a:extLst>
                <a:ext uri="{63B3BB69-23CF-44E3-9099-C40C66FF867C}">
                  <a14:compatExt spid="_x0000_s45218"/>
                </a:ext>
                <a:ext uri="{FF2B5EF4-FFF2-40B4-BE49-F238E27FC236}">
                  <a16:creationId xmlns:a16="http://schemas.microsoft.com/office/drawing/2014/main" id="{00000000-0008-0000-0500-0000A2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137</xdr:row>
          <xdr:rowOff>65314</xdr:rowOff>
        </xdr:from>
        <xdr:to>
          <xdr:col>1</xdr:col>
          <xdr:colOff>636814</xdr:colOff>
          <xdr:row>138</xdr:row>
          <xdr:rowOff>84364</xdr:rowOff>
        </xdr:to>
        <xdr:sp macro="" textlink="">
          <xdr:nvSpPr>
            <xdr:cNvPr id="45219" name="Button 163" hidden="1">
              <a:extLst>
                <a:ext uri="{63B3BB69-23CF-44E3-9099-C40C66FF867C}">
                  <a14:compatExt spid="_x0000_s45219"/>
                </a:ext>
                <a:ext uri="{FF2B5EF4-FFF2-40B4-BE49-F238E27FC236}">
                  <a16:creationId xmlns:a16="http://schemas.microsoft.com/office/drawing/2014/main" id="{00000000-0008-0000-0500-0000A3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126</xdr:row>
          <xdr:rowOff>65314</xdr:rowOff>
        </xdr:from>
        <xdr:to>
          <xdr:col>12</xdr:col>
          <xdr:colOff>163286</xdr:colOff>
          <xdr:row>127</xdr:row>
          <xdr:rowOff>84364</xdr:rowOff>
        </xdr:to>
        <xdr:sp macro="" textlink="">
          <xdr:nvSpPr>
            <xdr:cNvPr id="45221" name="Button 165" hidden="1">
              <a:extLst>
                <a:ext uri="{63B3BB69-23CF-44E3-9099-C40C66FF867C}">
                  <a14:compatExt spid="_x0000_s45221"/>
                </a:ext>
                <a:ext uri="{FF2B5EF4-FFF2-40B4-BE49-F238E27FC236}">
                  <a16:creationId xmlns:a16="http://schemas.microsoft.com/office/drawing/2014/main" id="{00000000-0008-0000-0500-0000A5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454479</xdr:colOff>
          <xdr:row>130</xdr:row>
          <xdr:rowOff>119743</xdr:rowOff>
        </xdr:from>
        <xdr:to>
          <xdr:col>12</xdr:col>
          <xdr:colOff>122464</xdr:colOff>
          <xdr:row>131</xdr:row>
          <xdr:rowOff>138793</xdr:rowOff>
        </xdr:to>
        <xdr:sp macro="" textlink="">
          <xdr:nvSpPr>
            <xdr:cNvPr id="45222" name="Button 166" hidden="1">
              <a:extLst>
                <a:ext uri="{63B3BB69-23CF-44E3-9099-C40C66FF867C}">
                  <a14:compatExt spid="_x0000_s45222"/>
                </a:ext>
                <a:ext uri="{FF2B5EF4-FFF2-40B4-BE49-F238E27FC236}">
                  <a16:creationId xmlns:a16="http://schemas.microsoft.com/office/drawing/2014/main" id="{00000000-0008-0000-0500-0000A6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525236</xdr:colOff>
          <xdr:row>135</xdr:row>
          <xdr:rowOff>65314</xdr:rowOff>
        </xdr:from>
        <xdr:to>
          <xdr:col>12</xdr:col>
          <xdr:colOff>193221</xdr:colOff>
          <xdr:row>136</xdr:row>
          <xdr:rowOff>84364</xdr:rowOff>
        </xdr:to>
        <xdr:sp macro="" textlink="">
          <xdr:nvSpPr>
            <xdr:cNvPr id="45223" name="Button 167" hidden="1">
              <a:extLst>
                <a:ext uri="{63B3BB69-23CF-44E3-9099-C40C66FF867C}">
                  <a14:compatExt spid="_x0000_s45223"/>
                </a:ext>
                <a:ext uri="{FF2B5EF4-FFF2-40B4-BE49-F238E27FC236}">
                  <a16:creationId xmlns:a16="http://schemas.microsoft.com/office/drawing/2014/main" id="{00000000-0008-0000-0500-0000A7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557893</xdr:colOff>
          <xdr:row>141</xdr:row>
          <xdr:rowOff>65314</xdr:rowOff>
        </xdr:from>
        <xdr:to>
          <xdr:col>12</xdr:col>
          <xdr:colOff>223157</xdr:colOff>
          <xdr:row>142</xdr:row>
          <xdr:rowOff>84364</xdr:rowOff>
        </xdr:to>
        <xdr:sp macro="" textlink="">
          <xdr:nvSpPr>
            <xdr:cNvPr id="45224" name="Button 168" hidden="1">
              <a:extLst>
                <a:ext uri="{63B3BB69-23CF-44E3-9099-C40C66FF867C}">
                  <a14:compatExt spid="_x0000_s45224"/>
                </a:ext>
                <a:ext uri="{FF2B5EF4-FFF2-40B4-BE49-F238E27FC236}">
                  <a16:creationId xmlns:a16="http://schemas.microsoft.com/office/drawing/2014/main" id="{00000000-0008-0000-0500-0000A8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143</xdr:row>
          <xdr:rowOff>65314</xdr:rowOff>
        </xdr:from>
        <xdr:to>
          <xdr:col>7</xdr:col>
          <xdr:colOff>636814</xdr:colOff>
          <xdr:row>144</xdr:row>
          <xdr:rowOff>84364</xdr:rowOff>
        </xdr:to>
        <xdr:sp macro="" textlink="">
          <xdr:nvSpPr>
            <xdr:cNvPr id="45225" name="Button 169" hidden="1">
              <a:extLst>
                <a:ext uri="{63B3BB69-23CF-44E3-9099-C40C66FF867C}">
                  <a14:compatExt spid="_x0000_s45225"/>
                </a:ext>
                <a:ext uri="{FF2B5EF4-FFF2-40B4-BE49-F238E27FC236}">
                  <a16:creationId xmlns:a16="http://schemas.microsoft.com/office/drawing/2014/main" id="{00000000-0008-0000-0500-0000A9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557893</xdr:colOff>
          <xdr:row>148</xdr:row>
          <xdr:rowOff>65314</xdr:rowOff>
        </xdr:from>
        <xdr:to>
          <xdr:col>12</xdr:col>
          <xdr:colOff>223157</xdr:colOff>
          <xdr:row>149</xdr:row>
          <xdr:rowOff>84364</xdr:rowOff>
        </xdr:to>
        <xdr:sp macro="" textlink="">
          <xdr:nvSpPr>
            <xdr:cNvPr id="45226" name="Button 170" hidden="1">
              <a:extLst>
                <a:ext uri="{63B3BB69-23CF-44E3-9099-C40C66FF867C}">
                  <a14:compatExt spid="_x0000_s45226"/>
                </a:ext>
                <a:ext uri="{FF2B5EF4-FFF2-40B4-BE49-F238E27FC236}">
                  <a16:creationId xmlns:a16="http://schemas.microsoft.com/office/drawing/2014/main" id="{00000000-0008-0000-0500-0000AA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149</xdr:row>
          <xdr:rowOff>65314</xdr:rowOff>
        </xdr:from>
        <xdr:to>
          <xdr:col>4</xdr:col>
          <xdr:colOff>334736</xdr:colOff>
          <xdr:row>150</xdr:row>
          <xdr:rowOff>84364</xdr:rowOff>
        </xdr:to>
        <xdr:sp macro="" textlink="">
          <xdr:nvSpPr>
            <xdr:cNvPr id="45227" name="Button 171" hidden="1">
              <a:extLst>
                <a:ext uri="{63B3BB69-23CF-44E3-9099-C40C66FF867C}">
                  <a14:compatExt spid="_x0000_s45227"/>
                </a:ext>
                <a:ext uri="{FF2B5EF4-FFF2-40B4-BE49-F238E27FC236}">
                  <a16:creationId xmlns:a16="http://schemas.microsoft.com/office/drawing/2014/main" id="{00000000-0008-0000-0500-0000AB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182336</xdr:colOff>
          <xdr:row>149</xdr:row>
          <xdr:rowOff>65314</xdr:rowOff>
        </xdr:from>
        <xdr:to>
          <xdr:col>1</xdr:col>
          <xdr:colOff>495300</xdr:colOff>
          <xdr:row>150</xdr:row>
          <xdr:rowOff>84364</xdr:rowOff>
        </xdr:to>
        <xdr:sp macro="" textlink="">
          <xdr:nvSpPr>
            <xdr:cNvPr id="45228" name="Button 172" hidden="1">
              <a:extLst>
                <a:ext uri="{63B3BB69-23CF-44E3-9099-C40C66FF867C}">
                  <a14:compatExt spid="_x0000_s45228"/>
                </a:ext>
                <a:ext uri="{FF2B5EF4-FFF2-40B4-BE49-F238E27FC236}">
                  <a16:creationId xmlns:a16="http://schemas.microsoft.com/office/drawing/2014/main" id="{00000000-0008-0000-0500-0000AC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142</xdr:row>
          <xdr:rowOff>65314</xdr:rowOff>
        </xdr:from>
        <xdr:to>
          <xdr:col>2</xdr:col>
          <xdr:colOff>323850</xdr:colOff>
          <xdr:row>143</xdr:row>
          <xdr:rowOff>84364</xdr:rowOff>
        </xdr:to>
        <xdr:sp macro="" textlink="">
          <xdr:nvSpPr>
            <xdr:cNvPr id="45229" name="Button 173" hidden="1">
              <a:extLst>
                <a:ext uri="{63B3BB69-23CF-44E3-9099-C40C66FF867C}">
                  <a14:compatExt spid="_x0000_s45229"/>
                </a:ext>
                <a:ext uri="{FF2B5EF4-FFF2-40B4-BE49-F238E27FC236}">
                  <a16:creationId xmlns:a16="http://schemas.microsoft.com/office/drawing/2014/main" id="{00000000-0008-0000-0500-0000AD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149</xdr:row>
          <xdr:rowOff>65314</xdr:rowOff>
        </xdr:from>
        <xdr:to>
          <xdr:col>8</xdr:col>
          <xdr:colOff>163286</xdr:colOff>
          <xdr:row>150</xdr:row>
          <xdr:rowOff>84364</xdr:rowOff>
        </xdr:to>
        <xdr:sp macro="" textlink="">
          <xdr:nvSpPr>
            <xdr:cNvPr id="45230" name="Button 174" hidden="1">
              <a:extLst>
                <a:ext uri="{63B3BB69-23CF-44E3-9099-C40C66FF867C}">
                  <a14:compatExt spid="_x0000_s45230"/>
                </a:ext>
                <a:ext uri="{FF2B5EF4-FFF2-40B4-BE49-F238E27FC236}">
                  <a16:creationId xmlns:a16="http://schemas.microsoft.com/office/drawing/2014/main" id="{00000000-0008-0000-0500-0000AE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182336</xdr:colOff>
          <xdr:row>154</xdr:row>
          <xdr:rowOff>65314</xdr:rowOff>
        </xdr:from>
        <xdr:to>
          <xdr:col>13</xdr:col>
          <xdr:colOff>495300</xdr:colOff>
          <xdr:row>155</xdr:row>
          <xdr:rowOff>84364</xdr:rowOff>
        </xdr:to>
        <xdr:sp macro="" textlink="">
          <xdr:nvSpPr>
            <xdr:cNvPr id="45231" name="Button 175" hidden="1">
              <a:extLst>
                <a:ext uri="{63B3BB69-23CF-44E3-9099-C40C66FF867C}">
                  <a14:compatExt spid="_x0000_s45231"/>
                </a:ext>
                <a:ext uri="{FF2B5EF4-FFF2-40B4-BE49-F238E27FC236}">
                  <a16:creationId xmlns:a16="http://schemas.microsoft.com/office/drawing/2014/main" id="{00000000-0008-0000-0500-0000AF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201386</xdr:colOff>
          <xdr:row>154</xdr:row>
          <xdr:rowOff>65314</xdr:rowOff>
        </xdr:from>
        <xdr:to>
          <xdr:col>11</xdr:col>
          <xdr:colOff>517071</xdr:colOff>
          <xdr:row>155</xdr:row>
          <xdr:rowOff>84364</xdr:rowOff>
        </xdr:to>
        <xdr:sp macro="" textlink="">
          <xdr:nvSpPr>
            <xdr:cNvPr id="45232" name="Button 176" hidden="1">
              <a:extLst>
                <a:ext uri="{63B3BB69-23CF-44E3-9099-C40C66FF867C}">
                  <a14:compatExt spid="_x0000_s45232"/>
                </a:ext>
                <a:ext uri="{FF2B5EF4-FFF2-40B4-BE49-F238E27FC236}">
                  <a16:creationId xmlns:a16="http://schemas.microsoft.com/office/drawing/2014/main" id="{00000000-0008-0000-0500-0000B0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182336</xdr:colOff>
          <xdr:row>154</xdr:row>
          <xdr:rowOff>65314</xdr:rowOff>
        </xdr:from>
        <xdr:to>
          <xdr:col>9</xdr:col>
          <xdr:colOff>495300</xdr:colOff>
          <xdr:row>155</xdr:row>
          <xdr:rowOff>84364</xdr:rowOff>
        </xdr:to>
        <xdr:sp macro="" textlink="">
          <xdr:nvSpPr>
            <xdr:cNvPr id="45233" name="Button 177" hidden="1">
              <a:extLst>
                <a:ext uri="{63B3BB69-23CF-44E3-9099-C40C66FF867C}">
                  <a14:compatExt spid="_x0000_s45233"/>
                </a:ext>
                <a:ext uri="{FF2B5EF4-FFF2-40B4-BE49-F238E27FC236}">
                  <a16:creationId xmlns:a16="http://schemas.microsoft.com/office/drawing/2014/main" id="{00000000-0008-0000-0500-0000B1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201386</xdr:colOff>
          <xdr:row>154</xdr:row>
          <xdr:rowOff>65314</xdr:rowOff>
        </xdr:from>
        <xdr:to>
          <xdr:col>7</xdr:col>
          <xdr:colOff>517071</xdr:colOff>
          <xdr:row>155</xdr:row>
          <xdr:rowOff>84364</xdr:rowOff>
        </xdr:to>
        <xdr:sp macro="" textlink="">
          <xdr:nvSpPr>
            <xdr:cNvPr id="45234" name="Button 178" hidden="1">
              <a:extLst>
                <a:ext uri="{63B3BB69-23CF-44E3-9099-C40C66FF867C}">
                  <a14:compatExt spid="_x0000_s45234"/>
                </a:ext>
                <a:ext uri="{FF2B5EF4-FFF2-40B4-BE49-F238E27FC236}">
                  <a16:creationId xmlns:a16="http://schemas.microsoft.com/office/drawing/2014/main" id="{00000000-0008-0000-0500-0000B2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163286</xdr:colOff>
          <xdr:row>154</xdr:row>
          <xdr:rowOff>65314</xdr:rowOff>
        </xdr:from>
        <xdr:to>
          <xdr:col>5</xdr:col>
          <xdr:colOff>476250</xdr:colOff>
          <xdr:row>155</xdr:row>
          <xdr:rowOff>84364</xdr:rowOff>
        </xdr:to>
        <xdr:sp macro="" textlink="">
          <xdr:nvSpPr>
            <xdr:cNvPr id="45235" name="Button 179" hidden="1">
              <a:extLst>
                <a:ext uri="{63B3BB69-23CF-44E3-9099-C40C66FF867C}">
                  <a14:compatExt spid="_x0000_s45235"/>
                </a:ext>
                <a:ext uri="{FF2B5EF4-FFF2-40B4-BE49-F238E27FC236}">
                  <a16:creationId xmlns:a16="http://schemas.microsoft.com/office/drawing/2014/main" id="{00000000-0008-0000-0500-0000B3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163286</xdr:colOff>
          <xdr:row>154</xdr:row>
          <xdr:rowOff>65314</xdr:rowOff>
        </xdr:from>
        <xdr:to>
          <xdr:col>3</xdr:col>
          <xdr:colOff>476250</xdr:colOff>
          <xdr:row>155</xdr:row>
          <xdr:rowOff>84364</xdr:rowOff>
        </xdr:to>
        <xdr:sp macro="" textlink="">
          <xdr:nvSpPr>
            <xdr:cNvPr id="45236" name="Button 180" hidden="1">
              <a:extLst>
                <a:ext uri="{63B3BB69-23CF-44E3-9099-C40C66FF867C}">
                  <a14:compatExt spid="_x0000_s45236"/>
                </a:ext>
                <a:ext uri="{FF2B5EF4-FFF2-40B4-BE49-F238E27FC236}">
                  <a16:creationId xmlns:a16="http://schemas.microsoft.com/office/drawing/2014/main" id="{00000000-0008-0000-0500-0000B4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193221</xdr:colOff>
          <xdr:row>154</xdr:row>
          <xdr:rowOff>65314</xdr:rowOff>
        </xdr:from>
        <xdr:to>
          <xdr:col>1</xdr:col>
          <xdr:colOff>506186</xdr:colOff>
          <xdr:row>155</xdr:row>
          <xdr:rowOff>84364</xdr:rowOff>
        </xdr:to>
        <xdr:sp macro="" textlink="">
          <xdr:nvSpPr>
            <xdr:cNvPr id="45237" name="Button 181" hidden="1">
              <a:extLst>
                <a:ext uri="{63B3BB69-23CF-44E3-9099-C40C66FF867C}">
                  <a14:compatExt spid="_x0000_s45237"/>
                </a:ext>
                <a:ext uri="{FF2B5EF4-FFF2-40B4-BE49-F238E27FC236}">
                  <a16:creationId xmlns:a16="http://schemas.microsoft.com/office/drawing/2014/main" id="{00000000-0008-0000-0500-0000B5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163286</xdr:colOff>
          <xdr:row>158</xdr:row>
          <xdr:rowOff>65314</xdr:rowOff>
        </xdr:from>
        <xdr:to>
          <xdr:col>1</xdr:col>
          <xdr:colOff>476250</xdr:colOff>
          <xdr:row>159</xdr:row>
          <xdr:rowOff>84364</xdr:rowOff>
        </xdr:to>
        <xdr:sp macro="" textlink="">
          <xdr:nvSpPr>
            <xdr:cNvPr id="45238" name="Button 182" hidden="1">
              <a:extLst>
                <a:ext uri="{63B3BB69-23CF-44E3-9099-C40C66FF867C}">
                  <a14:compatExt spid="_x0000_s45238"/>
                </a:ext>
                <a:ext uri="{FF2B5EF4-FFF2-40B4-BE49-F238E27FC236}">
                  <a16:creationId xmlns:a16="http://schemas.microsoft.com/office/drawing/2014/main" id="{00000000-0008-0000-0500-0000B6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193221</xdr:colOff>
          <xdr:row>158</xdr:row>
          <xdr:rowOff>65314</xdr:rowOff>
        </xdr:from>
        <xdr:to>
          <xdr:col>3</xdr:col>
          <xdr:colOff>506186</xdr:colOff>
          <xdr:row>159</xdr:row>
          <xdr:rowOff>84364</xdr:rowOff>
        </xdr:to>
        <xdr:sp macro="" textlink="">
          <xdr:nvSpPr>
            <xdr:cNvPr id="45239" name="Button 183" hidden="1">
              <a:extLst>
                <a:ext uri="{63B3BB69-23CF-44E3-9099-C40C66FF867C}">
                  <a14:compatExt spid="_x0000_s45239"/>
                </a:ext>
                <a:ext uri="{FF2B5EF4-FFF2-40B4-BE49-F238E27FC236}">
                  <a16:creationId xmlns:a16="http://schemas.microsoft.com/office/drawing/2014/main" id="{00000000-0008-0000-0500-0000B7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182336</xdr:colOff>
          <xdr:row>158</xdr:row>
          <xdr:rowOff>65314</xdr:rowOff>
        </xdr:from>
        <xdr:to>
          <xdr:col>5</xdr:col>
          <xdr:colOff>495300</xdr:colOff>
          <xdr:row>159</xdr:row>
          <xdr:rowOff>84364</xdr:rowOff>
        </xdr:to>
        <xdr:sp macro="" textlink="">
          <xdr:nvSpPr>
            <xdr:cNvPr id="45240" name="Button 184" hidden="1">
              <a:extLst>
                <a:ext uri="{63B3BB69-23CF-44E3-9099-C40C66FF867C}">
                  <a14:compatExt spid="_x0000_s45240"/>
                </a:ext>
                <a:ext uri="{FF2B5EF4-FFF2-40B4-BE49-F238E27FC236}">
                  <a16:creationId xmlns:a16="http://schemas.microsoft.com/office/drawing/2014/main" id="{00000000-0008-0000-0500-0000B8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193221</xdr:colOff>
          <xdr:row>158</xdr:row>
          <xdr:rowOff>65314</xdr:rowOff>
        </xdr:from>
        <xdr:to>
          <xdr:col>7</xdr:col>
          <xdr:colOff>506186</xdr:colOff>
          <xdr:row>159</xdr:row>
          <xdr:rowOff>84364</xdr:rowOff>
        </xdr:to>
        <xdr:sp macro="" textlink="">
          <xdr:nvSpPr>
            <xdr:cNvPr id="45241" name="Button 185" hidden="1">
              <a:extLst>
                <a:ext uri="{63B3BB69-23CF-44E3-9099-C40C66FF867C}">
                  <a14:compatExt spid="_x0000_s45241"/>
                </a:ext>
                <a:ext uri="{FF2B5EF4-FFF2-40B4-BE49-F238E27FC236}">
                  <a16:creationId xmlns:a16="http://schemas.microsoft.com/office/drawing/2014/main" id="{00000000-0008-0000-0500-0000B9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158</xdr:row>
          <xdr:rowOff>65314</xdr:rowOff>
        </xdr:from>
        <xdr:to>
          <xdr:col>9</xdr:col>
          <xdr:colOff>465364</xdr:colOff>
          <xdr:row>159</xdr:row>
          <xdr:rowOff>84364</xdr:rowOff>
        </xdr:to>
        <xdr:sp macro="" textlink="">
          <xdr:nvSpPr>
            <xdr:cNvPr id="45242" name="Button 186" hidden="1">
              <a:extLst>
                <a:ext uri="{63B3BB69-23CF-44E3-9099-C40C66FF867C}">
                  <a14:compatExt spid="_x0000_s45242"/>
                </a:ext>
                <a:ext uri="{FF2B5EF4-FFF2-40B4-BE49-F238E27FC236}">
                  <a16:creationId xmlns:a16="http://schemas.microsoft.com/office/drawing/2014/main" id="{00000000-0008-0000-0500-0000BA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158</xdr:row>
          <xdr:rowOff>65314</xdr:rowOff>
        </xdr:from>
        <xdr:to>
          <xdr:col>11</xdr:col>
          <xdr:colOff>465364</xdr:colOff>
          <xdr:row>159</xdr:row>
          <xdr:rowOff>84364</xdr:rowOff>
        </xdr:to>
        <xdr:sp macro="" textlink="">
          <xdr:nvSpPr>
            <xdr:cNvPr id="45243" name="Button 187" hidden="1">
              <a:extLst>
                <a:ext uri="{63B3BB69-23CF-44E3-9099-C40C66FF867C}">
                  <a14:compatExt spid="_x0000_s45243"/>
                </a:ext>
                <a:ext uri="{FF2B5EF4-FFF2-40B4-BE49-F238E27FC236}">
                  <a16:creationId xmlns:a16="http://schemas.microsoft.com/office/drawing/2014/main" id="{00000000-0008-0000-0500-0000BB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130629</xdr:colOff>
          <xdr:row>162</xdr:row>
          <xdr:rowOff>65314</xdr:rowOff>
        </xdr:from>
        <xdr:to>
          <xdr:col>1</xdr:col>
          <xdr:colOff>446314</xdr:colOff>
          <xdr:row>163</xdr:row>
          <xdr:rowOff>84364</xdr:rowOff>
        </xdr:to>
        <xdr:sp macro="" textlink="">
          <xdr:nvSpPr>
            <xdr:cNvPr id="45244" name="Button 188" hidden="1">
              <a:extLst>
                <a:ext uri="{63B3BB69-23CF-44E3-9099-C40C66FF867C}">
                  <a14:compatExt spid="_x0000_s45244"/>
                </a:ext>
                <a:ext uri="{FF2B5EF4-FFF2-40B4-BE49-F238E27FC236}">
                  <a16:creationId xmlns:a16="http://schemas.microsoft.com/office/drawing/2014/main" id="{00000000-0008-0000-0500-0000BC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162</xdr:row>
          <xdr:rowOff>65314</xdr:rowOff>
        </xdr:from>
        <xdr:to>
          <xdr:col>3</xdr:col>
          <xdr:colOff>465364</xdr:colOff>
          <xdr:row>163</xdr:row>
          <xdr:rowOff>84364</xdr:rowOff>
        </xdr:to>
        <xdr:sp macro="" textlink="">
          <xdr:nvSpPr>
            <xdr:cNvPr id="45245" name="Button 189" hidden="1">
              <a:extLst>
                <a:ext uri="{63B3BB69-23CF-44E3-9099-C40C66FF867C}">
                  <a14:compatExt spid="_x0000_s45245"/>
                </a:ext>
                <a:ext uri="{FF2B5EF4-FFF2-40B4-BE49-F238E27FC236}">
                  <a16:creationId xmlns:a16="http://schemas.microsoft.com/office/drawing/2014/main" id="{00000000-0008-0000-0500-0000BD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201386</xdr:colOff>
          <xdr:row>163</xdr:row>
          <xdr:rowOff>65314</xdr:rowOff>
        </xdr:from>
        <xdr:to>
          <xdr:col>5</xdr:col>
          <xdr:colOff>517071</xdr:colOff>
          <xdr:row>164</xdr:row>
          <xdr:rowOff>84364</xdr:rowOff>
        </xdr:to>
        <xdr:sp macro="" textlink="">
          <xdr:nvSpPr>
            <xdr:cNvPr id="45246" name="Button 190" hidden="1">
              <a:extLst>
                <a:ext uri="{63B3BB69-23CF-44E3-9099-C40C66FF867C}">
                  <a14:compatExt spid="_x0000_s45246"/>
                </a:ext>
                <a:ext uri="{FF2B5EF4-FFF2-40B4-BE49-F238E27FC236}">
                  <a16:creationId xmlns:a16="http://schemas.microsoft.com/office/drawing/2014/main" id="{00000000-0008-0000-0500-0000BE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617764</xdr:colOff>
          <xdr:row>163</xdr:row>
          <xdr:rowOff>103414</xdr:rowOff>
        </xdr:from>
        <xdr:to>
          <xdr:col>8</xdr:col>
          <xdr:colOff>283029</xdr:colOff>
          <xdr:row>164</xdr:row>
          <xdr:rowOff>119743</xdr:rowOff>
        </xdr:to>
        <xdr:sp macro="" textlink="">
          <xdr:nvSpPr>
            <xdr:cNvPr id="45247" name="Button 191" hidden="1">
              <a:extLst>
                <a:ext uri="{63B3BB69-23CF-44E3-9099-C40C66FF867C}">
                  <a14:compatExt spid="_x0000_s45247"/>
                </a:ext>
                <a:ext uri="{FF2B5EF4-FFF2-40B4-BE49-F238E27FC236}">
                  <a16:creationId xmlns:a16="http://schemas.microsoft.com/office/drawing/2014/main" id="{00000000-0008-0000-0500-0000BF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383721</xdr:colOff>
          <xdr:row>163</xdr:row>
          <xdr:rowOff>84364</xdr:rowOff>
        </xdr:from>
        <xdr:to>
          <xdr:col>13</xdr:col>
          <xdr:colOff>51707</xdr:colOff>
          <xdr:row>164</xdr:row>
          <xdr:rowOff>103414</xdr:rowOff>
        </xdr:to>
        <xdr:sp macro="" textlink="">
          <xdr:nvSpPr>
            <xdr:cNvPr id="45248" name="Button 192" hidden="1">
              <a:extLst>
                <a:ext uri="{63B3BB69-23CF-44E3-9099-C40C66FF867C}">
                  <a14:compatExt spid="_x0000_s45248"/>
                </a:ext>
                <a:ext uri="{FF2B5EF4-FFF2-40B4-BE49-F238E27FC236}">
                  <a16:creationId xmlns:a16="http://schemas.microsoft.com/office/drawing/2014/main" id="{00000000-0008-0000-0500-0000C0B0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Click Here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163286</xdr:colOff>
          <xdr:row>2</xdr:row>
          <xdr:rowOff>78921</xdr:rowOff>
        </xdr:from>
        <xdr:to>
          <xdr:col>14</xdr:col>
          <xdr:colOff>353786</xdr:colOff>
          <xdr:row>3</xdr:row>
          <xdr:rowOff>114300</xdr:rowOff>
        </xdr:to>
        <xdr:sp macro="" textlink="">
          <xdr:nvSpPr>
            <xdr:cNvPr id="45338" name="Button 282" hidden="1">
              <a:extLst>
                <a:ext uri="{63B3BB69-23CF-44E3-9099-C40C66FF867C}">
                  <a14:compatExt spid="_x0000_s45338"/>
                </a:ext>
                <a:ext uri="{FF2B5EF4-FFF2-40B4-BE49-F238E27FC236}">
                  <a16:creationId xmlns:a16="http://schemas.microsoft.com/office/drawing/2014/main" id="{00000000-0008-0000-0500-00001A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PACKERS &amp; PLUGS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163286</xdr:colOff>
          <xdr:row>4</xdr:row>
          <xdr:rowOff>8164</xdr:rowOff>
        </xdr:from>
        <xdr:to>
          <xdr:col>14</xdr:col>
          <xdr:colOff>353786</xdr:colOff>
          <xdr:row>5</xdr:row>
          <xdr:rowOff>43543</xdr:rowOff>
        </xdr:to>
        <xdr:sp macro="" textlink="">
          <xdr:nvSpPr>
            <xdr:cNvPr id="45343" name="Button 287" hidden="1">
              <a:extLst>
                <a:ext uri="{63B3BB69-23CF-44E3-9099-C40C66FF867C}">
                  <a14:compatExt spid="_x0000_s45343"/>
                </a:ext>
                <a:ext uri="{FF2B5EF4-FFF2-40B4-BE49-F238E27FC236}">
                  <a16:creationId xmlns:a16="http://schemas.microsoft.com/office/drawing/2014/main" id="{00000000-0008-0000-0500-00001F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HORIZONTAL SHIT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163286</xdr:colOff>
          <xdr:row>5</xdr:row>
          <xdr:rowOff>114300</xdr:rowOff>
        </xdr:from>
        <xdr:to>
          <xdr:col>14</xdr:col>
          <xdr:colOff>353786</xdr:colOff>
          <xdr:row>6</xdr:row>
          <xdr:rowOff>149679</xdr:rowOff>
        </xdr:to>
        <xdr:sp macro="" textlink="">
          <xdr:nvSpPr>
            <xdr:cNvPr id="45344" name="Button 288" hidden="1">
              <a:extLst>
                <a:ext uri="{63B3BB69-23CF-44E3-9099-C40C66FF867C}">
                  <a14:compatExt spid="_x0000_s45344"/>
                </a:ext>
                <a:ext uri="{FF2B5EF4-FFF2-40B4-BE49-F238E27FC236}">
                  <a16:creationId xmlns:a16="http://schemas.microsoft.com/office/drawing/2014/main" id="{00000000-0008-0000-0500-000020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TOOLS AND SHIT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163286</xdr:colOff>
          <xdr:row>7</xdr:row>
          <xdr:rowOff>51707</xdr:rowOff>
        </xdr:from>
        <xdr:to>
          <xdr:col>14</xdr:col>
          <xdr:colOff>353786</xdr:colOff>
          <xdr:row>8</xdr:row>
          <xdr:rowOff>89807</xdr:rowOff>
        </xdr:to>
        <xdr:sp macro="" textlink="">
          <xdr:nvSpPr>
            <xdr:cNvPr id="45345" name="Button 289" hidden="1">
              <a:extLst>
                <a:ext uri="{63B3BB69-23CF-44E3-9099-C40C66FF867C}">
                  <a14:compatExt spid="_x0000_s45345"/>
                </a:ext>
                <a:ext uri="{FF2B5EF4-FFF2-40B4-BE49-F238E27FC236}">
                  <a16:creationId xmlns:a16="http://schemas.microsoft.com/office/drawing/2014/main" id="{00000000-0008-0000-0500-000021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WELLHEADS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163286</xdr:colOff>
          <xdr:row>8</xdr:row>
          <xdr:rowOff>171450</xdr:rowOff>
        </xdr:from>
        <xdr:to>
          <xdr:col>14</xdr:col>
          <xdr:colOff>353786</xdr:colOff>
          <xdr:row>10</xdr:row>
          <xdr:rowOff>122464</xdr:rowOff>
        </xdr:to>
        <xdr:sp macro="" textlink="">
          <xdr:nvSpPr>
            <xdr:cNvPr id="45346" name="Button 290" hidden="1">
              <a:extLst>
                <a:ext uri="{63B3BB69-23CF-44E3-9099-C40C66FF867C}">
                  <a14:compatExt spid="_x0000_s45346"/>
                </a:ext>
                <a:ext uri="{FF2B5EF4-FFF2-40B4-BE49-F238E27FC236}">
                  <a16:creationId xmlns:a16="http://schemas.microsoft.com/office/drawing/2014/main" id="{00000000-0008-0000-0500-000022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SPECIALTY TOOLS, rods</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166</xdr:row>
          <xdr:rowOff>84364</xdr:rowOff>
        </xdr:from>
        <xdr:to>
          <xdr:col>15</xdr:col>
          <xdr:colOff>353786</xdr:colOff>
          <xdr:row>168</xdr:row>
          <xdr:rowOff>8164</xdr:rowOff>
        </xdr:to>
        <xdr:sp macro="" textlink="">
          <xdr:nvSpPr>
            <xdr:cNvPr id="45347" name="Button 291" hidden="1">
              <a:extLst>
                <a:ext uri="{63B3BB69-23CF-44E3-9099-C40C66FF867C}">
                  <a14:compatExt spid="_x0000_s45347"/>
                </a:ext>
                <a:ext uri="{FF2B5EF4-FFF2-40B4-BE49-F238E27FC236}">
                  <a16:creationId xmlns:a16="http://schemas.microsoft.com/office/drawing/2014/main" id="{00000000-0008-0000-0500-000023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PACKERS &amp; PLUGS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168</xdr:row>
          <xdr:rowOff>8164</xdr:rowOff>
        </xdr:from>
        <xdr:to>
          <xdr:col>15</xdr:col>
          <xdr:colOff>353786</xdr:colOff>
          <xdr:row>169</xdr:row>
          <xdr:rowOff>111579</xdr:rowOff>
        </xdr:to>
        <xdr:sp macro="" textlink="">
          <xdr:nvSpPr>
            <xdr:cNvPr id="45348" name="Button 292" hidden="1">
              <a:extLst>
                <a:ext uri="{63B3BB69-23CF-44E3-9099-C40C66FF867C}">
                  <a14:compatExt spid="_x0000_s45348"/>
                </a:ext>
                <a:ext uri="{FF2B5EF4-FFF2-40B4-BE49-F238E27FC236}">
                  <a16:creationId xmlns:a16="http://schemas.microsoft.com/office/drawing/2014/main" id="{00000000-0008-0000-0500-000024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HORIZONTAL SHIT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169</xdr:row>
          <xdr:rowOff>111579</xdr:rowOff>
        </xdr:from>
        <xdr:to>
          <xdr:col>15</xdr:col>
          <xdr:colOff>353786</xdr:colOff>
          <xdr:row>171</xdr:row>
          <xdr:rowOff>19050</xdr:rowOff>
        </xdr:to>
        <xdr:sp macro="" textlink="">
          <xdr:nvSpPr>
            <xdr:cNvPr id="45349" name="Button 293" hidden="1">
              <a:extLst>
                <a:ext uri="{63B3BB69-23CF-44E3-9099-C40C66FF867C}">
                  <a14:compatExt spid="_x0000_s45349"/>
                </a:ext>
                <a:ext uri="{FF2B5EF4-FFF2-40B4-BE49-F238E27FC236}">
                  <a16:creationId xmlns:a16="http://schemas.microsoft.com/office/drawing/2014/main" id="{00000000-0008-0000-0500-000025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WELLHEADS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171</xdr:row>
          <xdr:rowOff>38100</xdr:rowOff>
        </xdr:from>
        <xdr:to>
          <xdr:col>15</xdr:col>
          <xdr:colOff>353786</xdr:colOff>
          <xdr:row>173</xdr:row>
          <xdr:rowOff>182336</xdr:rowOff>
        </xdr:to>
        <xdr:sp macro="" textlink="">
          <xdr:nvSpPr>
            <xdr:cNvPr id="45350" name="Button 294" hidden="1">
              <a:extLst>
                <a:ext uri="{63B3BB69-23CF-44E3-9099-C40C66FF867C}">
                  <a14:compatExt spid="_x0000_s45350"/>
                </a:ext>
                <a:ext uri="{FF2B5EF4-FFF2-40B4-BE49-F238E27FC236}">
                  <a16:creationId xmlns:a16="http://schemas.microsoft.com/office/drawing/2014/main" id="{00000000-0008-0000-0500-000026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SPECIALTY TOOLS, rods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163286</xdr:colOff>
          <xdr:row>102</xdr:row>
          <xdr:rowOff>84364</xdr:rowOff>
        </xdr:from>
        <xdr:to>
          <xdr:col>17</xdr:col>
          <xdr:colOff>353786</xdr:colOff>
          <xdr:row>104</xdr:row>
          <xdr:rowOff>8164</xdr:rowOff>
        </xdr:to>
        <xdr:sp macro="" textlink="">
          <xdr:nvSpPr>
            <xdr:cNvPr id="45351" name="Button 295" hidden="1">
              <a:extLst>
                <a:ext uri="{63B3BB69-23CF-44E3-9099-C40C66FF867C}">
                  <a14:compatExt spid="_x0000_s45351"/>
                </a:ext>
                <a:ext uri="{FF2B5EF4-FFF2-40B4-BE49-F238E27FC236}">
                  <a16:creationId xmlns:a16="http://schemas.microsoft.com/office/drawing/2014/main" id="{00000000-0008-0000-0500-000027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PACKERS &amp; PLUGS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163286</xdr:colOff>
          <xdr:row>104</xdr:row>
          <xdr:rowOff>8164</xdr:rowOff>
        </xdr:from>
        <xdr:to>
          <xdr:col>17</xdr:col>
          <xdr:colOff>353786</xdr:colOff>
          <xdr:row>105</xdr:row>
          <xdr:rowOff>111579</xdr:rowOff>
        </xdr:to>
        <xdr:sp macro="" textlink="">
          <xdr:nvSpPr>
            <xdr:cNvPr id="45352" name="Button 296" hidden="1">
              <a:extLst>
                <a:ext uri="{63B3BB69-23CF-44E3-9099-C40C66FF867C}">
                  <a14:compatExt spid="_x0000_s45352"/>
                </a:ext>
                <a:ext uri="{FF2B5EF4-FFF2-40B4-BE49-F238E27FC236}">
                  <a16:creationId xmlns:a16="http://schemas.microsoft.com/office/drawing/2014/main" id="{00000000-0008-0000-0500-000028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TOOLS AND SHIT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163286</xdr:colOff>
          <xdr:row>105</xdr:row>
          <xdr:rowOff>111579</xdr:rowOff>
        </xdr:from>
        <xdr:to>
          <xdr:col>17</xdr:col>
          <xdr:colOff>353786</xdr:colOff>
          <xdr:row>107</xdr:row>
          <xdr:rowOff>38100</xdr:rowOff>
        </xdr:to>
        <xdr:sp macro="" textlink="">
          <xdr:nvSpPr>
            <xdr:cNvPr id="45353" name="Button 297" hidden="1">
              <a:extLst>
                <a:ext uri="{63B3BB69-23CF-44E3-9099-C40C66FF867C}">
                  <a14:compatExt spid="_x0000_s45353"/>
                </a:ext>
                <a:ext uri="{FF2B5EF4-FFF2-40B4-BE49-F238E27FC236}">
                  <a16:creationId xmlns:a16="http://schemas.microsoft.com/office/drawing/2014/main" id="{00000000-0008-0000-0500-000029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WELLHEADS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163286</xdr:colOff>
          <xdr:row>107</xdr:row>
          <xdr:rowOff>38100</xdr:rowOff>
        </xdr:from>
        <xdr:to>
          <xdr:col>17</xdr:col>
          <xdr:colOff>353786</xdr:colOff>
          <xdr:row>109</xdr:row>
          <xdr:rowOff>168729</xdr:rowOff>
        </xdr:to>
        <xdr:sp macro="" textlink="">
          <xdr:nvSpPr>
            <xdr:cNvPr id="45354" name="Button 298" hidden="1">
              <a:extLst>
                <a:ext uri="{63B3BB69-23CF-44E3-9099-C40C66FF867C}">
                  <a14:compatExt spid="_x0000_s45354"/>
                </a:ext>
                <a:ext uri="{FF2B5EF4-FFF2-40B4-BE49-F238E27FC236}">
                  <a16:creationId xmlns:a16="http://schemas.microsoft.com/office/drawing/2014/main" id="{00000000-0008-0000-0500-00002A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SPECIALTY TOOLS, rods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56</xdr:row>
          <xdr:rowOff>8164</xdr:rowOff>
        </xdr:from>
        <xdr:to>
          <xdr:col>15</xdr:col>
          <xdr:colOff>353786</xdr:colOff>
          <xdr:row>57</xdr:row>
          <xdr:rowOff>111579</xdr:rowOff>
        </xdr:to>
        <xdr:sp macro="" textlink="">
          <xdr:nvSpPr>
            <xdr:cNvPr id="45355" name="Button 299" hidden="1">
              <a:extLst>
                <a:ext uri="{63B3BB69-23CF-44E3-9099-C40C66FF867C}">
                  <a14:compatExt spid="_x0000_s45355"/>
                </a:ext>
                <a:ext uri="{FF2B5EF4-FFF2-40B4-BE49-F238E27FC236}">
                  <a16:creationId xmlns:a16="http://schemas.microsoft.com/office/drawing/2014/main" id="{00000000-0008-0000-0500-00002B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HORIZONTAL SHIT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57</xdr:row>
          <xdr:rowOff>111579</xdr:rowOff>
        </xdr:from>
        <xdr:to>
          <xdr:col>15</xdr:col>
          <xdr:colOff>353786</xdr:colOff>
          <xdr:row>59</xdr:row>
          <xdr:rowOff>38100</xdr:rowOff>
        </xdr:to>
        <xdr:sp macro="" textlink="">
          <xdr:nvSpPr>
            <xdr:cNvPr id="45356" name="Button 300" hidden="1">
              <a:extLst>
                <a:ext uri="{63B3BB69-23CF-44E3-9099-C40C66FF867C}">
                  <a14:compatExt spid="_x0000_s45356"/>
                </a:ext>
                <a:ext uri="{FF2B5EF4-FFF2-40B4-BE49-F238E27FC236}">
                  <a16:creationId xmlns:a16="http://schemas.microsoft.com/office/drawing/2014/main" id="{00000000-0008-0000-0500-00002C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TOOLS AND SHIT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59</xdr:row>
          <xdr:rowOff>38100</xdr:rowOff>
        </xdr:from>
        <xdr:to>
          <xdr:col>15</xdr:col>
          <xdr:colOff>353786</xdr:colOff>
          <xdr:row>60</xdr:row>
          <xdr:rowOff>138793</xdr:rowOff>
        </xdr:to>
        <xdr:sp macro="" textlink="">
          <xdr:nvSpPr>
            <xdr:cNvPr id="45357" name="Button 301" hidden="1">
              <a:extLst>
                <a:ext uri="{63B3BB69-23CF-44E3-9099-C40C66FF867C}">
                  <a14:compatExt spid="_x0000_s45357"/>
                </a:ext>
                <a:ext uri="{FF2B5EF4-FFF2-40B4-BE49-F238E27FC236}">
                  <a16:creationId xmlns:a16="http://schemas.microsoft.com/office/drawing/2014/main" id="{00000000-0008-0000-0500-00002D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WELLHEADS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60</xdr:row>
          <xdr:rowOff>138793</xdr:rowOff>
        </xdr:from>
        <xdr:to>
          <xdr:col>15</xdr:col>
          <xdr:colOff>353786</xdr:colOff>
          <xdr:row>64</xdr:row>
          <xdr:rowOff>8164</xdr:rowOff>
        </xdr:to>
        <xdr:sp macro="" textlink="">
          <xdr:nvSpPr>
            <xdr:cNvPr id="45358" name="Button 302" hidden="1">
              <a:extLst>
                <a:ext uri="{63B3BB69-23CF-44E3-9099-C40C66FF867C}">
                  <a14:compatExt spid="_x0000_s45358"/>
                </a:ext>
                <a:ext uri="{FF2B5EF4-FFF2-40B4-BE49-F238E27FC236}">
                  <a16:creationId xmlns:a16="http://schemas.microsoft.com/office/drawing/2014/main" id="{00000000-0008-0000-0500-00002E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SPECIALTY TOOLS, rods</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195</xdr:row>
          <xdr:rowOff>84364</xdr:rowOff>
        </xdr:from>
        <xdr:to>
          <xdr:col>15</xdr:col>
          <xdr:colOff>353786</xdr:colOff>
          <xdr:row>197</xdr:row>
          <xdr:rowOff>8164</xdr:rowOff>
        </xdr:to>
        <xdr:sp macro="" textlink="">
          <xdr:nvSpPr>
            <xdr:cNvPr id="45359" name="Button 303" hidden="1">
              <a:extLst>
                <a:ext uri="{63B3BB69-23CF-44E3-9099-C40C66FF867C}">
                  <a14:compatExt spid="_x0000_s45359"/>
                </a:ext>
                <a:ext uri="{FF2B5EF4-FFF2-40B4-BE49-F238E27FC236}">
                  <a16:creationId xmlns:a16="http://schemas.microsoft.com/office/drawing/2014/main" id="{00000000-0008-0000-0500-00002F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PACKERS &amp; PLUGS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197</xdr:row>
          <xdr:rowOff>8164</xdr:rowOff>
        </xdr:from>
        <xdr:to>
          <xdr:col>15</xdr:col>
          <xdr:colOff>353786</xdr:colOff>
          <xdr:row>198</xdr:row>
          <xdr:rowOff>111579</xdr:rowOff>
        </xdr:to>
        <xdr:sp macro="" textlink="">
          <xdr:nvSpPr>
            <xdr:cNvPr id="45360" name="Button 304" hidden="1">
              <a:extLst>
                <a:ext uri="{63B3BB69-23CF-44E3-9099-C40C66FF867C}">
                  <a14:compatExt spid="_x0000_s45360"/>
                </a:ext>
                <a:ext uri="{FF2B5EF4-FFF2-40B4-BE49-F238E27FC236}">
                  <a16:creationId xmlns:a16="http://schemas.microsoft.com/office/drawing/2014/main" id="{00000000-0008-0000-0500-000030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HORIZONTAL SHIT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198</xdr:row>
          <xdr:rowOff>111579</xdr:rowOff>
        </xdr:from>
        <xdr:to>
          <xdr:col>15</xdr:col>
          <xdr:colOff>353786</xdr:colOff>
          <xdr:row>200</xdr:row>
          <xdr:rowOff>38100</xdr:rowOff>
        </xdr:to>
        <xdr:sp macro="" textlink="">
          <xdr:nvSpPr>
            <xdr:cNvPr id="45361" name="Button 305" hidden="1">
              <a:extLst>
                <a:ext uri="{63B3BB69-23CF-44E3-9099-C40C66FF867C}">
                  <a14:compatExt spid="_x0000_s45361"/>
                </a:ext>
                <a:ext uri="{FF2B5EF4-FFF2-40B4-BE49-F238E27FC236}">
                  <a16:creationId xmlns:a16="http://schemas.microsoft.com/office/drawing/2014/main" id="{00000000-0008-0000-0500-000031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TOOLS AND SHIT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200</xdr:row>
          <xdr:rowOff>38100</xdr:rowOff>
        </xdr:from>
        <xdr:to>
          <xdr:col>15</xdr:col>
          <xdr:colOff>353786</xdr:colOff>
          <xdr:row>202</xdr:row>
          <xdr:rowOff>138793</xdr:rowOff>
        </xdr:to>
        <xdr:sp macro="" textlink="">
          <xdr:nvSpPr>
            <xdr:cNvPr id="45362" name="Button 306" hidden="1">
              <a:extLst>
                <a:ext uri="{63B3BB69-23CF-44E3-9099-C40C66FF867C}">
                  <a14:compatExt spid="_x0000_s45362"/>
                </a:ext>
                <a:ext uri="{FF2B5EF4-FFF2-40B4-BE49-F238E27FC236}">
                  <a16:creationId xmlns:a16="http://schemas.microsoft.com/office/drawing/2014/main" id="{00000000-0008-0000-0500-000032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SPECIALTY TOOLS, rods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163286</xdr:colOff>
          <xdr:row>348</xdr:row>
          <xdr:rowOff>84364</xdr:rowOff>
        </xdr:from>
        <xdr:to>
          <xdr:col>16</xdr:col>
          <xdr:colOff>353786</xdr:colOff>
          <xdr:row>350</xdr:row>
          <xdr:rowOff>8164</xdr:rowOff>
        </xdr:to>
        <xdr:sp macro="" textlink="">
          <xdr:nvSpPr>
            <xdr:cNvPr id="45363" name="Button 307" hidden="1">
              <a:extLst>
                <a:ext uri="{63B3BB69-23CF-44E3-9099-C40C66FF867C}">
                  <a14:compatExt spid="_x0000_s45363"/>
                </a:ext>
                <a:ext uri="{FF2B5EF4-FFF2-40B4-BE49-F238E27FC236}">
                  <a16:creationId xmlns:a16="http://schemas.microsoft.com/office/drawing/2014/main" id="{00000000-0008-0000-0500-000033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PACKERS &amp; PLUGS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163286</xdr:colOff>
          <xdr:row>350</xdr:row>
          <xdr:rowOff>8164</xdr:rowOff>
        </xdr:from>
        <xdr:to>
          <xdr:col>16</xdr:col>
          <xdr:colOff>353786</xdr:colOff>
          <xdr:row>351</xdr:row>
          <xdr:rowOff>111579</xdr:rowOff>
        </xdr:to>
        <xdr:sp macro="" textlink="">
          <xdr:nvSpPr>
            <xdr:cNvPr id="45364" name="Button 308" hidden="1">
              <a:extLst>
                <a:ext uri="{63B3BB69-23CF-44E3-9099-C40C66FF867C}">
                  <a14:compatExt spid="_x0000_s45364"/>
                </a:ext>
                <a:ext uri="{FF2B5EF4-FFF2-40B4-BE49-F238E27FC236}">
                  <a16:creationId xmlns:a16="http://schemas.microsoft.com/office/drawing/2014/main" id="{00000000-0008-0000-0500-000034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HORIZONTAL SHIT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163286</xdr:colOff>
          <xdr:row>351</xdr:row>
          <xdr:rowOff>111579</xdr:rowOff>
        </xdr:from>
        <xdr:to>
          <xdr:col>16</xdr:col>
          <xdr:colOff>353786</xdr:colOff>
          <xdr:row>353</xdr:row>
          <xdr:rowOff>38100</xdr:rowOff>
        </xdr:to>
        <xdr:sp macro="" textlink="">
          <xdr:nvSpPr>
            <xdr:cNvPr id="45365" name="Button 309" hidden="1">
              <a:extLst>
                <a:ext uri="{63B3BB69-23CF-44E3-9099-C40C66FF867C}">
                  <a14:compatExt spid="_x0000_s45365"/>
                </a:ext>
                <a:ext uri="{FF2B5EF4-FFF2-40B4-BE49-F238E27FC236}">
                  <a16:creationId xmlns:a16="http://schemas.microsoft.com/office/drawing/2014/main" id="{00000000-0008-0000-0500-000035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TOOLS AND SHIT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163286</xdr:colOff>
          <xdr:row>353</xdr:row>
          <xdr:rowOff>38100</xdr:rowOff>
        </xdr:from>
        <xdr:to>
          <xdr:col>16</xdr:col>
          <xdr:colOff>353786</xdr:colOff>
          <xdr:row>354</xdr:row>
          <xdr:rowOff>138793</xdr:rowOff>
        </xdr:to>
        <xdr:sp macro="" textlink="">
          <xdr:nvSpPr>
            <xdr:cNvPr id="45366" name="Button 310" hidden="1">
              <a:extLst>
                <a:ext uri="{63B3BB69-23CF-44E3-9099-C40C66FF867C}">
                  <a14:compatExt spid="_x0000_s45366"/>
                </a:ext>
                <a:ext uri="{FF2B5EF4-FFF2-40B4-BE49-F238E27FC236}">
                  <a16:creationId xmlns:a16="http://schemas.microsoft.com/office/drawing/2014/main" id="{00000000-0008-0000-0500-000036B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WELLHEADS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4</xdr:col>
      <xdr:colOff>35379</xdr:colOff>
      <xdr:row>7</xdr:row>
      <xdr:rowOff>10886</xdr:rowOff>
    </xdr:from>
    <xdr:ext cx="1893403" cy="282000"/>
    <xdr:sp macro="" textlink="">
      <xdr:nvSpPr>
        <xdr:cNvPr id="53250" name="Text 494">
          <a:extLst>
            <a:ext uri="{FF2B5EF4-FFF2-40B4-BE49-F238E27FC236}">
              <a16:creationId xmlns:a16="http://schemas.microsoft.com/office/drawing/2014/main" id="{5EE8609A-545E-F0AA-906D-8EBA04D1CEB8}"/>
            </a:ext>
          </a:extLst>
        </xdr:cNvPr>
        <xdr:cNvSpPr txBox="1">
          <a:spLocks noChangeArrowheads="1"/>
        </xdr:cNvSpPr>
      </xdr:nvSpPr>
      <xdr:spPr bwMode="auto">
        <a:xfrm>
          <a:off x="880049" y="924876"/>
          <a:ext cx="1893403" cy="282000"/>
        </a:xfrm>
        <a:prstGeom prst="rect">
          <a:avLst/>
        </a:prstGeom>
        <a:noFill/>
        <a:ln w="1">
          <a:noFill/>
          <a:miter lim="800000"/>
          <a:headEnd/>
          <a:tailEnd/>
        </a:ln>
      </xdr:spPr>
      <xdr:txBody>
        <a:bodyPr wrap="none" lIns="18288" tIns="22860" rIns="0" bIns="22860" anchor="ctr" upright="1">
          <a:spAutoFit/>
        </a:bodyPr>
        <a:lstStyle/>
        <a:p>
          <a:pPr algn="l" rtl="0">
            <a:defRPr sz="1000"/>
          </a:pPr>
          <a:r>
            <a:rPr lang="en-CA" sz="800" b="1" i="0" u="sng" strike="noStrike" baseline="0">
              <a:solidFill>
                <a:srgbClr val="00CC99"/>
              </a:solidFill>
              <a:latin typeface="Arial"/>
              <a:cs typeface="Arial"/>
            </a:rPr>
            <a:t>BOP TYPE, RAM SIZE &amp;</a:t>
          </a:r>
        </a:p>
        <a:p>
          <a:pPr algn="l" rtl="0">
            <a:defRPr sz="1000"/>
          </a:pPr>
          <a:r>
            <a:rPr lang="en-CA" sz="800" b="1" i="0" u="sng" strike="noStrike" baseline="0">
              <a:solidFill>
                <a:srgbClr val="00CC99"/>
              </a:solidFill>
              <a:latin typeface="Arial"/>
              <a:cs typeface="Arial"/>
            </a:rPr>
            <a:t>PRESSURE RATING SATISFACTORY?</a:t>
          </a:r>
        </a:p>
      </xdr:txBody>
    </xdr:sp>
    <xdr:clientData/>
  </xdr:oneCellAnchor>
  <xdr:oneCellAnchor>
    <xdr:from>
      <xdr:col>10</xdr:col>
      <xdr:colOff>7681</xdr:colOff>
      <xdr:row>8</xdr:row>
      <xdr:rowOff>4210</xdr:rowOff>
    </xdr:from>
    <xdr:ext cx="1894749" cy="164084"/>
    <xdr:sp macro="" textlink="">
      <xdr:nvSpPr>
        <xdr:cNvPr id="53251" name="Text 495">
          <a:extLst>
            <a:ext uri="{FF2B5EF4-FFF2-40B4-BE49-F238E27FC236}">
              <a16:creationId xmlns:a16="http://schemas.microsoft.com/office/drawing/2014/main" id="{2CC5D436-FB97-E03B-7CE1-75D5BD47207B}"/>
            </a:ext>
          </a:extLst>
        </xdr:cNvPr>
        <xdr:cNvSpPr txBox="1">
          <a:spLocks noChangeArrowheads="1"/>
        </xdr:cNvSpPr>
      </xdr:nvSpPr>
      <xdr:spPr bwMode="auto">
        <a:xfrm>
          <a:off x="4225895" y="1041434"/>
          <a:ext cx="1894749"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EQUIPMENT ADEQUATELY HEATED?</a:t>
          </a:r>
        </a:p>
      </xdr:txBody>
    </xdr:sp>
    <xdr:clientData/>
  </xdr:oneCellAnchor>
  <xdr:oneCellAnchor>
    <xdr:from>
      <xdr:col>10</xdr:col>
      <xdr:colOff>78288</xdr:colOff>
      <xdr:row>19</xdr:row>
      <xdr:rowOff>46032</xdr:rowOff>
    </xdr:from>
    <xdr:ext cx="794898" cy="180492"/>
    <xdr:sp macro="" textlink="">
      <xdr:nvSpPr>
        <xdr:cNvPr id="53252" name="Text 496">
          <a:extLst>
            <a:ext uri="{FF2B5EF4-FFF2-40B4-BE49-F238E27FC236}">
              <a16:creationId xmlns:a16="http://schemas.microsoft.com/office/drawing/2014/main" id="{6B2780AB-464E-DD02-1084-1C42FF91C1A3}"/>
            </a:ext>
          </a:extLst>
        </xdr:cNvPr>
        <xdr:cNvSpPr txBox="1">
          <a:spLocks noChangeArrowheads="1"/>
        </xdr:cNvSpPr>
      </xdr:nvSpPr>
      <xdr:spPr bwMode="auto">
        <a:xfrm>
          <a:off x="4285616" y="2166076"/>
          <a:ext cx="794898"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BOP CONTROL</a:t>
          </a:r>
        </a:p>
      </xdr:txBody>
    </xdr:sp>
    <xdr:clientData/>
  </xdr:oneCellAnchor>
  <xdr:oneCellAnchor>
    <xdr:from>
      <xdr:col>3</xdr:col>
      <xdr:colOff>219336</xdr:colOff>
      <xdr:row>27</xdr:row>
      <xdr:rowOff>95185</xdr:rowOff>
    </xdr:from>
    <xdr:ext cx="1461554" cy="164084"/>
    <xdr:sp macro="" textlink="">
      <xdr:nvSpPr>
        <xdr:cNvPr id="53258" name="Text 505">
          <a:extLst>
            <a:ext uri="{FF2B5EF4-FFF2-40B4-BE49-F238E27FC236}">
              <a16:creationId xmlns:a16="http://schemas.microsoft.com/office/drawing/2014/main" id="{0347E5CE-89D5-A3A2-EC5E-016D03B4AC77}"/>
            </a:ext>
          </a:extLst>
        </xdr:cNvPr>
        <xdr:cNvSpPr txBox="1">
          <a:spLocks noChangeArrowheads="1"/>
        </xdr:cNvSpPr>
      </xdr:nvSpPr>
      <xdr:spPr bwMode="auto">
        <a:xfrm>
          <a:off x="822672" y="3047678"/>
          <a:ext cx="1461554"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BLEED-OFF AND KILL LINES</a:t>
          </a:r>
        </a:p>
      </xdr:txBody>
    </xdr:sp>
    <xdr:clientData/>
  </xdr:oneCellAnchor>
  <xdr:oneCellAnchor>
    <xdr:from>
      <xdr:col>3</xdr:col>
      <xdr:colOff>140212</xdr:colOff>
      <xdr:row>58</xdr:row>
      <xdr:rowOff>48753</xdr:rowOff>
    </xdr:from>
    <xdr:ext cx="2447529" cy="164084"/>
    <xdr:sp macro="" textlink="">
      <xdr:nvSpPr>
        <xdr:cNvPr id="53334" name="Text 584">
          <a:extLst>
            <a:ext uri="{FF2B5EF4-FFF2-40B4-BE49-F238E27FC236}">
              <a16:creationId xmlns:a16="http://schemas.microsoft.com/office/drawing/2014/main" id="{367F6CBE-DF7D-FD9A-F083-87D98D3708B9}"/>
            </a:ext>
          </a:extLst>
        </xdr:cNvPr>
        <xdr:cNvSpPr txBox="1">
          <a:spLocks noChangeArrowheads="1"/>
        </xdr:cNvSpPr>
      </xdr:nvSpPr>
      <xdr:spPr bwMode="auto">
        <a:xfrm>
          <a:off x="743548" y="6184804"/>
          <a:ext cx="2447529"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NON-STEEL HYDRAULIC LINES FIRE SHEATHED</a:t>
          </a:r>
        </a:p>
      </xdr:txBody>
    </xdr:sp>
    <xdr:clientData/>
  </xdr:oneCellAnchor>
  <xdr:oneCellAnchor>
    <xdr:from>
      <xdr:col>3</xdr:col>
      <xdr:colOff>154376</xdr:colOff>
      <xdr:row>62</xdr:row>
      <xdr:rowOff>2015</xdr:rowOff>
    </xdr:from>
    <xdr:ext cx="2356479" cy="164084"/>
    <xdr:sp macro="" textlink="">
      <xdr:nvSpPr>
        <xdr:cNvPr id="53335" name="Text 585">
          <a:extLst>
            <a:ext uri="{FF2B5EF4-FFF2-40B4-BE49-F238E27FC236}">
              <a16:creationId xmlns:a16="http://schemas.microsoft.com/office/drawing/2014/main" id="{5F308AC2-0B37-218F-960E-9D646596CF32}"/>
            </a:ext>
          </a:extLst>
        </xdr:cNvPr>
        <xdr:cNvSpPr txBox="1">
          <a:spLocks noChangeArrowheads="1"/>
        </xdr:cNvSpPr>
      </xdr:nvSpPr>
      <xdr:spPr bwMode="auto">
        <a:xfrm>
          <a:off x="757712" y="6548848"/>
          <a:ext cx="2356479"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WORKSTRING VALVES READILY ACCESSIBLE</a:t>
          </a:r>
        </a:p>
      </xdr:txBody>
    </xdr:sp>
    <xdr:clientData/>
  </xdr:oneCellAnchor>
  <xdr:oneCellAnchor>
    <xdr:from>
      <xdr:col>3</xdr:col>
      <xdr:colOff>148176</xdr:colOff>
      <xdr:row>79</xdr:row>
      <xdr:rowOff>36507</xdr:rowOff>
    </xdr:from>
    <xdr:ext cx="2675476" cy="164084"/>
    <xdr:sp macro="" textlink="">
      <xdr:nvSpPr>
        <xdr:cNvPr id="53453" name="Text 703">
          <a:extLst>
            <a:ext uri="{FF2B5EF4-FFF2-40B4-BE49-F238E27FC236}">
              <a16:creationId xmlns:a16="http://schemas.microsoft.com/office/drawing/2014/main" id="{80F25C29-24BF-4255-36F6-12EAD2C4EDAF}"/>
            </a:ext>
          </a:extLst>
        </xdr:cNvPr>
        <xdr:cNvSpPr txBox="1">
          <a:spLocks noChangeArrowheads="1"/>
        </xdr:cNvSpPr>
      </xdr:nvSpPr>
      <xdr:spPr bwMode="auto">
        <a:xfrm>
          <a:off x="751512" y="8359970"/>
          <a:ext cx="2675476"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FLUID-GAS SEPERATOR ADEQUATELY CONNECTED</a:t>
          </a:r>
        </a:p>
      </xdr:txBody>
    </xdr:sp>
    <xdr:clientData/>
  </xdr:oneCellAnchor>
  <xdr:oneCellAnchor>
    <xdr:from>
      <xdr:col>9</xdr:col>
      <xdr:colOff>220449</xdr:colOff>
      <xdr:row>79</xdr:row>
      <xdr:rowOff>29023</xdr:rowOff>
    </xdr:from>
    <xdr:ext cx="1136914" cy="164084"/>
    <xdr:sp macro="" textlink="">
      <xdr:nvSpPr>
        <xdr:cNvPr id="53460" name="Text 710">
          <a:extLst>
            <a:ext uri="{FF2B5EF4-FFF2-40B4-BE49-F238E27FC236}">
              <a16:creationId xmlns:a16="http://schemas.microsoft.com/office/drawing/2014/main" id="{1C3859DD-E93C-62BC-A0DE-2143EC4957F5}"/>
            </a:ext>
          </a:extLst>
        </xdr:cNvPr>
        <xdr:cNvSpPr txBox="1">
          <a:spLocks noChangeArrowheads="1"/>
        </xdr:cNvSpPr>
      </xdr:nvSpPr>
      <xdr:spPr bwMode="auto">
        <a:xfrm>
          <a:off x="4184492" y="8352486"/>
          <a:ext cx="1136914"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CRUDE OIL STORAGE</a:t>
          </a:r>
        </a:p>
      </xdr:txBody>
    </xdr:sp>
    <xdr:clientData/>
  </xdr:oneCellAnchor>
  <xdr:oneCellAnchor>
    <xdr:from>
      <xdr:col>9</xdr:col>
      <xdr:colOff>158852</xdr:colOff>
      <xdr:row>82</xdr:row>
      <xdr:rowOff>36507</xdr:rowOff>
    </xdr:from>
    <xdr:ext cx="2350707" cy="164084"/>
    <xdr:sp macro="" textlink="">
      <xdr:nvSpPr>
        <xdr:cNvPr id="53464" name="Text 714">
          <a:extLst>
            <a:ext uri="{FF2B5EF4-FFF2-40B4-BE49-F238E27FC236}">
              <a16:creationId xmlns:a16="http://schemas.microsoft.com/office/drawing/2014/main" id="{CF2C61A3-A102-11EB-A7C5-E37AA848FCA5}"/>
            </a:ext>
          </a:extLst>
        </xdr:cNvPr>
        <xdr:cNvSpPr txBox="1">
          <a:spLocks noChangeArrowheads="1"/>
        </xdr:cNvSpPr>
      </xdr:nvSpPr>
      <xdr:spPr bwMode="auto">
        <a:xfrm>
          <a:off x="4122895" y="8668057"/>
          <a:ext cx="2350707"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CONTRACTOR AND OPERATOR INSPECTIONS</a:t>
          </a:r>
        </a:p>
      </xdr:txBody>
    </xdr:sp>
    <xdr:clientData/>
  </xdr:oneCellAnchor>
  <xdr:oneCellAnchor>
    <xdr:from>
      <xdr:col>10</xdr:col>
      <xdr:colOff>18371</xdr:colOff>
      <xdr:row>88</xdr:row>
      <xdr:rowOff>29023</xdr:rowOff>
    </xdr:from>
    <xdr:ext cx="857607" cy="164084"/>
    <xdr:sp macro="" textlink="">
      <xdr:nvSpPr>
        <xdr:cNvPr id="53465" name="Text 715">
          <a:extLst>
            <a:ext uri="{FF2B5EF4-FFF2-40B4-BE49-F238E27FC236}">
              <a16:creationId xmlns:a16="http://schemas.microsoft.com/office/drawing/2014/main" id="{8BB400DC-CCF6-971D-27E3-800F3019F5A5}"/>
            </a:ext>
          </a:extLst>
        </xdr:cNvPr>
        <xdr:cNvSpPr txBox="1">
          <a:spLocks noChangeArrowheads="1"/>
        </xdr:cNvSpPr>
      </xdr:nvSpPr>
      <xdr:spPr bwMode="auto">
        <a:xfrm>
          <a:off x="4236585" y="9276746"/>
          <a:ext cx="857607"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FLUID SYSTEMS</a:t>
          </a:r>
        </a:p>
      </xdr:txBody>
    </xdr:sp>
    <xdr:clientData/>
  </xdr:oneCellAnchor>
  <xdr:oneCellAnchor>
    <xdr:from>
      <xdr:col>10</xdr:col>
      <xdr:colOff>17510</xdr:colOff>
      <xdr:row>97</xdr:row>
      <xdr:rowOff>31745</xdr:rowOff>
    </xdr:from>
    <xdr:ext cx="983154" cy="164084"/>
    <xdr:sp macro="" textlink="">
      <xdr:nvSpPr>
        <xdr:cNvPr id="53466" name="Text 716">
          <a:extLst>
            <a:ext uri="{FF2B5EF4-FFF2-40B4-BE49-F238E27FC236}">
              <a16:creationId xmlns:a16="http://schemas.microsoft.com/office/drawing/2014/main" id="{19D5A98D-334A-30C9-27EE-1A9718548D90}"/>
            </a:ext>
          </a:extLst>
        </xdr:cNvPr>
        <xdr:cNvSpPr txBox="1">
          <a:spLocks noChangeArrowheads="1"/>
        </xdr:cNvSpPr>
      </xdr:nvSpPr>
      <xdr:spPr bwMode="auto">
        <a:xfrm>
          <a:off x="4235724" y="10203726"/>
          <a:ext cx="983154"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HOISTING SYSTEM</a:t>
          </a:r>
        </a:p>
      </xdr:txBody>
    </xdr:sp>
    <xdr:clientData/>
  </xdr:oneCellAnchor>
  <xdr:oneCellAnchor>
    <xdr:from>
      <xdr:col>10</xdr:col>
      <xdr:colOff>34018</xdr:colOff>
      <xdr:row>103</xdr:row>
      <xdr:rowOff>21772</xdr:rowOff>
    </xdr:from>
    <xdr:ext cx="646652" cy="164084"/>
    <xdr:sp macro="" textlink="">
      <xdr:nvSpPr>
        <xdr:cNvPr id="53488" name="Text 738">
          <a:extLst>
            <a:ext uri="{FF2B5EF4-FFF2-40B4-BE49-F238E27FC236}">
              <a16:creationId xmlns:a16="http://schemas.microsoft.com/office/drawing/2014/main" id="{701A1549-9637-7534-8DBA-B122C8144F3F}"/>
            </a:ext>
          </a:extLst>
        </xdr:cNvPr>
        <xdr:cNvSpPr txBox="1">
          <a:spLocks noChangeArrowheads="1"/>
        </xdr:cNvSpPr>
      </xdr:nvSpPr>
      <xdr:spPr bwMode="auto">
        <a:xfrm>
          <a:off x="4252232" y="10809926"/>
          <a:ext cx="646652"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CHEMICALS</a:t>
          </a:r>
        </a:p>
      </xdr:txBody>
    </xdr:sp>
    <xdr:clientData/>
  </xdr:oneCellAnchor>
  <xdr:oneCellAnchor>
    <xdr:from>
      <xdr:col>10</xdr:col>
      <xdr:colOff>21317</xdr:colOff>
      <xdr:row>110</xdr:row>
      <xdr:rowOff>29023</xdr:rowOff>
    </xdr:from>
    <xdr:ext cx="538416" cy="164084"/>
    <xdr:sp macro="" textlink="">
      <xdr:nvSpPr>
        <xdr:cNvPr id="53489" name="Text 739">
          <a:extLst>
            <a:ext uri="{FF2B5EF4-FFF2-40B4-BE49-F238E27FC236}">
              <a16:creationId xmlns:a16="http://schemas.microsoft.com/office/drawing/2014/main" id="{C51C6FE6-BCC1-2166-8BFE-64E2AC24FD6A}"/>
            </a:ext>
          </a:extLst>
        </xdr:cNvPr>
        <xdr:cNvSpPr txBox="1">
          <a:spLocks noChangeArrowheads="1"/>
        </xdr:cNvSpPr>
      </xdr:nvSpPr>
      <xdr:spPr bwMode="auto">
        <a:xfrm>
          <a:off x="4239531" y="11536045"/>
          <a:ext cx="538416"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GENERAL</a:t>
          </a:r>
        </a:p>
      </xdr:txBody>
    </xdr:sp>
    <xdr:clientData/>
  </xdr:oneCellAnchor>
  <xdr:oneCellAnchor>
    <xdr:from>
      <xdr:col>10</xdr:col>
      <xdr:colOff>20423</xdr:colOff>
      <xdr:row>134</xdr:row>
      <xdr:rowOff>31745</xdr:rowOff>
    </xdr:from>
    <xdr:ext cx="829010" cy="164084"/>
    <xdr:sp macro="" textlink="">
      <xdr:nvSpPr>
        <xdr:cNvPr id="53490" name="Text 740">
          <a:extLst>
            <a:ext uri="{FF2B5EF4-FFF2-40B4-BE49-F238E27FC236}">
              <a16:creationId xmlns:a16="http://schemas.microsoft.com/office/drawing/2014/main" id="{E9A28E9F-5652-866E-90B0-C36D7FA09829}"/>
            </a:ext>
          </a:extLst>
        </xdr:cNvPr>
        <xdr:cNvSpPr txBox="1">
          <a:spLocks noChangeArrowheads="1"/>
        </xdr:cNvSpPr>
      </xdr:nvSpPr>
      <xdr:spPr bwMode="auto">
        <a:xfrm>
          <a:off x="4238637" y="14003456"/>
          <a:ext cx="829010"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CERTIFICATION</a:t>
          </a:r>
        </a:p>
      </xdr:txBody>
    </xdr:sp>
    <xdr:clientData/>
  </xdr:oneCellAnchor>
  <xdr:oneCellAnchor>
    <xdr:from>
      <xdr:col>3</xdr:col>
      <xdr:colOff>220708</xdr:colOff>
      <xdr:row>85</xdr:row>
      <xdr:rowOff>48753</xdr:rowOff>
    </xdr:from>
    <xdr:ext cx="1125436" cy="164084"/>
    <xdr:sp macro="" textlink="">
      <xdr:nvSpPr>
        <xdr:cNvPr id="53542" name="Text 793">
          <a:extLst>
            <a:ext uri="{FF2B5EF4-FFF2-40B4-BE49-F238E27FC236}">
              <a16:creationId xmlns:a16="http://schemas.microsoft.com/office/drawing/2014/main" id="{5C08B5EC-BAC7-A709-39EC-6D1B1CA0CE89}"/>
            </a:ext>
          </a:extLst>
        </xdr:cNvPr>
        <xdr:cNvSpPr txBox="1">
          <a:spLocks noChangeArrowheads="1"/>
        </xdr:cNvSpPr>
      </xdr:nvSpPr>
      <xdr:spPr bwMode="auto">
        <a:xfrm>
          <a:off x="824044" y="8988389"/>
          <a:ext cx="1125436"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CREW BOP TRAINING</a:t>
          </a:r>
        </a:p>
      </xdr:txBody>
    </xdr:sp>
    <xdr:clientData/>
  </xdr:oneCellAnchor>
  <xdr:oneCellAnchor>
    <xdr:from>
      <xdr:col>3</xdr:col>
      <xdr:colOff>187035</xdr:colOff>
      <xdr:row>92</xdr:row>
      <xdr:rowOff>55558</xdr:rowOff>
    </xdr:from>
    <xdr:ext cx="1963358" cy="164084"/>
    <xdr:sp macro="" textlink="">
      <xdr:nvSpPr>
        <xdr:cNvPr id="53543" name="Text 794">
          <a:extLst>
            <a:ext uri="{FF2B5EF4-FFF2-40B4-BE49-F238E27FC236}">
              <a16:creationId xmlns:a16="http://schemas.microsoft.com/office/drawing/2014/main" id="{8F6831D1-3C3F-5123-33C7-5ADC3F221D3A}"/>
            </a:ext>
          </a:extLst>
        </xdr:cNvPr>
        <xdr:cNvSpPr txBox="1">
          <a:spLocks noChangeArrowheads="1"/>
        </xdr:cNvSpPr>
      </xdr:nvSpPr>
      <xdr:spPr bwMode="auto">
        <a:xfrm>
          <a:off x="790371" y="9714062"/>
          <a:ext cx="1963358"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PERSON ON LEASE WITH BOP TICKET</a:t>
          </a:r>
        </a:p>
      </xdr:txBody>
    </xdr:sp>
    <xdr:clientData/>
  </xdr:oneCellAnchor>
  <xdr:oneCellAnchor>
    <xdr:from>
      <xdr:col>3</xdr:col>
      <xdr:colOff>213506</xdr:colOff>
      <xdr:row>99</xdr:row>
      <xdr:rowOff>55557</xdr:rowOff>
    </xdr:from>
    <xdr:ext cx="1877757" cy="164084"/>
    <xdr:sp macro="" textlink="">
      <xdr:nvSpPr>
        <xdr:cNvPr id="53544" name="Text 795">
          <a:extLst>
            <a:ext uri="{FF2B5EF4-FFF2-40B4-BE49-F238E27FC236}">
              <a16:creationId xmlns:a16="http://schemas.microsoft.com/office/drawing/2014/main" id="{82F2EB10-322B-7FAC-013F-CFBFDFAF0E01}"/>
            </a:ext>
          </a:extLst>
        </xdr:cNvPr>
        <xdr:cNvSpPr txBox="1">
          <a:spLocks noChangeArrowheads="1"/>
        </xdr:cNvSpPr>
      </xdr:nvSpPr>
      <xdr:spPr bwMode="auto">
        <a:xfrm>
          <a:off x="816842" y="10432929"/>
          <a:ext cx="1877757"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WELL TO FLAME - TYPE EQUIPMENT</a:t>
          </a:r>
        </a:p>
      </xdr:txBody>
    </xdr:sp>
    <xdr:clientData/>
  </xdr:oneCellAnchor>
  <xdr:oneCellAnchor>
    <xdr:from>
      <xdr:col>3</xdr:col>
      <xdr:colOff>176354</xdr:colOff>
      <xdr:row>102</xdr:row>
      <xdr:rowOff>55558</xdr:rowOff>
    </xdr:from>
    <xdr:ext cx="1863620" cy="177534"/>
    <xdr:sp macro="" textlink="">
      <xdr:nvSpPr>
        <xdr:cNvPr id="53566" name="Text 817">
          <a:extLst>
            <a:ext uri="{FF2B5EF4-FFF2-40B4-BE49-F238E27FC236}">
              <a16:creationId xmlns:a16="http://schemas.microsoft.com/office/drawing/2014/main" id="{6FDF1D9F-4B4A-4330-67C9-9E4A05548555}"/>
            </a:ext>
          </a:extLst>
        </xdr:cNvPr>
        <xdr:cNvSpPr txBox="1">
          <a:spLocks noChangeArrowheads="1"/>
        </xdr:cNvSpPr>
      </xdr:nvSpPr>
      <xdr:spPr bwMode="auto">
        <a:xfrm>
          <a:off x="768804" y="10730130"/>
          <a:ext cx="1860895"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SMOKING RULES BEING OBSERVED</a:t>
          </a:r>
        </a:p>
      </xdr:txBody>
    </xdr:sp>
    <xdr:clientData/>
  </xdr:oneCellAnchor>
  <xdr:oneCellAnchor>
    <xdr:from>
      <xdr:col>3</xdr:col>
      <xdr:colOff>208226</xdr:colOff>
      <xdr:row>107</xdr:row>
      <xdr:rowOff>55558</xdr:rowOff>
    </xdr:from>
    <xdr:ext cx="1564467" cy="164084"/>
    <xdr:sp macro="" textlink="">
      <xdr:nvSpPr>
        <xdr:cNvPr id="53567" name="Text 818">
          <a:extLst>
            <a:ext uri="{FF2B5EF4-FFF2-40B4-BE49-F238E27FC236}">
              <a16:creationId xmlns:a16="http://schemas.microsoft.com/office/drawing/2014/main" id="{EC971ACD-C1D0-C938-828D-991981C5FB66}"/>
            </a:ext>
          </a:extLst>
        </xdr:cNvPr>
        <xdr:cNvSpPr txBox="1">
          <a:spLocks noChangeArrowheads="1"/>
        </xdr:cNvSpPr>
      </xdr:nvSpPr>
      <xdr:spPr bwMode="auto">
        <a:xfrm>
          <a:off x="811562" y="11254493"/>
          <a:ext cx="1564467"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WARNING SIGNS IN H2S AREA</a:t>
          </a:r>
        </a:p>
      </xdr:txBody>
    </xdr:sp>
    <xdr:clientData/>
  </xdr:oneCellAnchor>
  <xdr:oneCellAnchor>
    <xdr:from>
      <xdr:col>3</xdr:col>
      <xdr:colOff>120284</xdr:colOff>
      <xdr:row>110</xdr:row>
      <xdr:rowOff>36507</xdr:rowOff>
    </xdr:from>
    <xdr:ext cx="3063146" cy="164084"/>
    <xdr:sp macro="" textlink="">
      <xdr:nvSpPr>
        <xdr:cNvPr id="53568" name="Text 819">
          <a:extLst>
            <a:ext uri="{FF2B5EF4-FFF2-40B4-BE49-F238E27FC236}">
              <a16:creationId xmlns:a16="http://schemas.microsoft.com/office/drawing/2014/main" id="{6AEA85F3-BC8E-34C7-8B6D-9466DA1FF3B8}"/>
            </a:ext>
          </a:extLst>
        </xdr:cNvPr>
        <xdr:cNvSpPr txBox="1">
          <a:spLocks noChangeArrowheads="1"/>
        </xdr:cNvSpPr>
      </xdr:nvSpPr>
      <xdr:spPr bwMode="auto">
        <a:xfrm>
          <a:off x="723620" y="11543529"/>
          <a:ext cx="3063146"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BOP TESTS RECORDED AND PROCEDURES SATISFACTORY</a:t>
          </a:r>
        </a:p>
      </xdr:txBody>
    </xdr:sp>
    <xdr:clientData/>
  </xdr:oneCellAnchor>
  <xdr:oneCellAnchor>
    <xdr:from>
      <xdr:col>3</xdr:col>
      <xdr:colOff>187036</xdr:colOff>
      <xdr:row>123</xdr:row>
      <xdr:rowOff>55558</xdr:rowOff>
    </xdr:from>
    <xdr:ext cx="1877629" cy="164084"/>
    <xdr:sp macro="" textlink="">
      <xdr:nvSpPr>
        <xdr:cNvPr id="53569" name="Text 820">
          <a:extLst>
            <a:ext uri="{FF2B5EF4-FFF2-40B4-BE49-F238E27FC236}">
              <a16:creationId xmlns:a16="http://schemas.microsoft.com/office/drawing/2014/main" id="{A5222AF4-C4AA-D4E5-92C8-AA4A42D61F71}"/>
            </a:ext>
          </a:extLst>
        </xdr:cNvPr>
        <xdr:cNvSpPr txBox="1">
          <a:spLocks noChangeArrowheads="1"/>
        </xdr:cNvSpPr>
      </xdr:nvSpPr>
      <xdr:spPr bwMode="auto">
        <a:xfrm>
          <a:off x="790372" y="12897620"/>
          <a:ext cx="1877629"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DAILY FUNCTION TESTS RECORDED</a:t>
          </a:r>
        </a:p>
      </xdr:txBody>
    </xdr:sp>
    <xdr:clientData/>
  </xdr:oneCellAnchor>
  <xdr:oneCellAnchor>
    <xdr:from>
      <xdr:col>3</xdr:col>
      <xdr:colOff>197231</xdr:colOff>
      <xdr:row>127</xdr:row>
      <xdr:rowOff>55557</xdr:rowOff>
    </xdr:from>
    <xdr:ext cx="1410514" cy="164084"/>
    <xdr:sp macro="" textlink="">
      <xdr:nvSpPr>
        <xdr:cNvPr id="53594" name="Text 845">
          <a:extLst>
            <a:ext uri="{FF2B5EF4-FFF2-40B4-BE49-F238E27FC236}">
              <a16:creationId xmlns:a16="http://schemas.microsoft.com/office/drawing/2014/main" id="{3F6808A7-17E0-39CD-45FE-1CA527F83E78}"/>
            </a:ext>
          </a:extLst>
        </xdr:cNvPr>
        <xdr:cNvSpPr txBox="1">
          <a:spLocks noChangeArrowheads="1"/>
        </xdr:cNvSpPr>
      </xdr:nvSpPr>
      <xdr:spPr bwMode="auto">
        <a:xfrm>
          <a:off x="800567" y="13308400"/>
          <a:ext cx="1410514"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DEISEL ENGINE SHUTOFFS</a:t>
          </a:r>
        </a:p>
      </xdr:txBody>
    </xdr:sp>
    <xdr:clientData/>
  </xdr:oneCellAnchor>
  <xdr:oneCellAnchor>
    <xdr:from>
      <xdr:col>3</xdr:col>
      <xdr:colOff>233582</xdr:colOff>
      <xdr:row>135</xdr:row>
      <xdr:rowOff>55557</xdr:rowOff>
    </xdr:from>
    <xdr:ext cx="943207" cy="164084"/>
    <xdr:sp macro="" textlink="">
      <xdr:nvSpPr>
        <xdr:cNvPr id="53595" name="Text 846">
          <a:extLst>
            <a:ext uri="{FF2B5EF4-FFF2-40B4-BE49-F238E27FC236}">
              <a16:creationId xmlns:a16="http://schemas.microsoft.com/office/drawing/2014/main" id="{766B3276-64B4-AEE4-38A8-9DFF6ED43120}"/>
            </a:ext>
          </a:extLst>
        </xdr:cNvPr>
        <xdr:cNvSpPr txBox="1">
          <a:spLocks noChangeArrowheads="1"/>
        </xdr:cNvSpPr>
      </xdr:nvSpPr>
      <xdr:spPr bwMode="auto">
        <a:xfrm>
          <a:off x="836918" y="14129964"/>
          <a:ext cx="943207" cy="164084"/>
        </a:xfrm>
        <a:prstGeom prst="rect">
          <a:avLst/>
        </a:prstGeom>
        <a:noFill/>
        <a:ln w="1">
          <a:noFill/>
          <a:miter lim="800000"/>
          <a:headEnd/>
          <a:tailEnd/>
        </a:ln>
      </xdr:spPr>
      <xdr:txBody>
        <a:bodyPr wrap="none" lIns="18288" tIns="22860" rIns="18288" bIns="22860" anchor="ctr" upright="1">
          <a:spAutoFit/>
        </a:bodyPr>
        <a:lstStyle/>
        <a:p>
          <a:pPr algn="ctr" rtl="0">
            <a:defRPr sz="1000"/>
          </a:pPr>
          <a:r>
            <a:rPr lang="en-CA" sz="800" b="1" i="0" u="sng" strike="noStrike" baseline="0">
              <a:solidFill>
                <a:srgbClr val="00CC99"/>
              </a:solidFill>
              <a:latin typeface="Arial"/>
              <a:cs typeface="Arial"/>
            </a:rPr>
            <a:t>ENGINE EXAUSTS</a:t>
          </a:r>
        </a:p>
      </xdr:txBody>
    </xdr:sp>
    <xdr:clientData/>
  </xdr:oneCellAnchor>
  <xdr:twoCellAnchor editAs="oneCell">
    <xdr:from>
      <xdr:col>2</xdr:col>
      <xdr:colOff>122464</xdr:colOff>
      <xdr:row>156</xdr:row>
      <xdr:rowOff>46264</xdr:rowOff>
    </xdr:from>
    <xdr:to>
      <xdr:col>6</xdr:col>
      <xdr:colOff>171450</xdr:colOff>
      <xdr:row>159</xdr:row>
      <xdr:rowOff>106136</xdr:rowOff>
    </xdr:to>
    <xdr:pic>
      <xdr:nvPicPr>
        <xdr:cNvPr id="53690" name="Picture 369" descr="signature">
          <a:extLst>
            <a:ext uri="{FF2B5EF4-FFF2-40B4-BE49-F238E27FC236}">
              <a16:creationId xmlns:a16="http://schemas.microsoft.com/office/drawing/2014/main" id="{859B79B6-682B-FD23-E57F-BF32AC60054D}"/>
            </a:ext>
          </a:extLst>
        </xdr:cNvPr>
        <xdr:cNvPicPr>
          <a:picLocks noChangeAspect="1" noChangeArrowheads="1"/>
        </xdr:cNvPicPr>
      </xdr:nvPicPr>
      <xdr:blipFill>
        <a:blip xmlns:r="http://schemas.openxmlformats.org/officeDocument/2006/relationships" r:embed="rId1">
          <a:lum bright="-18000" contrast="60000"/>
          <a:extLst>
            <a:ext uri="{28A0092B-C50C-407E-A947-70E740481C1C}">
              <a14:useLocalDpi xmlns:a14="http://schemas.microsoft.com/office/drawing/2010/main" val="0"/>
            </a:ext>
          </a:extLst>
        </a:blip>
        <a:srcRect/>
        <a:stretch>
          <a:fillRect/>
        </a:stretch>
      </xdr:blipFill>
      <xdr:spPr bwMode="auto">
        <a:xfrm>
          <a:off x="484414" y="17079686"/>
          <a:ext cx="2046515" cy="3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10886</xdr:colOff>
          <xdr:row>9</xdr:row>
          <xdr:rowOff>0</xdr:rowOff>
        </xdr:from>
        <xdr:to>
          <xdr:col>2</xdr:col>
          <xdr:colOff>81643</xdr:colOff>
          <xdr:row>11</xdr:row>
          <xdr:rowOff>57150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600-00000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10886</xdr:colOff>
          <xdr:row>9</xdr:row>
          <xdr:rowOff>0</xdr:rowOff>
        </xdr:from>
        <xdr:to>
          <xdr:col>3</xdr:col>
          <xdr:colOff>81643</xdr:colOff>
          <xdr:row>11</xdr:row>
          <xdr:rowOff>57150</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600-00000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9</xdr:row>
          <xdr:rowOff>0</xdr:rowOff>
        </xdr:from>
        <xdr:to>
          <xdr:col>4</xdr:col>
          <xdr:colOff>81643</xdr:colOff>
          <xdr:row>11</xdr:row>
          <xdr:rowOff>57150</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600-00000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11</xdr:row>
          <xdr:rowOff>46264</xdr:rowOff>
        </xdr:from>
        <xdr:to>
          <xdr:col>2</xdr:col>
          <xdr:colOff>81643</xdr:colOff>
          <xdr:row>13</xdr:row>
          <xdr:rowOff>46264</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600-00000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46264</xdr:rowOff>
        </xdr:from>
        <xdr:to>
          <xdr:col>3</xdr:col>
          <xdr:colOff>70757</xdr:colOff>
          <xdr:row>13</xdr:row>
          <xdr:rowOff>46264</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600-00000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11</xdr:row>
          <xdr:rowOff>46264</xdr:rowOff>
        </xdr:from>
        <xdr:to>
          <xdr:col>4</xdr:col>
          <xdr:colOff>81643</xdr:colOff>
          <xdr:row>13</xdr:row>
          <xdr:rowOff>46264</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600-00000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13</xdr:row>
          <xdr:rowOff>46264</xdr:rowOff>
        </xdr:from>
        <xdr:to>
          <xdr:col>2</xdr:col>
          <xdr:colOff>81643</xdr:colOff>
          <xdr:row>15</xdr:row>
          <xdr:rowOff>46264</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600-00000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46264</xdr:rowOff>
        </xdr:from>
        <xdr:to>
          <xdr:col>3</xdr:col>
          <xdr:colOff>70757</xdr:colOff>
          <xdr:row>15</xdr:row>
          <xdr:rowOff>46264</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0600-00000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13</xdr:row>
          <xdr:rowOff>46264</xdr:rowOff>
        </xdr:from>
        <xdr:to>
          <xdr:col>4</xdr:col>
          <xdr:colOff>81643</xdr:colOff>
          <xdr:row>15</xdr:row>
          <xdr:rowOff>46264</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600-00000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15</xdr:row>
          <xdr:rowOff>46264</xdr:rowOff>
        </xdr:from>
        <xdr:to>
          <xdr:col>2</xdr:col>
          <xdr:colOff>81643</xdr:colOff>
          <xdr:row>17</xdr:row>
          <xdr:rowOff>46264</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600-00000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46264</xdr:rowOff>
        </xdr:from>
        <xdr:to>
          <xdr:col>3</xdr:col>
          <xdr:colOff>70757</xdr:colOff>
          <xdr:row>17</xdr:row>
          <xdr:rowOff>46264</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0600-00000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15</xdr:row>
          <xdr:rowOff>46264</xdr:rowOff>
        </xdr:from>
        <xdr:to>
          <xdr:col>4</xdr:col>
          <xdr:colOff>81643</xdr:colOff>
          <xdr:row>17</xdr:row>
          <xdr:rowOff>46264</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600-00001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17</xdr:row>
          <xdr:rowOff>46264</xdr:rowOff>
        </xdr:from>
        <xdr:to>
          <xdr:col>2</xdr:col>
          <xdr:colOff>81643</xdr:colOff>
          <xdr:row>19</xdr:row>
          <xdr:rowOff>46264</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0600-00001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46264</xdr:rowOff>
        </xdr:from>
        <xdr:to>
          <xdr:col>3</xdr:col>
          <xdr:colOff>70757</xdr:colOff>
          <xdr:row>19</xdr:row>
          <xdr:rowOff>46264</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id="{00000000-0008-0000-0600-00001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17</xdr:row>
          <xdr:rowOff>46264</xdr:rowOff>
        </xdr:from>
        <xdr:to>
          <xdr:col>4</xdr:col>
          <xdr:colOff>81643</xdr:colOff>
          <xdr:row>19</xdr:row>
          <xdr:rowOff>46264</xdr:rowOff>
        </xdr:to>
        <xdr:sp macro="" textlink="">
          <xdr:nvSpPr>
            <xdr:cNvPr id="53267" name="Check Box 19" hidden="1">
              <a:extLst>
                <a:ext uri="{63B3BB69-23CF-44E3-9099-C40C66FF867C}">
                  <a14:compatExt spid="_x0000_s53267"/>
                </a:ext>
                <a:ext uri="{FF2B5EF4-FFF2-40B4-BE49-F238E27FC236}">
                  <a16:creationId xmlns:a16="http://schemas.microsoft.com/office/drawing/2014/main" id="{00000000-0008-0000-0600-00001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19</xdr:row>
          <xdr:rowOff>46264</xdr:rowOff>
        </xdr:from>
        <xdr:to>
          <xdr:col>2</xdr:col>
          <xdr:colOff>81643</xdr:colOff>
          <xdr:row>21</xdr:row>
          <xdr:rowOff>46264</xdr:rowOff>
        </xdr:to>
        <xdr:sp macro="" textlink="">
          <xdr:nvSpPr>
            <xdr:cNvPr id="53268" name="Check Box 20" hidden="1">
              <a:extLst>
                <a:ext uri="{63B3BB69-23CF-44E3-9099-C40C66FF867C}">
                  <a14:compatExt spid="_x0000_s53268"/>
                </a:ext>
                <a:ext uri="{FF2B5EF4-FFF2-40B4-BE49-F238E27FC236}">
                  <a16:creationId xmlns:a16="http://schemas.microsoft.com/office/drawing/2014/main" id="{00000000-0008-0000-0600-00001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46264</xdr:rowOff>
        </xdr:from>
        <xdr:to>
          <xdr:col>3</xdr:col>
          <xdr:colOff>70757</xdr:colOff>
          <xdr:row>21</xdr:row>
          <xdr:rowOff>46264</xdr:rowOff>
        </xdr:to>
        <xdr:sp macro="" textlink="">
          <xdr:nvSpPr>
            <xdr:cNvPr id="53269" name="Check Box 21" hidden="1">
              <a:extLst>
                <a:ext uri="{63B3BB69-23CF-44E3-9099-C40C66FF867C}">
                  <a14:compatExt spid="_x0000_s53269"/>
                </a:ext>
                <a:ext uri="{FF2B5EF4-FFF2-40B4-BE49-F238E27FC236}">
                  <a16:creationId xmlns:a16="http://schemas.microsoft.com/office/drawing/2014/main" id="{00000000-0008-0000-0600-00001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19</xdr:row>
          <xdr:rowOff>46264</xdr:rowOff>
        </xdr:from>
        <xdr:to>
          <xdr:col>4</xdr:col>
          <xdr:colOff>81643</xdr:colOff>
          <xdr:row>21</xdr:row>
          <xdr:rowOff>46264</xdr:rowOff>
        </xdr:to>
        <xdr:sp macro="" textlink="">
          <xdr:nvSpPr>
            <xdr:cNvPr id="53270" name="Check Box 22" hidden="1">
              <a:extLst>
                <a:ext uri="{63B3BB69-23CF-44E3-9099-C40C66FF867C}">
                  <a14:compatExt spid="_x0000_s53270"/>
                </a:ext>
                <a:ext uri="{FF2B5EF4-FFF2-40B4-BE49-F238E27FC236}">
                  <a16:creationId xmlns:a16="http://schemas.microsoft.com/office/drawing/2014/main" id="{00000000-0008-0000-0600-00001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21</xdr:row>
          <xdr:rowOff>46264</xdr:rowOff>
        </xdr:from>
        <xdr:to>
          <xdr:col>2</xdr:col>
          <xdr:colOff>81643</xdr:colOff>
          <xdr:row>23</xdr:row>
          <xdr:rowOff>46264</xdr:rowOff>
        </xdr:to>
        <xdr:sp macro="" textlink="">
          <xdr:nvSpPr>
            <xdr:cNvPr id="53271" name="Check Box 23" hidden="1">
              <a:extLst>
                <a:ext uri="{63B3BB69-23CF-44E3-9099-C40C66FF867C}">
                  <a14:compatExt spid="_x0000_s53271"/>
                </a:ext>
                <a:ext uri="{FF2B5EF4-FFF2-40B4-BE49-F238E27FC236}">
                  <a16:creationId xmlns:a16="http://schemas.microsoft.com/office/drawing/2014/main" id="{00000000-0008-0000-0600-00001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46264</xdr:rowOff>
        </xdr:from>
        <xdr:to>
          <xdr:col>3</xdr:col>
          <xdr:colOff>70757</xdr:colOff>
          <xdr:row>23</xdr:row>
          <xdr:rowOff>46264</xdr:rowOff>
        </xdr:to>
        <xdr:sp macro="" textlink="">
          <xdr:nvSpPr>
            <xdr:cNvPr id="53272" name="Check Box 24" hidden="1">
              <a:extLst>
                <a:ext uri="{63B3BB69-23CF-44E3-9099-C40C66FF867C}">
                  <a14:compatExt spid="_x0000_s53272"/>
                </a:ext>
                <a:ext uri="{FF2B5EF4-FFF2-40B4-BE49-F238E27FC236}">
                  <a16:creationId xmlns:a16="http://schemas.microsoft.com/office/drawing/2014/main" id="{00000000-0008-0000-0600-00001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21</xdr:row>
          <xdr:rowOff>46264</xdr:rowOff>
        </xdr:from>
        <xdr:to>
          <xdr:col>4</xdr:col>
          <xdr:colOff>81643</xdr:colOff>
          <xdr:row>23</xdr:row>
          <xdr:rowOff>46264</xdr:rowOff>
        </xdr:to>
        <xdr:sp macro="" textlink="">
          <xdr:nvSpPr>
            <xdr:cNvPr id="53273" name="Check Box 25" hidden="1">
              <a:extLst>
                <a:ext uri="{63B3BB69-23CF-44E3-9099-C40C66FF867C}">
                  <a14:compatExt spid="_x0000_s53273"/>
                </a:ext>
                <a:ext uri="{FF2B5EF4-FFF2-40B4-BE49-F238E27FC236}">
                  <a16:creationId xmlns:a16="http://schemas.microsoft.com/office/drawing/2014/main" id="{00000000-0008-0000-0600-00001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23</xdr:row>
          <xdr:rowOff>46264</xdr:rowOff>
        </xdr:from>
        <xdr:to>
          <xdr:col>2</xdr:col>
          <xdr:colOff>81643</xdr:colOff>
          <xdr:row>25</xdr:row>
          <xdr:rowOff>46264</xdr:rowOff>
        </xdr:to>
        <xdr:sp macro="" textlink="">
          <xdr:nvSpPr>
            <xdr:cNvPr id="53274" name="Check Box 26" hidden="1">
              <a:extLst>
                <a:ext uri="{63B3BB69-23CF-44E3-9099-C40C66FF867C}">
                  <a14:compatExt spid="_x0000_s53274"/>
                </a:ext>
                <a:ext uri="{FF2B5EF4-FFF2-40B4-BE49-F238E27FC236}">
                  <a16:creationId xmlns:a16="http://schemas.microsoft.com/office/drawing/2014/main" id="{00000000-0008-0000-0600-00001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46264</xdr:rowOff>
        </xdr:from>
        <xdr:to>
          <xdr:col>3</xdr:col>
          <xdr:colOff>70757</xdr:colOff>
          <xdr:row>25</xdr:row>
          <xdr:rowOff>46264</xdr:rowOff>
        </xdr:to>
        <xdr:sp macro="" textlink="">
          <xdr:nvSpPr>
            <xdr:cNvPr id="53275" name="Check Box 27" hidden="1">
              <a:extLst>
                <a:ext uri="{63B3BB69-23CF-44E3-9099-C40C66FF867C}">
                  <a14:compatExt spid="_x0000_s53275"/>
                </a:ext>
                <a:ext uri="{FF2B5EF4-FFF2-40B4-BE49-F238E27FC236}">
                  <a16:creationId xmlns:a16="http://schemas.microsoft.com/office/drawing/2014/main" id="{00000000-0008-0000-0600-00001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23</xdr:row>
          <xdr:rowOff>46264</xdr:rowOff>
        </xdr:from>
        <xdr:to>
          <xdr:col>4</xdr:col>
          <xdr:colOff>81643</xdr:colOff>
          <xdr:row>25</xdr:row>
          <xdr:rowOff>46264</xdr:rowOff>
        </xdr:to>
        <xdr:sp macro="" textlink="">
          <xdr:nvSpPr>
            <xdr:cNvPr id="53276" name="Check Box 28" hidden="1">
              <a:extLst>
                <a:ext uri="{63B3BB69-23CF-44E3-9099-C40C66FF867C}">
                  <a14:compatExt spid="_x0000_s53276"/>
                </a:ext>
                <a:ext uri="{FF2B5EF4-FFF2-40B4-BE49-F238E27FC236}">
                  <a16:creationId xmlns:a16="http://schemas.microsoft.com/office/drawing/2014/main" id="{00000000-0008-0000-0600-00001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25</xdr:row>
          <xdr:rowOff>46264</xdr:rowOff>
        </xdr:from>
        <xdr:to>
          <xdr:col>2</xdr:col>
          <xdr:colOff>81643</xdr:colOff>
          <xdr:row>27</xdr:row>
          <xdr:rowOff>46264</xdr:rowOff>
        </xdr:to>
        <xdr:sp macro="" textlink="">
          <xdr:nvSpPr>
            <xdr:cNvPr id="53277" name="Check Box 29" hidden="1">
              <a:extLst>
                <a:ext uri="{63B3BB69-23CF-44E3-9099-C40C66FF867C}">
                  <a14:compatExt spid="_x0000_s53277"/>
                </a:ext>
                <a:ext uri="{FF2B5EF4-FFF2-40B4-BE49-F238E27FC236}">
                  <a16:creationId xmlns:a16="http://schemas.microsoft.com/office/drawing/2014/main" id="{00000000-0008-0000-0600-00001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46264</xdr:rowOff>
        </xdr:from>
        <xdr:to>
          <xdr:col>3</xdr:col>
          <xdr:colOff>70757</xdr:colOff>
          <xdr:row>27</xdr:row>
          <xdr:rowOff>46264</xdr:rowOff>
        </xdr:to>
        <xdr:sp macro="" textlink="">
          <xdr:nvSpPr>
            <xdr:cNvPr id="53278" name="Check Box 30" hidden="1">
              <a:extLst>
                <a:ext uri="{63B3BB69-23CF-44E3-9099-C40C66FF867C}">
                  <a14:compatExt spid="_x0000_s53278"/>
                </a:ext>
                <a:ext uri="{FF2B5EF4-FFF2-40B4-BE49-F238E27FC236}">
                  <a16:creationId xmlns:a16="http://schemas.microsoft.com/office/drawing/2014/main" id="{00000000-0008-0000-0600-00001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25</xdr:row>
          <xdr:rowOff>46264</xdr:rowOff>
        </xdr:from>
        <xdr:to>
          <xdr:col>4</xdr:col>
          <xdr:colOff>81643</xdr:colOff>
          <xdr:row>27</xdr:row>
          <xdr:rowOff>46264</xdr:rowOff>
        </xdr:to>
        <xdr:sp macro="" textlink="">
          <xdr:nvSpPr>
            <xdr:cNvPr id="53279" name="Check Box 31" hidden="1">
              <a:extLst>
                <a:ext uri="{63B3BB69-23CF-44E3-9099-C40C66FF867C}">
                  <a14:compatExt spid="_x0000_s53279"/>
                </a:ext>
                <a:ext uri="{FF2B5EF4-FFF2-40B4-BE49-F238E27FC236}">
                  <a16:creationId xmlns:a16="http://schemas.microsoft.com/office/drawing/2014/main" id="{00000000-0008-0000-0600-00001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28</xdr:row>
          <xdr:rowOff>46264</xdr:rowOff>
        </xdr:from>
        <xdr:to>
          <xdr:col>2</xdr:col>
          <xdr:colOff>81643</xdr:colOff>
          <xdr:row>30</xdr:row>
          <xdr:rowOff>46264</xdr:rowOff>
        </xdr:to>
        <xdr:sp macro="" textlink="">
          <xdr:nvSpPr>
            <xdr:cNvPr id="53280" name="Check Box 32" hidden="1">
              <a:extLst>
                <a:ext uri="{63B3BB69-23CF-44E3-9099-C40C66FF867C}">
                  <a14:compatExt spid="_x0000_s53280"/>
                </a:ext>
                <a:ext uri="{FF2B5EF4-FFF2-40B4-BE49-F238E27FC236}">
                  <a16:creationId xmlns:a16="http://schemas.microsoft.com/office/drawing/2014/main" id="{00000000-0008-0000-0600-00002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46264</xdr:rowOff>
        </xdr:from>
        <xdr:to>
          <xdr:col>3</xdr:col>
          <xdr:colOff>70757</xdr:colOff>
          <xdr:row>30</xdr:row>
          <xdr:rowOff>46264</xdr:rowOff>
        </xdr:to>
        <xdr:sp macro="" textlink="">
          <xdr:nvSpPr>
            <xdr:cNvPr id="53281" name="Check Box 33" hidden="1">
              <a:extLst>
                <a:ext uri="{63B3BB69-23CF-44E3-9099-C40C66FF867C}">
                  <a14:compatExt spid="_x0000_s53281"/>
                </a:ext>
                <a:ext uri="{FF2B5EF4-FFF2-40B4-BE49-F238E27FC236}">
                  <a16:creationId xmlns:a16="http://schemas.microsoft.com/office/drawing/2014/main" id="{00000000-0008-0000-0600-00002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28</xdr:row>
          <xdr:rowOff>46264</xdr:rowOff>
        </xdr:from>
        <xdr:to>
          <xdr:col>4</xdr:col>
          <xdr:colOff>81643</xdr:colOff>
          <xdr:row>30</xdr:row>
          <xdr:rowOff>46264</xdr:rowOff>
        </xdr:to>
        <xdr:sp macro="" textlink="">
          <xdr:nvSpPr>
            <xdr:cNvPr id="53282" name="Check Box 34" hidden="1">
              <a:extLst>
                <a:ext uri="{63B3BB69-23CF-44E3-9099-C40C66FF867C}">
                  <a14:compatExt spid="_x0000_s53282"/>
                </a:ext>
                <a:ext uri="{FF2B5EF4-FFF2-40B4-BE49-F238E27FC236}">
                  <a16:creationId xmlns:a16="http://schemas.microsoft.com/office/drawing/2014/main" id="{00000000-0008-0000-0600-00002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30</xdr:row>
          <xdr:rowOff>46264</xdr:rowOff>
        </xdr:from>
        <xdr:to>
          <xdr:col>2</xdr:col>
          <xdr:colOff>81643</xdr:colOff>
          <xdr:row>32</xdr:row>
          <xdr:rowOff>46264</xdr:rowOff>
        </xdr:to>
        <xdr:sp macro="" textlink="">
          <xdr:nvSpPr>
            <xdr:cNvPr id="53283" name="Check Box 35" hidden="1">
              <a:extLst>
                <a:ext uri="{63B3BB69-23CF-44E3-9099-C40C66FF867C}">
                  <a14:compatExt spid="_x0000_s53283"/>
                </a:ext>
                <a:ext uri="{FF2B5EF4-FFF2-40B4-BE49-F238E27FC236}">
                  <a16:creationId xmlns:a16="http://schemas.microsoft.com/office/drawing/2014/main" id="{00000000-0008-0000-0600-00002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46264</xdr:rowOff>
        </xdr:from>
        <xdr:to>
          <xdr:col>3</xdr:col>
          <xdr:colOff>70757</xdr:colOff>
          <xdr:row>32</xdr:row>
          <xdr:rowOff>46264</xdr:rowOff>
        </xdr:to>
        <xdr:sp macro="" textlink="">
          <xdr:nvSpPr>
            <xdr:cNvPr id="53284" name="Check Box 36" hidden="1">
              <a:extLst>
                <a:ext uri="{63B3BB69-23CF-44E3-9099-C40C66FF867C}">
                  <a14:compatExt spid="_x0000_s53284"/>
                </a:ext>
                <a:ext uri="{FF2B5EF4-FFF2-40B4-BE49-F238E27FC236}">
                  <a16:creationId xmlns:a16="http://schemas.microsoft.com/office/drawing/2014/main" id="{00000000-0008-0000-0600-00002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30</xdr:row>
          <xdr:rowOff>46264</xdr:rowOff>
        </xdr:from>
        <xdr:to>
          <xdr:col>4</xdr:col>
          <xdr:colOff>81643</xdr:colOff>
          <xdr:row>32</xdr:row>
          <xdr:rowOff>46264</xdr:rowOff>
        </xdr:to>
        <xdr:sp macro="" textlink="">
          <xdr:nvSpPr>
            <xdr:cNvPr id="53285" name="Check Box 37" hidden="1">
              <a:extLst>
                <a:ext uri="{63B3BB69-23CF-44E3-9099-C40C66FF867C}">
                  <a14:compatExt spid="_x0000_s53285"/>
                </a:ext>
                <a:ext uri="{FF2B5EF4-FFF2-40B4-BE49-F238E27FC236}">
                  <a16:creationId xmlns:a16="http://schemas.microsoft.com/office/drawing/2014/main" id="{00000000-0008-0000-0600-00002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32</xdr:row>
          <xdr:rowOff>46264</xdr:rowOff>
        </xdr:from>
        <xdr:to>
          <xdr:col>2</xdr:col>
          <xdr:colOff>81643</xdr:colOff>
          <xdr:row>34</xdr:row>
          <xdr:rowOff>46264</xdr:rowOff>
        </xdr:to>
        <xdr:sp macro="" textlink="">
          <xdr:nvSpPr>
            <xdr:cNvPr id="53286" name="Check Box 38" hidden="1">
              <a:extLst>
                <a:ext uri="{63B3BB69-23CF-44E3-9099-C40C66FF867C}">
                  <a14:compatExt spid="_x0000_s53286"/>
                </a:ext>
                <a:ext uri="{FF2B5EF4-FFF2-40B4-BE49-F238E27FC236}">
                  <a16:creationId xmlns:a16="http://schemas.microsoft.com/office/drawing/2014/main" id="{00000000-0008-0000-0600-00002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46264</xdr:rowOff>
        </xdr:from>
        <xdr:to>
          <xdr:col>3</xdr:col>
          <xdr:colOff>70757</xdr:colOff>
          <xdr:row>34</xdr:row>
          <xdr:rowOff>46264</xdr:rowOff>
        </xdr:to>
        <xdr:sp macro="" textlink="">
          <xdr:nvSpPr>
            <xdr:cNvPr id="53287" name="Check Box 39" hidden="1">
              <a:extLst>
                <a:ext uri="{63B3BB69-23CF-44E3-9099-C40C66FF867C}">
                  <a14:compatExt spid="_x0000_s53287"/>
                </a:ext>
                <a:ext uri="{FF2B5EF4-FFF2-40B4-BE49-F238E27FC236}">
                  <a16:creationId xmlns:a16="http://schemas.microsoft.com/office/drawing/2014/main" id="{00000000-0008-0000-0600-00002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32</xdr:row>
          <xdr:rowOff>46264</xdr:rowOff>
        </xdr:from>
        <xdr:to>
          <xdr:col>4</xdr:col>
          <xdr:colOff>81643</xdr:colOff>
          <xdr:row>34</xdr:row>
          <xdr:rowOff>46264</xdr:rowOff>
        </xdr:to>
        <xdr:sp macro="" textlink="">
          <xdr:nvSpPr>
            <xdr:cNvPr id="53288" name="Check Box 40" hidden="1">
              <a:extLst>
                <a:ext uri="{63B3BB69-23CF-44E3-9099-C40C66FF867C}">
                  <a14:compatExt spid="_x0000_s53288"/>
                </a:ext>
                <a:ext uri="{FF2B5EF4-FFF2-40B4-BE49-F238E27FC236}">
                  <a16:creationId xmlns:a16="http://schemas.microsoft.com/office/drawing/2014/main" id="{00000000-0008-0000-0600-00002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34</xdr:row>
          <xdr:rowOff>46264</xdr:rowOff>
        </xdr:from>
        <xdr:to>
          <xdr:col>2</xdr:col>
          <xdr:colOff>81643</xdr:colOff>
          <xdr:row>36</xdr:row>
          <xdr:rowOff>46264</xdr:rowOff>
        </xdr:to>
        <xdr:sp macro="" textlink="">
          <xdr:nvSpPr>
            <xdr:cNvPr id="53289" name="Check Box 41" hidden="1">
              <a:extLst>
                <a:ext uri="{63B3BB69-23CF-44E3-9099-C40C66FF867C}">
                  <a14:compatExt spid="_x0000_s53289"/>
                </a:ext>
                <a:ext uri="{FF2B5EF4-FFF2-40B4-BE49-F238E27FC236}">
                  <a16:creationId xmlns:a16="http://schemas.microsoft.com/office/drawing/2014/main" id="{00000000-0008-0000-0600-00002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46264</xdr:rowOff>
        </xdr:from>
        <xdr:to>
          <xdr:col>3</xdr:col>
          <xdr:colOff>70757</xdr:colOff>
          <xdr:row>36</xdr:row>
          <xdr:rowOff>46264</xdr:rowOff>
        </xdr:to>
        <xdr:sp macro="" textlink="">
          <xdr:nvSpPr>
            <xdr:cNvPr id="53290" name="Check Box 42" hidden="1">
              <a:extLst>
                <a:ext uri="{63B3BB69-23CF-44E3-9099-C40C66FF867C}">
                  <a14:compatExt spid="_x0000_s53290"/>
                </a:ext>
                <a:ext uri="{FF2B5EF4-FFF2-40B4-BE49-F238E27FC236}">
                  <a16:creationId xmlns:a16="http://schemas.microsoft.com/office/drawing/2014/main" id="{00000000-0008-0000-0600-00002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34</xdr:row>
          <xdr:rowOff>46264</xdr:rowOff>
        </xdr:from>
        <xdr:to>
          <xdr:col>4</xdr:col>
          <xdr:colOff>81643</xdr:colOff>
          <xdr:row>36</xdr:row>
          <xdr:rowOff>46264</xdr:rowOff>
        </xdr:to>
        <xdr:sp macro="" textlink="">
          <xdr:nvSpPr>
            <xdr:cNvPr id="53291" name="Check Box 43" hidden="1">
              <a:extLst>
                <a:ext uri="{63B3BB69-23CF-44E3-9099-C40C66FF867C}">
                  <a14:compatExt spid="_x0000_s53291"/>
                </a:ext>
                <a:ext uri="{FF2B5EF4-FFF2-40B4-BE49-F238E27FC236}">
                  <a16:creationId xmlns:a16="http://schemas.microsoft.com/office/drawing/2014/main" id="{00000000-0008-0000-0600-00002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36</xdr:row>
          <xdr:rowOff>46264</xdr:rowOff>
        </xdr:from>
        <xdr:to>
          <xdr:col>2</xdr:col>
          <xdr:colOff>81643</xdr:colOff>
          <xdr:row>38</xdr:row>
          <xdr:rowOff>46264</xdr:rowOff>
        </xdr:to>
        <xdr:sp macro="" textlink="">
          <xdr:nvSpPr>
            <xdr:cNvPr id="53292" name="Check Box 44" hidden="1">
              <a:extLst>
                <a:ext uri="{63B3BB69-23CF-44E3-9099-C40C66FF867C}">
                  <a14:compatExt spid="_x0000_s53292"/>
                </a:ext>
                <a:ext uri="{FF2B5EF4-FFF2-40B4-BE49-F238E27FC236}">
                  <a16:creationId xmlns:a16="http://schemas.microsoft.com/office/drawing/2014/main" id="{00000000-0008-0000-0600-00002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46264</xdr:rowOff>
        </xdr:from>
        <xdr:to>
          <xdr:col>3</xdr:col>
          <xdr:colOff>70757</xdr:colOff>
          <xdr:row>38</xdr:row>
          <xdr:rowOff>46264</xdr:rowOff>
        </xdr:to>
        <xdr:sp macro="" textlink="">
          <xdr:nvSpPr>
            <xdr:cNvPr id="53293" name="Check Box 45" hidden="1">
              <a:extLst>
                <a:ext uri="{63B3BB69-23CF-44E3-9099-C40C66FF867C}">
                  <a14:compatExt spid="_x0000_s53293"/>
                </a:ext>
                <a:ext uri="{FF2B5EF4-FFF2-40B4-BE49-F238E27FC236}">
                  <a16:creationId xmlns:a16="http://schemas.microsoft.com/office/drawing/2014/main" id="{00000000-0008-0000-0600-00002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36</xdr:row>
          <xdr:rowOff>46264</xdr:rowOff>
        </xdr:from>
        <xdr:to>
          <xdr:col>4</xdr:col>
          <xdr:colOff>81643</xdr:colOff>
          <xdr:row>38</xdr:row>
          <xdr:rowOff>46264</xdr:rowOff>
        </xdr:to>
        <xdr:sp macro="" textlink="">
          <xdr:nvSpPr>
            <xdr:cNvPr id="53294" name="Check Box 46" hidden="1">
              <a:extLst>
                <a:ext uri="{63B3BB69-23CF-44E3-9099-C40C66FF867C}">
                  <a14:compatExt spid="_x0000_s53294"/>
                </a:ext>
                <a:ext uri="{FF2B5EF4-FFF2-40B4-BE49-F238E27FC236}">
                  <a16:creationId xmlns:a16="http://schemas.microsoft.com/office/drawing/2014/main" id="{00000000-0008-0000-0600-00002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38</xdr:row>
          <xdr:rowOff>46264</xdr:rowOff>
        </xdr:from>
        <xdr:to>
          <xdr:col>2</xdr:col>
          <xdr:colOff>81643</xdr:colOff>
          <xdr:row>40</xdr:row>
          <xdr:rowOff>46264</xdr:rowOff>
        </xdr:to>
        <xdr:sp macro="" textlink="">
          <xdr:nvSpPr>
            <xdr:cNvPr id="53295" name="Check Box 47" hidden="1">
              <a:extLst>
                <a:ext uri="{63B3BB69-23CF-44E3-9099-C40C66FF867C}">
                  <a14:compatExt spid="_x0000_s53295"/>
                </a:ext>
                <a:ext uri="{FF2B5EF4-FFF2-40B4-BE49-F238E27FC236}">
                  <a16:creationId xmlns:a16="http://schemas.microsoft.com/office/drawing/2014/main" id="{00000000-0008-0000-0600-00002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46264</xdr:rowOff>
        </xdr:from>
        <xdr:to>
          <xdr:col>3</xdr:col>
          <xdr:colOff>70757</xdr:colOff>
          <xdr:row>40</xdr:row>
          <xdr:rowOff>46264</xdr:rowOff>
        </xdr:to>
        <xdr:sp macro="" textlink="">
          <xdr:nvSpPr>
            <xdr:cNvPr id="53296" name="Check Box 48" hidden="1">
              <a:extLst>
                <a:ext uri="{63B3BB69-23CF-44E3-9099-C40C66FF867C}">
                  <a14:compatExt spid="_x0000_s53296"/>
                </a:ext>
                <a:ext uri="{FF2B5EF4-FFF2-40B4-BE49-F238E27FC236}">
                  <a16:creationId xmlns:a16="http://schemas.microsoft.com/office/drawing/2014/main" id="{00000000-0008-0000-0600-00003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38</xdr:row>
          <xdr:rowOff>46264</xdr:rowOff>
        </xdr:from>
        <xdr:to>
          <xdr:col>4</xdr:col>
          <xdr:colOff>81643</xdr:colOff>
          <xdr:row>40</xdr:row>
          <xdr:rowOff>46264</xdr:rowOff>
        </xdr:to>
        <xdr:sp macro="" textlink="">
          <xdr:nvSpPr>
            <xdr:cNvPr id="53297" name="Check Box 49" hidden="1">
              <a:extLst>
                <a:ext uri="{63B3BB69-23CF-44E3-9099-C40C66FF867C}">
                  <a14:compatExt spid="_x0000_s53297"/>
                </a:ext>
                <a:ext uri="{FF2B5EF4-FFF2-40B4-BE49-F238E27FC236}">
                  <a16:creationId xmlns:a16="http://schemas.microsoft.com/office/drawing/2014/main" id="{00000000-0008-0000-0600-00003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40</xdr:row>
          <xdr:rowOff>46264</xdr:rowOff>
        </xdr:from>
        <xdr:to>
          <xdr:col>2</xdr:col>
          <xdr:colOff>81643</xdr:colOff>
          <xdr:row>42</xdr:row>
          <xdr:rowOff>46264</xdr:rowOff>
        </xdr:to>
        <xdr:sp macro="" textlink="">
          <xdr:nvSpPr>
            <xdr:cNvPr id="53298" name="Check Box 50" hidden="1">
              <a:extLst>
                <a:ext uri="{63B3BB69-23CF-44E3-9099-C40C66FF867C}">
                  <a14:compatExt spid="_x0000_s53298"/>
                </a:ext>
                <a:ext uri="{FF2B5EF4-FFF2-40B4-BE49-F238E27FC236}">
                  <a16:creationId xmlns:a16="http://schemas.microsoft.com/office/drawing/2014/main" id="{00000000-0008-0000-0600-00003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40</xdr:row>
          <xdr:rowOff>46264</xdr:rowOff>
        </xdr:from>
        <xdr:to>
          <xdr:col>3</xdr:col>
          <xdr:colOff>70757</xdr:colOff>
          <xdr:row>42</xdr:row>
          <xdr:rowOff>46264</xdr:rowOff>
        </xdr:to>
        <xdr:sp macro="" textlink="">
          <xdr:nvSpPr>
            <xdr:cNvPr id="53299" name="Check Box 51" hidden="1">
              <a:extLst>
                <a:ext uri="{63B3BB69-23CF-44E3-9099-C40C66FF867C}">
                  <a14:compatExt spid="_x0000_s53299"/>
                </a:ext>
                <a:ext uri="{FF2B5EF4-FFF2-40B4-BE49-F238E27FC236}">
                  <a16:creationId xmlns:a16="http://schemas.microsoft.com/office/drawing/2014/main" id="{00000000-0008-0000-0600-00003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40</xdr:row>
          <xdr:rowOff>46264</xdr:rowOff>
        </xdr:from>
        <xdr:to>
          <xdr:col>4</xdr:col>
          <xdr:colOff>81643</xdr:colOff>
          <xdr:row>42</xdr:row>
          <xdr:rowOff>46264</xdr:rowOff>
        </xdr:to>
        <xdr:sp macro="" textlink="">
          <xdr:nvSpPr>
            <xdr:cNvPr id="53300" name="Check Box 52" hidden="1">
              <a:extLst>
                <a:ext uri="{63B3BB69-23CF-44E3-9099-C40C66FF867C}">
                  <a14:compatExt spid="_x0000_s53300"/>
                </a:ext>
                <a:ext uri="{FF2B5EF4-FFF2-40B4-BE49-F238E27FC236}">
                  <a16:creationId xmlns:a16="http://schemas.microsoft.com/office/drawing/2014/main" id="{00000000-0008-0000-0600-00003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42</xdr:row>
          <xdr:rowOff>46264</xdr:rowOff>
        </xdr:from>
        <xdr:to>
          <xdr:col>2</xdr:col>
          <xdr:colOff>81643</xdr:colOff>
          <xdr:row>44</xdr:row>
          <xdr:rowOff>46264</xdr:rowOff>
        </xdr:to>
        <xdr:sp macro="" textlink="">
          <xdr:nvSpPr>
            <xdr:cNvPr id="53301" name="Check Box 53" hidden="1">
              <a:extLst>
                <a:ext uri="{63B3BB69-23CF-44E3-9099-C40C66FF867C}">
                  <a14:compatExt spid="_x0000_s53301"/>
                </a:ext>
                <a:ext uri="{FF2B5EF4-FFF2-40B4-BE49-F238E27FC236}">
                  <a16:creationId xmlns:a16="http://schemas.microsoft.com/office/drawing/2014/main" id="{00000000-0008-0000-0600-00003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46264</xdr:rowOff>
        </xdr:from>
        <xdr:to>
          <xdr:col>3</xdr:col>
          <xdr:colOff>70757</xdr:colOff>
          <xdr:row>44</xdr:row>
          <xdr:rowOff>46264</xdr:rowOff>
        </xdr:to>
        <xdr:sp macro="" textlink="">
          <xdr:nvSpPr>
            <xdr:cNvPr id="53302" name="Check Box 54" hidden="1">
              <a:extLst>
                <a:ext uri="{63B3BB69-23CF-44E3-9099-C40C66FF867C}">
                  <a14:compatExt spid="_x0000_s53302"/>
                </a:ext>
                <a:ext uri="{FF2B5EF4-FFF2-40B4-BE49-F238E27FC236}">
                  <a16:creationId xmlns:a16="http://schemas.microsoft.com/office/drawing/2014/main" id="{00000000-0008-0000-0600-00003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42</xdr:row>
          <xdr:rowOff>46264</xdr:rowOff>
        </xdr:from>
        <xdr:to>
          <xdr:col>4</xdr:col>
          <xdr:colOff>81643</xdr:colOff>
          <xdr:row>44</xdr:row>
          <xdr:rowOff>46264</xdr:rowOff>
        </xdr:to>
        <xdr:sp macro="" textlink="">
          <xdr:nvSpPr>
            <xdr:cNvPr id="53303" name="Check Box 55" hidden="1">
              <a:extLst>
                <a:ext uri="{63B3BB69-23CF-44E3-9099-C40C66FF867C}">
                  <a14:compatExt spid="_x0000_s53303"/>
                </a:ext>
                <a:ext uri="{FF2B5EF4-FFF2-40B4-BE49-F238E27FC236}">
                  <a16:creationId xmlns:a16="http://schemas.microsoft.com/office/drawing/2014/main" id="{00000000-0008-0000-0600-00003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44</xdr:row>
          <xdr:rowOff>46264</xdr:rowOff>
        </xdr:from>
        <xdr:to>
          <xdr:col>2</xdr:col>
          <xdr:colOff>81643</xdr:colOff>
          <xdr:row>46</xdr:row>
          <xdr:rowOff>46264</xdr:rowOff>
        </xdr:to>
        <xdr:sp macro="" textlink="">
          <xdr:nvSpPr>
            <xdr:cNvPr id="53304" name="Check Box 56" hidden="1">
              <a:extLst>
                <a:ext uri="{63B3BB69-23CF-44E3-9099-C40C66FF867C}">
                  <a14:compatExt spid="_x0000_s53304"/>
                </a:ext>
                <a:ext uri="{FF2B5EF4-FFF2-40B4-BE49-F238E27FC236}">
                  <a16:creationId xmlns:a16="http://schemas.microsoft.com/office/drawing/2014/main" id="{00000000-0008-0000-0600-00003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44</xdr:row>
          <xdr:rowOff>46264</xdr:rowOff>
        </xdr:from>
        <xdr:to>
          <xdr:col>3</xdr:col>
          <xdr:colOff>70757</xdr:colOff>
          <xdr:row>46</xdr:row>
          <xdr:rowOff>46264</xdr:rowOff>
        </xdr:to>
        <xdr:sp macro="" textlink="">
          <xdr:nvSpPr>
            <xdr:cNvPr id="53305" name="Check Box 57" hidden="1">
              <a:extLst>
                <a:ext uri="{63B3BB69-23CF-44E3-9099-C40C66FF867C}">
                  <a14:compatExt spid="_x0000_s53305"/>
                </a:ext>
                <a:ext uri="{FF2B5EF4-FFF2-40B4-BE49-F238E27FC236}">
                  <a16:creationId xmlns:a16="http://schemas.microsoft.com/office/drawing/2014/main" id="{00000000-0008-0000-0600-00003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44</xdr:row>
          <xdr:rowOff>46264</xdr:rowOff>
        </xdr:from>
        <xdr:to>
          <xdr:col>4</xdr:col>
          <xdr:colOff>81643</xdr:colOff>
          <xdr:row>46</xdr:row>
          <xdr:rowOff>46264</xdr:rowOff>
        </xdr:to>
        <xdr:sp macro="" textlink="">
          <xdr:nvSpPr>
            <xdr:cNvPr id="53306" name="Check Box 58" hidden="1">
              <a:extLst>
                <a:ext uri="{63B3BB69-23CF-44E3-9099-C40C66FF867C}">
                  <a14:compatExt spid="_x0000_s53306"/>
                </a:ext>
                <a:ext uri="{FF2B5EF4-FFF2-40B4-BE49-F238E27FC236}">
                  <a16:creationId xmlns:a16="http://schemas.microsoft.com/office/drawing/2014/main" id="{00000000-0008-0000-0600-00003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46</xdr:row>
          <xdr:rowOff>46264</xdr:rowOff>
        </xdr:from>
        <xdr:to>
          <xdr:col>2</xdr:col>
          <xdr:colOff>81643</xdr:colOff>
          <xdr:row>48</xdr:row>
          <xdr:rowOff>46264</xdr:rowOff>
        </xdr:to>
        <xdr:sp macro="" textlink="">
          <xdr:nvSpPr>
            <xdr:cNvPr id="53307" name="Check Box 59" hidden="1">
              <a:extLst>
                <a:ext uri="{63B3BB69-23CF-44E3-9099-C40C66FF867C}">
                  <a14:compatExt spid="_x0000_s53307"/>
                </a:ext>
                <a:ext uri="{FF2B5EF4-FFF2-40B4-BE49-F238E27FC236}">
                  <a16:creationId xmlns:a16="http://schemas.microsoft.com/office/drawing/2014/main" id="{00000000-0008-0000-0600-00003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46</xdr:row>
          <xdr:rowOff>46264</xdr:rowOff>
        </xdr:from>
        <xdr:to>
          <xdr:col>3</xdr:col>
          <xdr:colOff>70757</xdr:colOff>
          <xdr:row>48</xdr:row>
          <xdr:rowOff>46264</xdr:rowOff>
        </xdr:to>
        <xdr:sp macro="" textlink="">
          <xdr:nvSpPr>
            <xdr:cNvPr id="53308" name="Check Box 60" hidden="1">
              <a:extLst>
                <a:ext uri="{63B3BB69-23CF-44E3-9099-C40C66FF867C}">
                  <a14:compatExt spid="_x0000_s53308"/>
                </a:ext>
                <a:ext uri="{FF2B5EF4-FFF2-40B4-BE49-F238E27FC236}">
                  <a16:creationId xmlns:a16="http://schemas.microsoft.com/office/drawing/2014/main" id="{00000000-0008-0000-0600-00003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46</xdr:row>
          <xdr:rowOff>46264</xdr:rowOff>
        </xdr:from>
        <xdr:to>
          <xdr:col>4</xdr:col>
          <xdr:colOff>81643</xdr:colOff>
          <xdr:row>48</xdr:row>
          <xdr:rowOff>46264</xdr:rowOff>
        </xdr:to>
        <xdr:sp macro="" textlink="">
          <xdr:nvSpPr>
            <xdr:cNvPr id="53309" name="Check Box 61" hidden="1">
              <a:extLst>
                <a:ext uri="{63B3BB69-23CF-44E3-9099-C40C66FF867C}">
                  <a14:compatExt spid="_x0000_s53309"/>
                </a:ext>
                <a:ext uri="{FF2B5EF4-FFF2-40B4-BE49-F238E27FC236}">
                  <a16:creationId xmlns:a16="http://schemas.microsoft.com/office/drawing/2014/main" id="{00000000-0008-0000-0600-00003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48</xdr:row>
          <xdr:rowOff>46264</xdr:rowOff>
        </xdr:from>
        <xdr:to>
          <xdr:col>2</xdr:col>
          <xdr:colOff>81643</xdr:colOff>
          <xdr:row>50</xdr:row>
          <xdr:rowOff>46264</xdr:rowOff>
        </xdr:to>
        <xdr:sp macro="" textlink="">
          <xdr:nvSpPr>
            <xdr:cNvPr id="53310" name="Check Box 62" hidden="1">
              <a:extLst>
                <a:ext uri="{63B3BB69-23CF-44E3-9099-C40C66FF867C}">
                  <a14:compatExt spid="_x0000_s53310"/>
                </a:ext>
                <a:ext uri="{FF2B5EF4-FFF2-40B4-BE49-F238E27FC236}">
                  <a16:creationId xmlns:a16="http://schemas.microsoft.com/office/drawing/2014/main" id="{00000000-0008-0000-0600-00003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46264</xdr:rowOff>
        </xdr:from>
        <xdr:to>
          <xdr:col>3</xdr:col>
          <xdr:colOff>70757</xdr:colOff>
          <xdr:row>50</xdr:row>
          <xdr:rowOff>46264</xdr:rowOff>
        </xdr:to>
        <xdr:sp macro="" textlink="">
          <xdr:nvSpPr>
            <xdr:cNvPr id="53311" name="Check Box 63" hidden="1">
              <a:extLst>
                <a:ext uri="{63B3BB69-23CF-44E3-9099-C40C66FF867C}">
                  <a14:compatExt spid="_x0000_s53311"/>
                </a:ext>
                <a:ext uri="{FF2B5EF4-FFF2-40B4-BE49-F238E27FC236}">
                  <a16:creationId xmlns:a16="http://schemas.microsoft.com/office/drawing/2014/main" id="{00000000-0008-0000-0600-00003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48</xdr:row>
          <xdr:rowOff>46264</xdr:rowOff>
        </xdr:from>
        <xdr:to>
          <xdr:col>4</xdr:col>
          <xdr:colOff>81643</xdr:colOff>
          <xdr:row>50</xdr:row>
          <xdr:rowOff>46264</xdr:rowOff>
        </xdr:to>
        <xdr:sp macro="" textlink="">
          <xdr:nvSpPr>
            <xdr:cNvPr id="53312" name="Check Box 64" hidden="1">
              <a:extLst>
                <a:ext uri="{63B3BB69-23CF-44E3-9099-C40C66FF867C}">
                  <a14:compatExt spid="_x0000_s53312"/>
                </a:ext>
                <a:ext uri="{FF2B5EF4-FFF2-40B4-BE49-F238E27FC236}">
                  <a16:creationId xmlns:a16="http://schemas.microsoft.com/office/drawing/2014/main" id="{00000000-0008-0000-0600-00004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50</xdr:row>
          <xdr:rowOff>46264</xdr:rowOff>
        </xdr:from>
        <xdr:to>
          <xdr:col>2</xdr:col>
          <xdr:colOff>81643</xdr:colOff>
          <xdr:row>52</xdr:row>
          <xdr:rowOff>46264</xdr:rowOff>
        </xdr:to>
        <xdr:sp macro="" textlink="">
          <xdr:nvSpPr>
            <xdr:cNvPr id="53313" name="Check Box 65" hidden="1">
              <a:extLst>
                <a:ext uri="{63B3BB69-23CF-44E3-9099-C40C66FF867C}">
                  <a14:compatExt spid="_x0000_s53313"/>
                </a:ext>
                <a:ext uri="{FF2B5EF4-FFF2-40B4-BE49-F238E27FC236}">
                  <a16:creationId xmlns:a16="http://schemas.microsoft.com/office/drawing/2014/main" id="{00000000-0008-0000-0600-00004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46264</xdr:rowOff>
        </xdr:from>
        <xdr:to>
          <xdr:col>3</xdr:col>
          <xdr:colOff>70757</xdr:colOff>
          <xdr:row>52</xdr:row>
          <xdr:rowOff>46264</xdr:rowOff>
        </xdr:to>
        <xdr:sp macro="" textlink="">
          <xdr:nvSpPr>
            <xdr:cNvPr id="53314" name="Check Box 66" hidden="1">
              <a:extLst>
                <a:ext uri="{63B3BB69-23CF-44E3-9099-C40C66FF867C}">
                  <a14:compatExt spid="_x0000_s53314"/>
                </a:ext>
                <a:ext uri="{FF2B5EF4-FFF2-40B4-BE49-F238E27FC236}">
                  <a16:creationId xmlns:a16="http://schemas.microsoft.com/office/drawing/2014/main" id="{00000000-0008-0000-0600-00004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50</xdr:row>
          <xdr:rowOff>46264</xdr:rowOff>
        </xdr:from>
        <xdr:to>
          <xdr:col>4</xdr:col>
          <xdr:colOff>81643</xdr:colOff>
          <xdr:row>52</xdr:row>
          <xdr:rowOff>46264</xdr:rowOff>
        </xdr:to>
        <xdr:sp macro="" textlink="">
          <xdr:nvSpPr>
            <xdr:cNvPr id="53315" name="Check Box 67" hidden="1">
              <a:extLst>
                <a:ext uri="{63B3BB69-23CF-44E3-9099-C40C66FF867C}">
                  <a14:compatExt spid="_x0000_s53315"/>
                </a:ext>
                <a:ext uri="{FF2B5EF4-FFF2-40B4-BE49-F238E27FC236}">
                  <a16:creationId xmlns:a16="http://schemas.microsoft.com/office/drawing/2014/main" id="{00000000-0008-0000-0600-00004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52</xdr:row>
          <xdr:rowOff>46264</xdr:rowOff>
        </xdr:from>
        <xdr:to>
          <xdr:col>2</xdr:col>
          <xdr:colOff>81643</xdr:colOff>
          <xdr:row>54</xdr:row>
          <xdr:rowOff>46264</xdr:rowOff>
        </xdr:to>
        <xdr:sp macro="" textlink="">
          <xdr:nvSpPr>
            <xdr:cNvPr id="53316" name="Check Box 68" hidden="1">
              <a:extLst>
                <a:ext uri="{63B3BB69-23CF-44E3-9099-C40C66FF867C}">
                  <a14:compatExt spid="_x0000_s53316"/>
                </a:ext>
                <a:ext uri="{FF2B5EF4-FFF2-40B4-BE49-F238E27FC236}">
                  <a16:creationId xmlns:a16="http://schemas.microsoft.com/office/drawing/2014/main" id="{00000000-0008-0000-0600-00004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52</xdr:row>
          <xdr:rowOff>46264</xdr:rowOff>
        </xdr:from>
        <xdr:to>
          <xdr:col>3</xdr:col>
          <xdr:colOff>70757</xdr:colOff>
          <xdr:row>54</xdr:row>
          <xdr:rowOff>46264</xdr:rowOff>
        </xdr:to>
        <xdr:sp macro="" textlink="">
          <xdr:nvSpPr>
            <xdr:cNvPr id="53317" name="Check Box 69" hidden="1">
              <a:extLst>
                <a:ext uri="{63B3BB69-23CF-44E3-9099-C40C66FF867C}">
                  <a14:compatExt spid="_x0000_s53317"/>
                </a:ext>
                <a:ext uri="{FF2B5EF4-FFF2-40B4-BE49-F238E27FC236}">
                  <a16:creationId xmlns:a16="http://schemas.microsoft.com/office/drawing/2014/main" id="{00000000-0008-0000-0600-00004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52</xdr:row>
          <xdr:rowOff>46264</xdr:rowOff>
        </xdr:from>
        <xdr:to>
          <xdr:col>4</xdr:col>
          <xdr:colOff>81643</xdr:colOff>
          <xdr:row>54</xdr:row>
          <xdr:rowOff>46264</xdr:rowOff>
        </xdr:to>
        <xdr:sp macro="" textlink="">
          <xdr:nvSpPr>
            <xdr:cNvPr id="53318" name="Check Box 70" hidden="1">
              <a:extLst>
                <a:ext uri="{63B3BB69-23CF-44E3-9099-C40C66FF867C}">
                  <a14:compatExt spid="_x0000_s53318"/>
                </a:ext>
                <a:ext uri="{FF2B5EF4-FFF2-40B4-BE49-F238E27FC236}">
                  <a16:creationId xmlns:a16="http://schemas.microsoft.com/office/drawing/2014/main" id="{00000000-0008-0000-0600-00004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54</xdr:row>
          <xdr:rowOff>46264</xdr:rowOff>
        </xdr:from>
        <xdr:to>
          <xdr:col>2</xdr:col>
          <xdr:colOff>81643</xdr:colOff>
          <xdr:row>56</xdr:row>
          <xdr:rowOff>46264</xdr:rowOff>
        </xdr:to>
        <xdr:sp macro="" textlink="">
          <xdr:nvSpPr>
            <xdr:cNvPr id="53319" name="Check Box 71" hidden="1">
              <a:extLst>
                <a:ext uri="{63B3BB69-23CF-44E3-9099-C40C66FF867C}">
                  <a14:compatExt spid="_x0000_s53319"/>
                </a:ext>
                <a:ext uri="{FF2B5EF4-FFF2-40B4-BE49-F238E27FC236}">
                  <a16:creationId xmlns:a16="http://schemas.microsoft.com/office/drawing/2014/main" id="{00000000-0008-0000-0600-00004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54</xdr:row>
          <xdr:rowOff>46264</xdr:rowOff>
        </xdr:from>
        <xdr:to>
          <xdr:col>3</xdr:col>
          <xdr:colOff>70757</xdr:colOff>
          <xdr:row>56</xdr:row>
          <xdr:rowOff>46264</xdr:rowOff>
        </xdr:to>
        <xdr:sp macro="" textlink="">
          <xdr:nvSpPr>
            <xdr:cNvPr id="53320" name="Check Box 72" hidden="1">
              <a:extLst>
                <a:ext uri="{63B3BB69-23CF-44E3-9099-C40C66FF867C}">
                  <a14:compatExt spid="_x0000_s53320"/>
                </a:ext>
                <a:ext uri="{FF2B5EF4-FFF2-40B4-BE49-F238E27FC236}">
                  <a16:creationId xmlns:a16="http://schemas.microsoft.com/office/drawing/2014/main" id="{00000000-0008-0000-0600-00004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54</xdr:row>
          <xdr:rowOff>46264</xdr:rowOff>
        </xdr:from>
        <xdr:to>
          <xdr:col>4</xdr:col>
          <xdr:colOff>81643</xdr:colOff>
          <xdr:row>56</xdr:row>
          <xdr:rowOff>46264</xdr:rowOff>
        </xdr:to>
        <xdr:sp macro="" textlink="">
          <xdr:nvSpPr>
            <xdr:cNvPr id="53321" name="Check Box 73" hidden="1">
              <a:extLst>
                <a:ext uri="{63B3BB69-23CF-44E3-9099-C40C66FF867C}">
                  <a14:compatExt spid="_x0000_s53321"/>
                </a:ext>
                <a:ext uri="{FF2B5EF4-FFF2-40B4-BE49-F238E27FC236}">
                  <a16:creationId xmlns:a16="http://schemas.microsoft.com/office/drawing/2014/main" id="{00000000-0008-0000-0600-00004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56</xdr:row>
          <xdr:rowOff>46264</xdr:rowOff>
        </xdr:from>
        <xdr:to>
          <xdr:col>2</xdr:col>
          <xdr:colOff>81643</xdr:colOff>
          <xdr:row>58</xdr:row>
          <xdr:rowOff>46264</xdr:rowOff>
        </xdr:to>
        <xdr:sp macro="" textlink="">
          <xdr:nvSpPr>
            <xdr:cNvPr id="53322" name="Check Box 74" hidden="1">
              <a:extLst>
                <a:ext uri="{63B3BB69-23CF-44E3-9099-C40C66FF867C}">
                  <a14:compatExt spid="_x0000_s53322"/>
                </a:ext>
                <a:ext uri="{FF2B5EF4-FFF2-40B4-BE49-F238E27FC236}">
                  <a16:creationId xmlns:a16="http://schemas.microsoft.com/office/drawing/2014/main" id="{00000000-0008-0000-0600-00004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56</xdr:row>
          <xdr:rowOff>46264</xdr:rowOff>
        </xdr:from>
        <xdr:to>
          <xdr:col>3</xdr:col>
          <xdr:colOff>70757</xdr:colOff>
          <xdr:row>58</xdr:row>
          <xdr:rowOff>46264</xdr:rowOff>
        </xdr:to>
        <xdr:sp macro="" textlink="">
          <xdr:nvSpPr>
            <xdr:cNvPr id="53323" name="Check Box 75" hidden="1">
              <a:extLst>
                <a:ext uri="{63B3BB69-23CF-44E3-9099-C40C66FF867C}">
                  <a14:compatExt spid="_x0000_s53323"/>
                </a:ext>
                <a:ext uri="{FF2B5EF4-FFF2-40B4-BE49-F238E27FC236}">
                  <a16:creationId xmlns:a16="http://schemas.microsoft.com/office/drawing/2014/main" id="{00000000-0008-0000-0600-00004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56</xdr:row>
          <xdr:rowOff>46264</xdr:rowOff>
        </xdr:from>
        <xdr:to>
          <xdr:col>4</xdr:col>
          <xdr:colOff>81643</xdr:colOff>
          <xdr:row>58</xdr:row>
          <xdr:rowOff>46264</xdr:rowOff>
        </xdr:to>
        <xdr:sp macro="" textlink="">
          <xdr:nvSpPr>
            <xdr:cNvPr id="53324" name="Check Box 76" hidden="1">
              <a:extLst>
                <a:ext uri="{63B3BB69-23CF-44E3-9099-C40C66FF867C}">
                  <a14:compatExt spid="_x0000_s53324"/>
                </a:ext>
                <a:ext uri="{FF2B5EF4-FFF2-40B4-BE49-F238E27FC236}">
                  <a16:creationId xmlns:a16="http://schemas.microsoft.com/office/drawing/2014/main" id="{00000000-0008-0000-0600-00004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59</xdr:row>
          <xdr:rowOff>46264</xdr:rowOff>
        </xdr:from>
        <xdr:to>
          <xdr:col>2</xdr:col>
          <xdr:colOff>81643</xdr:colOff>
          <xdr:row>61</xdr:row>
          <xdr:rowOff>46264</xdr:rowOff>
        </xdr:to>
        <xdr:sp macro="" textlink="">
          <xdr:nvSpPr>
            <xdr:cNvPr id="53325" name="Check Box 77" hidden="1">
              <a:extLst>
                <a:ext uri="{63B3BB69-23CF-44E3-9099-C40C66FF867C}">
                  <a14:compatExt spid="_x0000_s53325"/>
                </a:ext>
                <a:ext uri="{FF2B5EF4-FFF2-40B4-BE49-F238E27FC236}">
                  <a16:creationId xmlns:a16="http://schemas.microsoft.com/office/drawing/2014/main" id="{00000000-0008-0000-0600-00004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46264</xdr:rowOff>
        </xdr:from>
        <xdr:to>
          <xdr:col>3</xdr:col>
          <xdr:colOff>70757</xdr:colOff>
          <xdr:row>61</xdr:row>
          <xdr:rowOff>46264</xdr:rowOff>
        </xdr:to>
        <xdr:sp macro="" textlink="">
          <xdr:nvSpPr>
            <xdr:cNvPr id="53326" name="Check Box 78" hidden="1">
              <a:extLst>
                <a:ext uri="{63B3BB69-23CF-44E3-9099-C40C66FF867C}">
                  <a14:compatExt spid="_x0000_s53326"/>
                </a:ext>
                <a:ext uri="{FF2B5EF4-FFF2-40B4-BE49-F238E27FC236}">
                  <a16:creationId xmlns:a16="http://schemas.microsoft.com/office/drawing/2014/main" id="{00000000-0008-0000-0600-00004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59</xdr:row>
          <xdr:rowOff>46264</xdr:rowOff>
        </xdr:from>
        <xdr:to>
          <xdr:col>4</xdr:col>
          <xdr:colOff>81643</xdr:colOff>
          <xdr:row>61</xdr:row>
          <xdr:rowOff>46264</xdr:rowOff>
        </xdr:to>
        <xdr:sp macro="" textlink="">
          <xdr:nvSpPr>
            <xdr:cNvPr id="53327" name="Check Box 79" hidden="1">
              <a:extLst>
                <a:ext uri="{63B3BB69-23CF-44E3-9099-C40C66FF867C}">
                  <a14:compatExt spid="_x0000_s53327"/>
                </a:ext>
                <a:ext uri="{FF2B5EF4-FFF2-40B4-BE49-F238E27FC236}">
                  <a16:creationId xmlns:a16="http://schemas.microsoft.com/office/drawing/2014/main" id="{00000000-0008-0000-0600-00004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64</xdr:row>
          <xdr:rowOff>46264</xdr:rowOff>
        </xdr:from>
        <xdr:to>
          <xdr:col>2</xdr:col>
          <xdr:colOff>81643</xdr:colOff>
          <xdr:row>66</xdr:row>
          <xdr:rowOff>46264</xdr:rowOff>
        </xdr:to>
        <xdr:sp macro="" textlink="">
          <xdr:nvSpPr>
            <xdr:cNvPr id="53328" name="Check Box 80" hidden="1">
              <a:extLst>
                <a:ext uri="{63B3BB69-23CF-44E3-9099-C40C66FF867C}">
                  <a14:compatExt spid="_x0000_s53328"/>
                </a:ext>
                <a:ext uri="{FF2B5EF4-FFF2-40B4-BE49-F238E27FC236}">
                  <a16:creationId xmlns:a16="http://schemas.microsoft.com/office/drawing/2014/main" id="{00000000-0008-0000-0600-00005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46264</xdr:rowOff>
        </xdr:from>
        <xdr:to>
          <xdr:col>3</xdr:col>
          <xdr:colOff>70757</xdr:colOff>
          <xdr:row>66</xdr:row>
          <xdr:rowOff>46264</xdr:rowOff>
        </xdr:to>
        <xdr:sp macro="" textlink="">
          <xdr:nvSpPr>
            <xdr:cNvPr id="53329" name="Check Box 81" hidden="1">
              <a:extLst>
                <a:ext uri="{63B3BB69-23CF-44E3-9099-C40C66FF867C}">
                  <a14:compatExt spid="_x0000_s53329"/>
                </a:ext>
                <a:ext uri="{FF2B5EF4-FFF2-40B4-BE49-F238E27FC236}">
                  <a16:creationId xmlns:a16="http://schemas.microsoft.com/office/drawing/2014/main" id="{00000000-0008-0000-0600-00005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64</xdr:row>
          <xdr:rowOff>46264</xdr:rowOff>
        </xdr:from>
        <xdr:to>
          <xdr:col>4</xdr:col>
          <xdr:colOff>81643</xdr:colOff>
          <xdr:row>66</xdr:row>
          <xdr:rowOff>46264</xdr:rowOff>
        </xdr:to>
        <xdr:sp macro="" textlink="">
          <xdr:nvSpPr>
            <xdr:cNvPr id="53330" name="Check Box 82" hidden="1">
              <a:extLst>
                <a:ext uri="{63B3BB69-23CF-44E3-9099-C40C66FF867C}">
                  <a14:compatExt spid="_x0000_s53330"/>
                </a:ext>
                <a:ext uri="{FF2B5EF4-FFF2-40B4-BE49-F238E27FC236}">
                  <a16:creationId xmlns:a16="http://schemas.microsoft.com/office/drawing/2014/main" id="{00000000-0008-0000-0600-00005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66</xdr:row>
          <xdr:rowOff>46264</xdr:rowOff>
        </xdr:from>
        <xdr:to>
          <xdr:col>2</xdr:col>
          <xdr:colOff>81643</xdr:colOff>
          <xdr:row>68</xdr:row>
          <xdr:rowOff>46264</xdr:rowOff>
        </xdr:to>
        <xdr:sp macro="" textlink="">
          <xdr:nvSpPr>
            <xdr:cNvPr id="53331" name="Check Box 83" hidden="1">
              <a:extLst>
                <a:ext uri="{63B3BB69-23CF-44E3-9099-C40C66FF867C}">
                  <a14:compatExt spid="_x0000_s53331"/>
                </a:ext>
                <a:ext uri="{FF2B5EF4-FFF2-40B4-BE49-F238E27FC236}">
                  <a16:creationId xmlns:a16="http://schemas.microsoft.com/office/drawing/2014/main" id="{00000000-0008-0000-0600-00005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66</xdr:row>
          <xdr:rowOff>46264</xdr:rowOff>
        </xdr:from>
        <xdr:to>
          <xdr:col>3</xdr:col>
          <xdr:colOff>70757</xdr:colOff>
          <xdr:row>68</xdr:row>
          <xdr:rowOff>46264</xdr:rowOff>
        </xdr:to>
        <xdr:sp macro="" textlink="">
          <xdr:nvSpPr>
            <xdr:cNvPr id="53332" name="Check Box 84" hidden="1">
              <a:extLst>
                <a:ext uri="{63B3BB69-23CF-44E3-9099-C40C66FF867C}">
                  <a14:compatExt spid="_x0000_s53332"/>
                </a:ext>
                <a:ext uri="{FF2B5EF4-FFF2-40B4-BE49-F238E27FC236}">
                  <a16:creationId xmlns:a16="http://schemas.microsoft.com/office/drawing/2014/main" id="{00000000-0008-0000-0600-00005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66</xdr:row>
          <xdr:rowOff>46264</xdr:rowOff>
        </xdr:from>
        <xdr:to>
          <xdr:col>4</xdr:col>
          <xdr:colOff>81643</xdr:colOff>
          <xdr:row>68</xdr:row>
          <xdr:rowOff>46264</xdr:rowOff>
        </xdr:to>
        <xdr:sp macro="" textlink="">
          <xdr:nvSpPr>
            <xdr:cNvPr id="53333" name="Check Box 85" hidden="1">
              <a:extLst>
                <a:ext uri="{63B3BB69-23CF-44E3-9099-C40C66FF867C}">
                  <a14:compatExt spid="_x0000_s53333"/>
                </a:ext>
                <a:ext uri="{FF2B5EF4-FFF2-40B4-BE49-F238E27FC236}">
                  <a16:creationId xmlns:a16="http://schemas.microsoft.com/office/drawing/2014/main" id="{00000000-0008-0000-0600-00005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62</xdr:row>
          <xdr:rowOff>68036</xdr:rowOff>
        </xdr:from>
        <xdr:to>
          <xdr:col>2</xdr:col>
          <xdr:colOff>81643</xdr:colOff>
          <xdr:row>64</xdr:row>
          <xdr:rowOff>38100</xdr:rowOff>
        </xdr:to>
        <xdr:sp macro="" textlink="">
          <xdr:nvSpPr>
            <xdr:cNvPr id="53336" name="Check Box 88" hidden="1">
              <a:extLst>
                <a:ext uri="{63B3BB69-23CF-44E3-9099-C40C66FF867C}">
                  <a14:compatExt spid="_x0000_s53336"/>
                </a:ext>
                <a:ext uri="{FF2B5EF4-FFF2-40B4-BE49-F238E27FC236}">
                  <a16:creationId xmlns:a16="http://schemas.microsoft.com/office/drawing/2014/main" id="{00000000-0008-0000-0600-00005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68036</xdr:rowOff>
        </xdr:from>
        <xdr:to>
          <xdr:col>3</xdr:col>
          <xdr:colOff>70757</xdr:colOff>
          <xdr:row>64</xdr:row>
          <xdr:rowOff>38100</xdr:rowOff>
        </xdr:to>
        <xdr:sp macro="" textlink="">
          <xdr:nvSpPr>
            <xdr:cNvPr id="53337" name="Check Box 89" hidden="1">
              <a:extLst>
                <a:ext uri="{63B3BB69-23CF-44E3-9099-C40C66FF867C}">
                  <a14:compatExt spid="_x0000_s53337"/>
                </a:ext>
                <a:ext uri="{FF2B5EF4-FFF2-40B4-BE49-F238E27FC236}">
                  <a16:creationId xmlns:a16="http://schemas.microsoft.com/office/drawing/2014/main" id="{00000000-0008-0000-0600-00005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62</xdr:row>
          <xdr:rowOff>68036</xdr:rowOff>
        </xdr:from>
        <xdr:to>
          <xdr:col>4</xdr:col>
          <xdr:colOff>81643</xdr:colOff>
          <xdr:row>64</xdr:row>
          <xdr:rowOff>38100</xdr:rowOff>
        </xdr:to>
        <xdr:sp macro="" textlink="">
          <xdr:nvSpPr>
            <xdr:cNvPr id="53338" name="Check Box 90" hidden="1">
              <a:extLst>
                <a:ext uri="{63B3BB69-23CF-44E3-9099-C40C66FF867C}">
                  <a14:compatExt spid="_x0000_s53338"/>
                </a:ext>
                <a:ext uri="{FF2B5EF4-FFF2-40B4-BE49-F238E27FC236}">
                  <a16:creationId xmlns:a16="http://schemas.microsoft.com/office/drawing/2014/main" id="{00000000-0008-0000-0600-00005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68</xdr:row>
          <xdr:rowOff>46264</xdr:rowOff>
        </xdr:from>
        <xdr:to>
          <xdr:col>2</xdr:col>
          <xdr:colOff>81643</xdr:colOff>
          <xdr:row>70</xdr:row>
          <xdr:rowOff>46264</xdr:rowOff>
        </xdr:to>
        <xdr:sp macro="" textlink="">
          <xdr:nvSpPr>
            <xdr:cNvPr id="53339" name="Check Box 91" hidden="1">
              <a:extLst>
                <a:ext uri="{63B3BB69-23CF-44E3-9099-C40C66FF867C}">
                  <a14:compatExt spid="_x0000_s53339"/>
                </a:ext>
                <a:ext uri="{FF2B5EF4-FFF2-40B4-BE49-F238E27FC236}">
                  <a16:creationId xmlns:a16="http://schemas.microsoft.com/office/drawing/2014/main" id="{00000000-0008-0000-0600-00005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xdr:row>
          <xdr:rowOff>46264</xdr:rowOff>
        </xdr:from>
        <xdr:to>
          <xdr:col>3</xdr:col>
          <xdr:colOff>70757</xdr:colOff>
          <xdr:row>70</xdr:row>
          <xdr:rowOff>46264</xdr:rowOff>
        </xdr:to>
        <xdr:sp macro="" textlink="">
          <xdr:nvSpPr>
            <xdr:cNvPr id="53340" name="Check Box 92" hidden="1">
              <a:extLst>
                <a:ext uri="{63B3BB69-23CF-44E3-9099-C40C66FF867C}">
                  <a14:compatExt spid="_x0000_s53340"/>
                </a:ext>
                <a:ext uri="{FF2B5EF4-FFF2-40B4-BE49-F238E27FC236}">
                  <a16:creationId xmlns:a16="http://schemas.microsoft.com/office/drawing/2014/main" id="{00000000-0008-0000-0600-00005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68</xdr:row>
          <xdr:rowOff>46264</xdr:rowOff>
        </xdr:from>
        <xdr:to>
          <xdr:col>4</xdr:col>
          <xdr:colOff>81643</xdr:colOff>
          <xdr:row>70</xdr:row>
          <xdr:rowOff>46264</xdr:rowOff>
        </xdr:to>
        <xdr:sp macro="" textlink="">
          <xdr:nvSpPr>
            <xdr:cNvPr id="53341" name="Check Box 93" hidden="1">
              <a:extLst>
                <a:ext uri="{63B3BB69-23CF-44E3-9099-C40C66FF867C}">
                  <a14:compatExt spid="_x0000_s53341"/>
                </a:ext>
                <a:ext uri="{FF2B5EF4-FFF2-40B4-BE49-F238E27FC236}">
                  <a16:creationId xmlns:a16="http://schemas.microsoft.com/office/drawing/2014/main" id="{00000000-0008-0000-0600-00005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70</xdr:row>
          <xdr:rowOff>46264</xdr:rowOff>
        </xdr:from>
        <xdr:to>
          <xdr:col>2</xdr:col>
          <xdr:colOff>81643</xdr:colOff>
          <xdr:row>72</xdr:row>
          <xdr:rowOff>46264</xdr:rowOff>
        </xdr:to>
        <xdr:sp macro="" textlink="">
          <xdr:nvSpPr>
            <xdr:cNvPr id="53342" name="Check Box 94" hidden="1">
              <a:extLst>
                <a:ext uri="{63B3BB69-23CF-44E3-9099-C40C66FF867C}">
                  <a14:compatExt spid="_x0000_s53342"/>
                </a:ext>
                <a:ext uri="{FF2B5EF4-FFF2-40B4-BE49-F238E27FC236}">
                  <a16:creationId xmlns:a16="http://schemas.microsoft.com/office/drawing/2014/main" id="{00000000-0008-0000-0600-00005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70</xdr:row>
          <xdr:rowOff>46264</xdr:rowOff>
        </xdr:from>
        <xdr:to>
          <xdr:col>3</xdr:col>
          <xdr:colOff>70757</xdr:colOff>
          <xdr:row>72</xdr:row>
          <xdr:rowOff>46264</xdr:rowOff>
        </xdr:to>
        <xdr:sp macro="" textlink="">
          <xdr:nvSpPr>
            <xdr:cNvPr id="53343" name="Check Box 95" hidden="1">
              <a:extLst>
                <a:ext uri="{63B3BB69-23CF-44E3-9099-C40C66FF867C}">
                  <a14:compatExt spid="_x0000_s53343"/>
                </a:ext>
                <a:ext uri="{FF2B5EF4-FFF2-40B4-BE49-F238E27FC236}">
                  <a16:creationId xmlns:a16="http://schemas.microsoft.com/office/drawing/2014/main" id="{00000000-0008-0000-0600-00005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70</xdr:row>
          <xdr:rowOff>46264</xdr:rowOff>
        </xdr:from>
        <xdr:to>
          <xdr:col>4</xdr:col>
          <xdr:colOff>81643</xdr:colOff>
          <xdr:row>72</xdr:row>
          <xdr:rowOff>46264</xdr:rowOff>
        </xdr:to>
        <xdr:sp macro="" textlink="">
          <xdr:nvSpPr>
            <xdr:cNvPr id="53344" name="Check Box 96" hidden="1">
              <a:extLst>
                <a:ext uri="{63B3BB69-23CF-44E3-9099-C40C66FF867C}">
                  <a14:compatExt spid="_x0000_s53344"/>
                </a:ext>
                <a:ext uri="{FF2B5EF4-FFF2-40B4-BE49-F238E27FC236}">
                  <a16:creationId xmlns:a16="http://schemas.microsoft.com/office/drawing/2014/main" id="{00000000-0008-0000-0600-00006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72</xdr:row>
          <xdr:rowOff>46264</xdr:rowOff>
        </xdr:from>
        <xdr:to>
          <xdr:col>2</xdr:col>
          <xdr:colOff>81643</xdr:colOff>
          <xdr:row>74</xdr:row>
          <xdr:rowOff>46264</xdr:rowOff>
        </xdr:to>
        <xdr:sp macro="" textlink="">
          <xdr:nvSpPr>
            <xdr:cNvPr id="53345" name="Check Box 97" hidden="1">
              <a:extLst>
                <a:ext uri="{63B3BB69-23CF-44E3-9099-C40C66FF867C}">
                  <a14:compatExt spid="_x0000_s53345"/>
                </a:ext>
                <a:ext uri="{FF2B5EF4-FFF2-40B4-BE49-F238E27FC236}">
                  <a16:creationId xmlns:a16="http://schemas.microsoft.com/office/drawing/2014/main" id="{00000000-0008-0000-0600-00006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46264</xdr:rowOff>
        </xdr:from>
        <xdr:to>
          <xdr:col>3</xdr:col>
          <xdr:colOff>70757</xdr:colOff>
          <xdr:row>74</xdr:row>
          <xdr:rowOff>46264</xdr:rowOff>
        </xdr:to>
        <xdr:sp macro="" textlink="">
          <xdr:nvSpPr>
            <xdr:cNvPr id="53346" name="Check Box 98" hidden="1">
              <a:extLst>
                <a:ext uri="{63B3BB69-23CF-44E3-9099-C40C66FF867C}">
                  <a14:compatExt spid="_x0000_s53346"/>
                </a:ext>
                <a:ext uri="{FF2B5EF4-FFF2-40B4-BE49-F238E27FC236}">
                  <a16:creationId xmlns:a16="http://schemas.microsoft.com/office/drawing/2014/main" id="{00000000-0008-0000-0600-00006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72</xdr:row>
          <xdr:rowOff>46264</xdr:rowOff>
        </xdr:from>
        <xdr:to>
          <xdr:col>4</xdr:col>
          <xdr:colOff>81643</xdr:colOff>
          <xdr:row>74</xdr:row>
          <xdr:rowOff>46264</xdr:rowOff>
        </xdr:to>
        <xdr:sp macro="" textlink="">
          <xdr:nvSpPr>
            <xdr:cNvPr id="53347" name="Check Box 99" hidden="1">
              <a:extLst>
                <a:ext uri="{63B3BB69-23CF-44E3-9099-C40C66FF867C}">
                  <a14:compatExt spid="_x0000_s53347"/>
                </a:ext>
                <a:ext uri="{FF2B5EF4-FFF2-40B4-BE49-F238E27FC236}">
                  <a16:creationId xmlns:a16="http://schemas.microsoft.com/office/drawing/2014/main" id="{00000000-0008-0000-0600-00006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74</xdr:row>
          <xdr:rowOff>46264</xdr:rowOff>
        </xdr:from>
        <xdr:to>
          <xdr:col>2</xdr:col>
          <xdr:colOff>81643</xdr:colOff>
          <xdr:row>76</xdr:row>
          <xdr:rowOff>46264</xdr:rowOff>
        </xdr:to>
        <xdr:sp macro="" textlink="">
          <xdr:nvSpPr>
            <xdr:cNvPr id="53348" name="Check Box 100" hidden="1">
              <a:extLst>
                <a:ext uri="{63B3BB69-23CF-44E3-9099-C40C66FF867C}">
                  <a14:compatExt spid="_x0000_s53348"/>
                </a:ext>
                <a:ext uri="{FF2B5EF4-FFF2-40B4-BE49-F238E27FC236}">
                  <a16:creationId xmlns:a16="http://schemas.microsoft.com/office/drawing/2014/main" id="{00000000-0008-0000-0600-00006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74</xdr:row>
          <xdr:rowOff>46264</xdr:rowOff>
        </xdr:from>
        <xdr:to>
          <xdr:col>3</xdr:col>
          <xdr:colOff>70757</xdr:colOff>
          <xdr:row>76</xdr:row>
          <xdr:rowOff>46264</xdr:rowOff>
        </xdr:to>
        <xdr:sp macro="" textlink="">
          <xdr:nvSpPr>
            <xdr:cNvPr id="53349" name="Check Box 101" hidden="1">
              <a:extLst>
                <a:ext uri="{63B3BB69-23CF-44E3-9099-C40C66FF867C}">
                  <a14:compatExt spid="_x0000_s53349"/>
                </a:ext>
                <a:ext uri="{FF2B5EF4-FFF2-40B4-BE49-F238E27FC236}">
                  <a16:creationId xmlns:a16="http://schemas.microsoft.com/office/drawing/2014/main" id="{00000000-0008-0000-0600-00006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74</xdr:row>
          <xdr:rowOff>46264</xdr:rowOff>
        </xdr:from>
        <xdr:to>
          <xdr:col>4</xdr:col>
          <xdr:colOff>81643</xdr:colOff>
          <xdr:row>76</xdr:row>
          <xdr:rowOff>46264</xdr:rowOff>
        </xdr:to>
        <xdr:sp macro="" textlink="">
          <xdr:nvSpPr>
            <xdr:cNvPr id="53350" name="Check Box 102" hidden="1">
              <a:extLst>
                <a:ext uri="{63B3BB69-23CF-44E3-9099-C40C66FF867C}">
                  <a14:compatExt spid="_x0000_s53350"/>
                </a:ext>
                <a:ext uri="{FF2B5EF4-FFF2-40B4-BE49-F238E27FC236}">
                  <a16:creationId xmlns:a16="http://schemas.microsoft.com/office/drawing/2014/main" id="{00000000-0008-0000-0600-00006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76</xdr:row>
          <xdr:rowOff>46264</xdr:rowOff>
        </xdr:from>
        <xdr:to>
          <xdr:col>2</xdr:col>
          <xdr:colOff>81643</xdr:colOff>
          <xdr:row>78</xdr:row>
          <xdr:rowOff>46264</xdr:rowOff>
        </xdr:to>
        <xdr:sp macro="" textlink="">
          <xdr:nvSpPr>
            <xdr:cNvPr id="53351" name="Check Box 103" hidden="1">
              <a:extLst>
                <a:ext uri="{63B3BB69-23CF-44E3-9099-C40C66FF867C}">
                  <a14:compatExt spid="_x0000_s53351"/>
                </a:ext>
                <a:ext uri="{FF2B5EF4-FFF2-40B4-BE49-F238E27FC236}">
                  <a16:creationId xmlns:a16="http://schemas.microsoft.com/office/drawing/2014/main" id="{00000000-0008-0000-0600-00006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76</xdr:row>
          <xdr:rowOff>46264</xdr:rowOff>
        </xdr:from>
        <xdr:to>
          <xdr:col>3</xdr:col>
          <xdr:colOff>70757</xdr:colOff>
          <xdr:row>78</xdr:row>
          <xdr:rowOff>46264</xdr:rowOff>
        </xdr:to>
        <xdr:sp macro="" textlink="">
          <xdr:nvSpPr>
            <xdr:cNvPr id="53352" name="Check Box 104" hidden="1">
              <a:extLst>
                <a:ext uri="{63B3BB69-23CF-44E3-9099-C40C66FF867C}">
                  <a14:compatExt spid="_x0000_s53352"/>
                </a:ext>
                <a:ext uri="{FF2B5EF4-FFF2-40B4-BE49-F238E27FC236}">
                  <a16:creationId xmlns:a16="http://schemas.microsoft.com/office/drawing/2014/main" id="{00000000-0008-0000-0600-00006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76</xdr:row>
          <xdr:rowOff>46264</xdr:rowOff>
        </xdr:from>
        <xdr:to>
          <xdr:col>4</xdr:col>
          <xdr:colOff>81643</xdr:colOff>
          <xdr:row>78</xdr:row>
          <xdr:rowOff>46264</xdr:rowOff>
        </xdr:to>
        <xdr:sp macro="" textlink="">
          <xdr:nvSpPr>
            <xdr:cNvPr id="53353" name="Check Box 105" hidden="1">
              <a:extLst>
                <a:ext uri="{63B3BB69-23CF-44E3-9099-C40C66FF867C}">
                  <a14:compatExt spid="_x0000_s53353"/>
                </a:ext>
                <a:ext uri="{FF2B5EF4-FFF2-40B4-BE49-F238E27FC236}">
                  <a16:creationId xmlns:a16="http://schemas.microsoft.com/office/drawing/2014/main" id="{00000000-0008-0000-0600-00006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9</xdr:row>
          <xdr:rowOff>0</xdr:rowOff>
        </xdr:from>
        <xdr:to>
          <xdr:col>8</xdr:col>
          <xdr:colOff>59871</xdr:colOff>
          <xdr:row>11</xdr:row>
          <xdr:rowOff>57150</xdr:rowOff>
        </xdr:to>
        <xdr:sp macro="" textlink="">
          <xdr:nvSpPr>
            <xdr:cNvPr id="53354" name="Check Box 106" hidden="1">
              <a:extLst>
                <a:ext uri="{63B3BB69-23CF-44E3-9099-C40C66FF867C}">
                  <a14:compatExt spid="_x0000_s53354"/>
                </a:ext>
                <a:ext uri="{FF2B5EF4-FFF2-40B4-BE49-F238E27FC236}">
                  <a16:creationId xmlns:a16="http://schemas.microsoft.com/office/drawing/2014/main" id="{00000000-0008-0000-0600-00006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51707</xdr:colOff>
          <xdr:row>11</xdr:row>
          <xdr:rowOff>57150</xdr:rowOff>
        </xdr:to>
        <xdr:sp macro="" textlink="">
          <xdr:nvSpPr>
            <xdr:cNvPr id="53355" name="Check Box 107" hidden="1">
              <a:extLst>
                <a:ext uri="{63B3BB69-23CF-44E3-9099-C40C66FF867C}">
                  <a14:compatExt spid="_x0000_s53355"/>
                </a:ext>
                <a:ext uri="{FF2B5EF4-FFF2-40B4-BE49-F238E27FC236}">
                  <a16:creationId xmlns:a16="http://schemas.microsoft.com/office/drawing/2014/main" id="{00000000-0008-0000-0600-00006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10</xdr:col>
          <xdr:colOff>59871</xdr:colOff>
          <xdr:row>11</xdr:row>
          <xdr:rowOff>57150</xdr:rowOff>
        </xdr:to>
        <xdr:sp macro="" textlink="">
          <xdr:nvSpPr>
            <xdr:cNvPr id="53356" name="Check Box 108" hidden="1">
              <a:extLst>
                <a:ext uri="{63B3BB69-23CF-44E3-9099-C40C66FF867C}">
                  <a14:compatExt spid="_x0000_s53356"/>
                </a:ext>
                <a:ext uri="{FF2B5EF4-FFF2-40B4-BE49-F238E27FC236}">
                  <a16:creationId xmlns:a16="http://schemas.microsoft.com/office/drawing/2014/main" id="{00000000-0008-0000-0600-00006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11</xdr:row>
          <xdr:rowOff>46264</xdr:rowOff>
        </xdr:from>
        <xdr:to>
          <xdr:col>8</xdr:col>
          <xdr:colOff>59871</xdr:colOff>
          <xdr:row>13</xdr:row>
          <xdr:rowOff>46264</xdr:rowOff>
        </xdr:to>
        <xdr:sp macro="" textlink="">
          <xdr:nvSpPr>
            <xdr:cNvPr id="53357" name="Check Box 109" hidden="1">
              <a:extLst>
                <a:ext uri="{63B3BB69-23CF-44E3-9099-C40C66FF867C}">
                  <a14:compatExt spid="_x0000_s53357"/>
                </a:ext>
                <a:ext uri="{FF2B5EF4-FFF2-40B4-BE49-F238E27FC236}">
                  <a16:creationId xmlns:a16="http://schemas.microsoft.com/office/drawing/2014/main" id="{00000000-0008-0000-0600-00006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46264</xdr:rowOff>
        </xdr:from>
        <xdr:to>
          <xdr:col>9</xdr:col>
          <xdr:colOff>51707</xdr:colOff>
          <xdr:row>13</xdr:row>
          <xdr:rowOff>46264</xdr:rowOff>
        </xdr:to>
        <xdr:sp macro="" textlink="">
          <xdr:nvSpPr>
            <xdr:cNvPr id="53358" name="Check Box 110" hidden="1">
              <a:extLst>
                <a:ext uri="{63B3BB69-23CF-44E3-9099-C40C66FF867C}">
                  <a14:compatExt spid="_x0000_s53358"/>
                </a:ext>
                <a:ext uri="{FF2B5EF4-FFF2-40B4-BE49-F238E27FC236}">
                  <a16:creationId xmlns:a16="http://schemas.microsoft.com/office/drawing/2014/main" id="{00000000-0008-0000-0600-00006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11</xdr:row>
          <xdr:rowOff>46264</xdr:rowOff>
        </xdr:from>
        <xdr:to>
          <xdr:col>10</xdr:col>
          <xdr:colOff>70757</xdr:colOff>
          <xdr:row>13</xdr:row>
          <xdr:rowOff>46264</xdr:rowOff>
        </xdr:to>
        <xdr:sp macro="" textlink="">
          <xdr:nvSpPr>
            <xdr:cNvPr id="53359" name="Check Box 111" hidden="1">
              <a:extLst>
                <a:ext uri="{63B3BB69-23CF-44E3-9099-C40C66FF867C}">
                  <a14:compatExt spid="_x0000_s53359"/>
                </a:ext>
                <a:ext uri="{FF2B5EF4-FFF2-40B4-BE49-F238E27FC236}">
                  <a16:creationId xmlns:a16="http://schemas.microsoft.com/office/drawing/2014/main" id="{00000000-0008-0000-0600-00006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13</xdr:row>
          <xdr:rowOff>46264</xdr:rowOff>
        </xdr:from>
        <xdr:to>
          <xdr:col>8</xdr:col>
          <xdr:colOff>59871</xdr:colOff>
          <xdr:row>15</xdr:row>
          <xdr:rowOff>46264</xdr:rowOff>
        </xdr:to>
        <xdr:sp macro="" textlink="">
          <xdr:nvSpPr>
            <xdr:cNvPr id="53360" name="Check Box 112" hidden="1">
              <a:extLst>
                <a:ext uri="{63B3BB69-23CF-44E3-9099-C40C66FF867C}">
                  <a14:compatExt spid="_x0000_s53360"/>
                </a:ext>
                <a:ext uri="{FF2B5EF4-FFF2-40B4-BE49-F238E27FC236}">
                  <a16:creationId xmlns:a16="http://schemas.microsoft.com/office/drawing/2014/main" id="{00000000-0008-0000-0600-00007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46264</xdr:rowOff>
        </xdr:from>
        <xdr:to>
          <xdr:col>9</xdr:col>
          <xdr:colOff>51707</xdr:colOff>
          <xdr:row>15</xdr:row>
          <xdr:rowOff>46264</xdr:rowOff>
        </xdr:to>
        <xdr:sp macro="" textlink="">
          <xdr:nvSpPr>
            <xdr:cNvPr id="53361" name="Check Box 113" hidden="1">
              <a:extLst>
                <a:ext uri="{63B3BB69-23CF-44E3-9099-C40C66FF867C}">
                  <a14:compatExt spid="_x0000_s53361"/>
                </a:ext>
                <a:ext uri="{FF2B5EF4-FFF2-40B4-BE49-F238E27FC236}">
                  <a16:creationId xmlns:a16="http://schemas.microsoft.com/office/drawing/2014/main" id="{00000000-0008-0000-0600-00007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13</xdr:row>
          <xdr:rowOff>46264</xdr:rowOff>
        </xdr:from>
        <xdr:to>
          <xdr:col>10</xdr:col>
          <xdr:colOff>70757</xdr:colOff>
          <xdr:row>15</xdr:row>
          <xdr:rowOff>46264</xdr:rowOff>
        </xdr:to>
        <xdr:sp macro="" textlink="">
          <xdr:nvSpPr>
            <xdr:cNvPr id="53362" name="Check Box 114" hidden="1">
              <a:extLst>
                <a:ext uri="{63B3BB69-23CF-44E3-9099-C40C66FF867C}">
                  <a14:compatExt spid="_x0000_s53362"/>
                </a:ext>
                <a:ext uri="{FF2B5EF4-FFF2-40B4-BE49-F238E27FC236}">
                  <a16:creationId xmlns:a16="http://schemas.microsoft.com/office/drawing/2014/main" id="{00000000-0008-0000-0600-00007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15</xdr:row>
          <xdr:rowOff>46264</xdr:rowOff>
        </xdr:from>
        <xdr:to>
          <xdr:col>8</xdr:col>
          <xdr:colOff>59871</xdr:colOff>
          <xdr:row>17</xdr:row>
          <xdr:rowOff>46264</xdr:rowOff>
        </xdr:to>
        <xdr:sp macro="" textlink="">
          <xdr:nvSpPr>
            <xdr:cNvPr id="53363" name="Check Box 115" hidden="1">
              <a:extLst>
                <a:ext uri="{63B3BB69-23CF-44E3-9099-C40C66FF867C}">
                  <a14:compatExt spid="_x0000_s53363"/>
                </a:ext>
                <a:ext uri="{FF2B5EF4-FFF2-40B4-BE49-F238E27FC236}">
                  <a16:creationId xmlns:a16="http://schemas.microsoft.com/office/drawing/2014/main" id="{00000000-0008-0000-0600-00007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46264</xdr:rowOff>
        </xdr:from>
        <xdr:to>
          <xdr:col>9</xdr:col>
          <xdr:colOff>51707</xdr:colOff>
          <xdr:row>17</xdr:row>
          <xdr:rowOff>46264</xdr:rowOff>
        </xdr:to>
        <xdr:sp macro="" textlink="">
          <xdr:nvSpPr>
            <xdr:cNvPr id="53364" name="Check Box 116" hidden="1">
              <a:extLst>
                <a:ext uri="{63B3BB69-23CF-44E3-9099-C40C66FF867C}">
                  <a14:compatExt spid="_x0000_s53364"/>
                </a:ext>
                <a:ext uri="{FF2B5EF4-FFF2-40B4-BE49-F238E27FC236}">
                  <a16:creationId xmlns:a16="http://schemas.microsoft.com/office/drawing/2014/main" id="{00000000-0008-0000-0600-00007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15</xdr:row>
          <xdr:rowOff>46264</xdr:rowOff>
        </xdr:from>
        <xdr:to>
          <xdr:col>10</xdr:col>
          <xdr:colOff>70757</xdr:colOff>
          <xdr:row>17</xdr:row>
          <xdr:rowOff>46264</xdr:rowOff>
        </xdr:to>
        <xdr:sp macro="" textlink="">
          <xdr:nvSpPr>
            <xdr:cNvPr id="53365" name="Check Box 117" hidden="1">
              <a:extLst>
                <a:ext uri="{63B3BB69-23CF-44E3-9099-C40C66FF867C}">
                  <a14:compatExt spid="_x0000_s53365"/>
                </a:ext>
                <a:ext uri="{FF2B5EF4-FFF2-40B4-BE49-F238E27FC236}">
                  <a16:creationId xmlns:a16="http://schemas.microsoft.com/office/drawing/2014/main" id="{00000000-0008-0000-0600-00007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17</xdr:row>
          <xdr:rowOff>46264</xdr:rowOff>
        </xdr:from>
        <xdr:to>
          <xdr:col>8</xdr:col>
          <xdr:colOff>59871</xdr:colOff>
          <xdr:row>19</xdr:row>
          <xdr:rowOff>46264</xdr:rowOff>
        </xdr:to>
        <xdr:sp macro="" textlink="">
          <xdr:nvSpPr>
            <xdr:cNvPr id="53366" name="Check Box 118" hidden="1">
              <a:extLst>
                <a:ext uri="{63B3BB69-23CF-44E3-9099-C40C66FF867C}">
                  <a14:compatExt spid="_x0000_s53366"/>
                </a:ext>
                <a:ext uri="{FF2B5EF4-FFF2-40B4-BE49-F238E27FC236}">
                  <a16:creationId xmlns:a16="http://schemas.microsoft.com/office/drawing/2014/main" id="{00000000-0008-0000-0600-00007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46264</xdr:rowOff>
        </xdr:from>
        <xdr:to>
          <xdr:col>9</xdr:col>
          <xdr:colOff>51707</xdr:colOff>
          <xdr:row>19</xdr:row>
          <xdr:rowOff>46264</xdr:rowOff>
        </xdr:to>
        <xdr:sp macro="" textlink="">
          <xdr:nvSpPr>
            <xdr:cNvPr id="53367" name="Check Box 119" hidden="1">
              <a:extLst>
                <a:ext uri="{63B3BB69-23CF-44E3-9099-C40C66FF867C}">
                  <a14:compatExt spid="_x0000_s53367"/>
                </a:ext>
                <a:ext uri="{FF2B5EF4-FFF2-40B4-BE49-F238E27FC236}">
                  <a16:creationId xmlns:a16="http://schemas.microsoft.com/office/drawing/2014/main" id="{00000000-0008-0000-0600-00007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17</xdr:row>
          <xdr:rowOff>46264</xdr:rowOff>
        </xdr:from>
        <xdr:to>
          <xdr:col>10</xdr:col>
          <xdr:colOff>70757</xdr:colOff>
          <xdr:row>19</xdr:row>
          <xdr:rowOff>46264</xdr:rowOff>
        </xdr:to>
        <xdr:sp macro="" textlink="">
          <xdr:nvSpPr>
            <xdr:cNvPr id="53368" name="Check Box 120" hidden="1">
              <a:extLst>
                <a:ext uri="{63B3BB69-23CF-44E3-9099-C40C66FF867C}">
                  <a14:compatExt spid="_x0000_s53368"/>
                </a:ext>
                <a:ext uri="{FF2B5EF4-FFF2-40B4-BE49-F238E27FC236}">
                  <a16:creationId xmlns:a16="http://schemas.microsoft.com/office/drawing/2014/main" id="{00000000-0008-0000-0600-00007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20</xdr:row>
          <xdr:rowOff>46264</xdr:rowOff>
        </xdr:from>
        <xdr:to>
          <xdr:col>8</xdr:col>
          <xdr:colOff>59871</xdr:colOff>
          <xdr:row>22</xdr:row>
          <xdr:rowOff>46264</xdr:rowOff>
        </xdr:to>
        <xdr:sp macro="" textlink="">
          <xdr:nvSpPr>
            <xdr:cNvPr id="53369" name="Check Box 121" hidden="1">
              <a:extLst>
                <a:ext uri="{63B3BB69-23CF-44E3-9099-C40C66FF867C}">
                  <a14:compatExt spid="_x0000_s53369"/>
                </a:ext>
                <a:ext uri="{FF2B5EF4-FFF2-40B4-BE49-F238E27FC236}">
                  <a16:creationId xmlns:a16="http://schemas.microsoft.com/office/drawing/2014/main" id="{00000000-0008-0000-0600-00007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46264</xdr:rowOff>
        </xdr:from>
        <xdr:to>
          <xdr:col>9</xdr:col>
          <xdr:colOff>51707</xdr:colOff>
          <xdr:row>22</xdr:row>
          <xdr:rowOff>46264</xdr:rowOff>
        </xdr:to>
        <xdr:sp macro="" textlink="">
          <xdr:nvSpPr>
            <xdr:cNvPr id="53370" name="Check Box 122" hidden="1">
              <a:extLst>
                <a:ext uri="{63B3BB69-23CF-44E3-9099-C40C66FF867C}">
                  <a14:compatExt spid="_x0000_s53370"/>
                </a:ext>
                <a:ext uri="{FF2B5EF4-FFF2-40B4-BE49-F238E27FC236}">
                  <a16:creationId xmlns:a16="http://schemas.microsoft.com/office/drawing/2014/main" id="{00000000-0008-0000-0600-00007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20</xdr:row>
          <xdr:rowOff>46264</xdr:rowOff>
        </xdr:from>
        <xdr:to>
          <xdr:col>10</xdr:col>
          <xdr:colOff>70757</xdr:colOff>
          <xdr:row>22</xdr:row>
          <xdr:rowOff>46264</xdr:rowOff>
        </xdr:to>
        <xdr:sp macro="" textlink="">
          <xdr:nvSpPr>
            <xdr:cNvPr id="53371" name="Check Box 123" hidden="1">
              <a:extLst>
                <a:ext uri="{63B3BB69-23CF-44E3-9099-C40C66FF867C}">
                  <a14:compatExt spid="_x0000_s53371"/>
                </a:ext>
                <a:ext uri="{FF2B5EF4-FFF2-40B4-BE49-F238E27FC236}">
                  <a16:creationId xmlns:a16="http://schemas.microsoft.com/office/drawing/2014/main" id="{00000000-0008-0000-0600-00007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22</xdr:row>
          <xdr:rowOff>46264</xdr:rowOff>
        </xdr:from>
        <xdr:to>
          <xdr:col>8</xdr:col>
          <xdr:colOff>59871</xdr:colOff>
          <xdr:row>24</xdr:row>
          <xdr:rowOff>46264</xdr:rowOff>
        </xdr:to>
        <xdr:sp macro="" textlink="">
          <xdr:nvSpPr>
            <xdr:cNvPr id="53372" name="Check Box 124" hidden="1">
              <a:extLst>
                <a:ext uri="{63B3BB69-23CF-44E3-9099-C40C66FF867C}">
                  <a14:compatExt spid="_x0000_s53372"/>
                </a:ext>
                <a:ext uri="{FF2B5EF4-FFF2-40B4-BE49-F238E27FC236}">
                  <a16:creationId xmlns:a16="http://schemas.microsoft.com/office/drawing/2014/main" id="{00000000-0008-0000-0600-00007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46264</xdr:rowOff>
        </xdr:from>
        <xdr:to>
          <xdr:col>9</xdr:col>
          <xdr:colOff>51707</xdr:colOff>
          <xdr:row>24</xdr:row>
          <xdr:rowOff>46264</xdr:rowOff>
        </xdr:to>
        <xdr:sp macro="" textlink="">
          <xdr:nvSpPr>
            <xdr:cNvPr id="53373" name="Check Box 125" hidden="1">
              <a:extLst>
                <a:ext uri="{63B3BB69-23CF-44E3-9099-C40C66FF867C}">
                  <a14:compatExt spid="_x0000_s53373"/>
                </a:ext>
                <a:ext uri="{FF2B5EF4-FFF2-40B4-BE49-F238E27FC236}">
                  <a16:creationId xmlns:a16="http://schemas.microsoft.com/office/drawing/2014/main" id="{00000000-0008-0000-0600-00007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22</xdr:row>
          <xdr:rowOff>46264</xdr:rowOff>
        </xdr:from>
        <xdr:to>
          <xdr:col>10</xdr:col>
          <xdr:colOff>70757</xdr:colOff>
          <xdr:row>24</xdr:row>
          <xdr:rowOff>46264</xdr:rowOff>
        </xdr:to>
        <xdr:sp macro="" textlink="">
          <xdr:nvSpPr>
            <xdr:cNvPr id="53374" name="Check Box 126" hidden="1">
              <a:extLst>
                <a:ext uri="{63B3BB69-23CF-44E3-9099-C40C66FF867C}">
                  <a14:compatExt spid="_x0000_s53374"/>
                </a:ext>
                <a:ext uri="{FF2B5EF4-FFF2-40B4-BE49-F238E27FC236}">
                  <a16:creationId xmlns:a16="http://schemas.microsoft.com/office/drawing/2014/main" id="{00000000-0008-0000-0600-00007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24</xdr:row>
          <xdr:rowOff>46264</xdr:rowOff>
        </xdr:from>
        <xdr:to>
          <xdr:col>8</xdr:col>
          <xdr:colOff>59871</xdr:colOff>
          <xdr:row>26</xdr:row>
          <xdr:rowOff>46264</xdr:rowOff>
        </xdr:to>
        <xdr:sp macro="" textlink="">
          <xdr:nvSpPr>
            <xdr:cNvPr id="53375" name="Check Box 127" hidden="1">
              <a:extLst>
                <a:ext uri="{63B3BB69-23CF-44E3-9099-C40C66FF867C}">
                  <a14:compatExt spid="_x0000_s53375"/>
                </a:ext>
                <a:ext uri="{FF2B5EF4-FFF2-40B4-BE49-F238E27FC236}">
                  <a16:creationId xmlns:a16="http://schemas.microsoft.com/office/drawing/2014/main" id="{00000000-0008-0000-0600-00007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46264</xdr:rowOff>
        </xdr:from>
        <xdr:to>
          <xdr:col>9</xdr:col>
          <xdr:colOff>51707</xdr:colOff>
          <xdr:row>26</xdr:row>
          <xdr:rowOff>46264</xdr:rowOff>
        </xdr:to>
        <xdr:sp macro="" textlink="">
          <xdr:nvSpPr>
            <xdr:cNvPr id="53376" name="Check Box 128" hidden="1">
              <a:extLst>
                <a:ext uri="{63B3BB69-23CF-44E3-9099-C40C66FF867C}">
                  <a14:compatExt spid="_x0000_s53376"/>
                </a:ext>
                <a:ext uri="{FF2B5EF4-FFF2-40B4-BE49-F238E27FC236}">
                  <a16:creationId xmlns:a16="http://schemas.microsoft.com/office/drawing/2014/main" id="{00000000-0008-0000-0600-00008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24</xdr:row>
          <xdr:rowOff>46264</xdr:rowOff>
        </xdr:from>
        <xdr:to>
          <xdr:col>10</xdr:col>
          <xdr:colOff>70757</xdr:colOff>
          <xdr:row>26</xdr:row>
          <xdr:rowOff>46264</xdr:rowOff>
        </xdr:to>
        <xdr:sp macro="" textlink="">
          <xdr:nvSpPr>
            <xdr:cNvPr id="53377" name="Check Box 129" hidden="1">
              <a:extLst>
                <a:ext uri="{63B3BB69-23CF-44E3-9099-C40C66FF867C}">
                  <a14:compatExt spid="_x0000_s53377"/>
                </a:ext>
                <a:ext uri="{FF2B5EF4-FFF2-40B4-BE49-F238E27FC236}">
                  <a16:creationId xmlns:a16="http://schemas.microsoft.com/office/drawing/2014/main" id="{00000000-0008-0000-0600-00008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26</xdr:row>
          <xdr:rowOff>46264</xdr:rowOff>
        </xdr:from>
        <xdr:to>
          <xdr:col>8</xdr:col>
          <xdr:colOff>59871</xdr:colOff>
          <xdr:row>28</xdr:row>
          <xdr:rowOff>46264</xdr:rowOff>
        </xdr:to>
        <xdr:sp macro="" textlink="">
          <xdr:nvSpPr>
            <xdr:cNvPr id="53378" name="Check Box 130" hidden="1">
              <a:extLst>
                <a:ext uri="{63B3BB69-23CF-44E3-9099-C40C66FF867C}">
                  <a14:compatExt spid="_x0000_s53378"/>
                </a:ext>
                <a:ext uri="{FF2B5EF4-FFF2-40B4-BE49-F238E27FC236}">
                  <a16:creationId xmlns:a16="http://schemas.microsoft.com/office/drawing/2014/main" id="{00000000-0008-0000-0600-00008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46264</xdr:rowOff>
        </xdr:from>
        <xdr:to>
          <xdr:col>9</xdr:col>
          <xdr:colOff>51707</xdr:colOff>
          <xdr:row>28</xdr:row>
          <xdr:rowOff>46264</xdr:rowOff>
        </xdr:to>
        <xdr:sp macro="" textlink="">
          <xdr:nvSpPr>
            <xdr:cNvPr id="53379" name="Check Box 131" hidden="1">
              <a:extLst>
                <a:ext uri="{63B3BB69-23CF-44E3-9099-C40C66FF867C}">
                  <a14:compatExt spid="_x0000_s53379"/>
                </a:ext>
                <a:ext uri="{FF2B5EF4-FFF2-40B4-BE49-F238E27FC236}">
                  <a16:creationId xmlns:a16="http://schemas.microsoft.com/office/drawing/2014/main" id="{00000000-0008-0000-0600-00008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26</xdr:row>
          <xdr:rowOff>46264</xdr:rowOff>
        </xdr:from>
        <xdr:to>
          <xdr:col>10</xdr:col>
          <xdr:colOff>70757</xdr:colOff>
          <xdr:row>28</xdr:row>
          <xdr:rowOff>46264</xdr:rowOff>
        </xdr:to>
        <xdr:sp macro="" textlink="">
          <xdr:nvSpPr>
            <xdr:cNvPr id="53380" name="Check Box 132" hidden="1">
              <a:extLst>
                <a:ext uri="{63B3BB69-23CF-44E3-9099-C40C66FF867C}">
                  <a14:compatExt spid="_x0000_s53380"/>
                </a:ext>
                <a:ext uri="{FF2B5EF4-FFF2-40B4-BE49-F238E27FC236}">
                  <a16:creationId xmlns:a16="http://schemas.microsoft.com/office/drawing/2014/main" id="{00000000-0008-0000-0600-00008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28</xdr:row>
          <xdr:rowOff>46264</xdr:rowOff>
        </xdr:from>
        <xdr:to>
          <xdr:col>8</xdr:col>
          <xdr:colOff>59871</xdr:colOff>
          <xdr:row>30</xdr:row>
          <xdr:rowOff>46264</xdr:rowOff>
        </xdr:to>
        <xdr:sp macro="" textlink="">
          <xdr:nvSpPr>
            <xdr:cNvPr id="53381" name="Check Box 133" hidden="1">
              <a:extLst>
                <a:ext uri="{63B3BB69-23CF-44E3-9099-C40C66FF867C}">
                  <a14:compatExt spid="_x0000_s53381"/>
                </a:ext>
                <a:ext uri="{FF2B5EF4-FFF2-40B4-BE49-F238E27FC236}">
                  <a16:creationId xmlns:a16="http://schemas.microsoft.com/office/drawing/2014/main" id="{00000000-0008-0000-0600-00008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46264</xdr:rowOff>
        </xdr:from>
        <xdr:to>
          <xdr:col>9</xdr:col>
          <xdr:colOff>51707</xdr:colOff>
          <xdr:row>30</xdr:row>
          <xdr:rowOff>46264</xdr:rowOff>
        </xdr:to>
        <xdr:sp macro="" textlink="">
          <xdr:nvSpPr>
            <xdr:cNvPr id="53382" name="Check Box 134" hidden="1">
              <a:extLst>
                <a:ext uri="{63B3BB69-23CF-44E3-9099-C40C66FF867C}">
                  <a14:compatExt spid="_x0000_s53382"/>
                </a:ext>
                <a:ext uri="{FF2B5EF4-FFF2-40B4-BE49-F238E27FC236}">
                  <a16:creationId xmlns:a16="http://schemas.microsoft.com/office/drawing/2014/main" id="{00000000-0008-0000-0600-00008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28</xdr:row>
          <xdr:rowOff>46264</xdr:rowOff>
        </xdr:from>
        <xdr:to>
          <xdr:col>10</xdr:col>
          <xdr:colOff>70757</xdr:colOff>
          <xdr:row>30</xdr:row>
          <xdr:rowOff>46264</xdr:rowOff>
        </xdr:to>
        <xdr:sp macro="" textlink="">
          <xdr:nvSpPr>
            <xdr:cNvPr id="53383" name="Check Box 135" hidden="1">
              <a:extLst>
                <a:ext uri="{63B3BB69-23CF-44E3-9099-C40C66FF867C}">
                  <a14:compatExt spid="_x0000_s53383"/>
                </a:ext>
                <a:ext uri="{FF2B5EF4-FFF2-40B4-BE49-F238E27FC236}">
                  <a16:creationId xmlns:a16="http://schemas.microsoft.com/office/drawing/2014/main" id="{00000000-0008-0000-0600-00008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30</xdr:row>
          <xdr:rowOff>46264</xdr:rowOff>
        </xdr:from>
        <xdr:to>
          <xdr:col>8</xdr:col>
          <xdr:colOff>59871</xdr:colOff>
          <xdr:row>32</xdr:row>
          <xdr:rowOff>46264</xdr:rowOff>
        </xdr:to>
        <xdr:sp macro="" textlink="">
          <xdr:nvSpPr>
            <xdr:cNvPr id="53384" name="Check Box 136" hidden="1">
              <a:extLst>
                <a:ext uri="{63B3BB69-23CF-44E3-9099-C40C66FF867C}">
                  <a14:compatExt spid="_x0000_s53384"/>
                </a:ext>
                <a:ext uri="{FF2B5EF4-FFF2-40B4-BE49-F238E27FC236}">
                  <a16:creationId xmlns:a16="http://schemas.microsoft.com/office/drawing/2014/main" id="{00000000-0008-0000-0600-00008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46264</xdr:rowOff>
        </xdr:from>
        <xdr:to>
          <xdr:col>9</xdr:col>
          <xdr:colOff>51707</xdr:colOff>
          <xdr:row>32</xdr:row>
          <xdr:rowOff>46264</xdr:rowOff>
        </xdr:to>
        <xdr:sp macro="" textlink="">
          <xdr:nvSpPr>
            <xdr:cNvPr id="53385" name="Check Box 137" hidden="1">
              <a:extLst>
                <a:ext uri="{63B3BB69-23CF-44E3-9099-C40C66FF867C}">
                  <a14:compatExt spid="_x0000_s53385"/>
                </a:ext>
                <a:ext uri="{FF2B5EF4-FFF2-40B4-BE49-F238E27FC236}">
                  <a16:creationId xmlns:a16="http://schemas.microsoft.com/office/drawing/2014/main" id="{00000000-0008-0000-0600-00008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30</xdr:row>
          <xdr:rowOff>46264</xdr:rowOff>
        </xdr:from>
        <xdr:to>
          <xdr:col>10</xdr:col>
          <xdr:colOff>70757</xdr:colOff>
          <xdr:row>32</xdr:row>
          <xdr:rowOff>46264</xdr:rowOff>
        </xdr:to>
        <xdr:sp macro="" textlink="">
          <xdr:nvSpPr>
            <xdr:cNvPr id="53386" name="Check Box 138" hidden="1">
              <a:extLst>
                <a:ext uri="{63B3BB69-23CF-44E3-9099-C40C66FF867C}">
                  <a14:compatExt spid="_x0000_s53386"/>
                </a:ext>
                <a:ext uri="{FF2B5EF4-FFF2-40B4-BE49-F238E27FC236}">
                  <a16:creationId xmlns:a16="http://schemas.microsoft.com/office/drawing/2014/main" id="{00000000-0008-0000-0600-00008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32</xdr:row>
          <xdr:rowOff>46264</xdr:rowOff>
        </xdr:from>
        <xdr:to>
          <xdr:col>8</xdr:col>
          <xdr:colOff>59871</xdr:colOff>
          <xdr:row>34</xdr:row>
          <xdr:rowOff>46264</xdr:rowOff>
        </xdr:to>
        <xdr:sp macro="" textlink="">
          <xdr:nvSpPr>
            <xdr:cNvPr id="53387" name="Check Box 139" hidden="1">
              <a:extLst>
                <a:ext uri="{63B3BB69-23CF-44E3-9099-C40C66FF867C}">
                  <a14:compatExt spid="_x0000_s53387"/>
                </a:ext>
                <a:ext uri="{FF2B5EF4-FFF2-40B4-BE49-F238E27FC236}">
                  <a16:creationId xmlns:a16="http://schemas.microsoft.com/office/drawing/2014/main" id="{00000000-0008-0000-0600-00008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46264</xdr:rowOff>
        </xdr:from>
        <xdr:to>
          <xdr:col>9</xdr:col>
          <xdr:colOff>51707</xdr:colOff>
          <xdr:row>34</xdr:row>
          <xdr:rowOff>46264</xdr:rowOff>
        </xdr:to>
        <xdr:sp macro="" textlink="">
          <xdr:nvSpPr>
            <xdr:cNvPr id="53388" name="Check Box 140" hidden="1">
              <a:extLst>
                <a:ext uri="{63B3BB69-23CF-44E3-9099-C40C66FF867C}">
                  <a14:compatExt spid="_x0000_s53388"/>
                </a:ext>
                <a:ext uri="{FF2B5EF4-FFF2-40B4-BE49-F238E27FC236}">
                  <a16:creationId xmlns:a16="http://schemas.microsoft.com/office/drawing/2014/main" id="{00000000-0008-0000-0600-00008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32</xdr:row>
          <xdr:rowOff>46264</xdr:rowOff>
        </xdr:from>
        <xdr:to>
          <xdr:col>10</xdr:col>
          <xdr:colOff>70757</xdr:colOff>
          <xdr:row>34</xdr:row>
          <xdr:rowOff>46264</xdr:rowOff>
        </xdr:to>
        <xdr:sp macro="" textlink="">
          <xdr:nvSpPr>
            <xdr:cNvPr id="53389" name="Check Box 141" hidden="1">
              <a:extLst>
                <a:ext uri="{63B3BB69-23CF-44E3-9099-C40C66FF867C}">
                  <a14:compatExt spid="_x0000_s53389"/>
                </a:ext>
                <a:ext uri="{FF2B5EF4-FFF2-40B4-BE49-F238E27FC236}">
                  <a16:creationId xmlns:a16="http://schemas.microsoft.com/office/drawing/2014/main" id="{00000000-0008-0000-0600-00008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34</xdr:row>
          <xdr:rowOff>46264</xdr:rowOff>
        </xdr:from>
        <xdr:to>
          <xdr:col>8</xdr:col>
          <xdr:colOff>59871</xdr:colOff>
          <xdr:row>36</xdr:row>
          <xdr:rowOff>46264</xdr:rowOff>
        </xdr:to>
        <xdr:sp macro="" textlink="">
          <xdr:nvSpPr>
            <xdr:cNvPr id="53390" name="Check Box 142" hidden="1">
              <a:extLst>
                <a:ext uri="{63B3BB69-23CF-44E3-9099-C40C66FF867C}">
                  <a14:compatExt spid="_x0000_s53390"/>
                </a:ext>
                <a:ext uri="{FF2B5EF4-FFF2-40B4-BE49-F238E27FC236}">
                  <a16:creationId xmlns:a16="http://schemas.microsoft.com/office/drawing/2014/main" id="{00000000-0008-0000-0600-00008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46264</xdr:rowOff>
        </xdr:from>
        <xdr:to>
          <xdr:col>9</xdr:col>
          <xdr:colOff>51707</xdr:colOff>
          <xdr:row>36</xdr:row>
          <xdr:rowOff>46264</xdr:rowOff>
        </xdr:to>
        <xdr:sp macro="" textlink="">
          <xdr:nvSpPr>
            <xdr:cNvPr id="53391" name="Check Box 143" hidden="1">
              <a:extLst>
                <a:ext uri="{63B3BB69-23CF-44E3-9099-C40C66FF867C}">
                  <a14:compatExt spid="_x0000_s53391"/>
                </a:ext>
                <a:ext uri="{FF2B5EF4-FFF2-40B4-BE49-F238E27FC236}">
                  <a16:creationId xmlns:a16="http://schemas.microsoft.com/office/drawing/2014/main" id="{00000000-0008-0000-0600-00008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34</xdr:row>
          <xdr:rowOff>46264</xdr:rowOff>
        </xdr:from>
        <xdr:to>
          <xdr:col>10</xdr:col>
          <xdr:colOff>70757</xdr:colOff>
          <xdr:row>36</xdr:row>
          <xdr:rowOff>46264</xdr:rowOff>
        </xdr:to>
        <xdr:sp macro="" textlink="">
          <xdr:nvSpPr>
            <xdr:cNvPr id="53392" name="Check Box 144" hidden="1">
              <a:extLst>
                <a:ext uri="{63B3BB69-23CF-44E3-9099-C40C66FF867C}">
                  <a14:compatExt spid="_x0000_s53392"/>
                </a:ext>
                <a:ext uri="{FF2B5EF4-FFF2-40B4-BE49-F238E27FC236}">
                  <a16:creationId xmlns:a16="http://schemas.microsoft.com/office/drawing/2014/main" id="{00000000-0008-0000-0600-00009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36</xdr:row>
          <xdr:rowOff>46264</xdr:rowOff>
        </xdr:from>
        <xdr:to>
          <xdr:col>8</xdr:col>
          <xdr:colOff>59871</xdr:colOff>
          <xdr:row>38</xdr:row>
          <xdr:rowOff>46264</xdr:rowOff>
        </xdr:to>
        <xdr:sp macro="" textlink="">
          <xdr:nvSpPr>
            <xdr:cNvPr id="53393" name="Check Box 145" hidden="1">
              <a:extLst>
                <a:ext uri="{63B3BB69-23CF-44E3-9099-C40C66FF867C}">
                  <a14:compatExt spid="_x0000_s53393"/>
                </a:ext>
                <a:ext uri="{FF2B5EF4-FFF2-40B4-BE49-F238E27FC236}">
                  <a16:creationId xmlns:a16="http://schemas.microsoft.com/office/drawing/2014/main" id="{00000000-0008-0000-0600-00009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46264</xdr:rowOff>
        </xdr:from>
        <xdr:to>
          <xdr:col>9</xdr:col>
          <xdr:colOff>51707</xdr:colOff>
          <xdr:row>38</xdr:row>
          <xdr:rowOff>46264</xdr:rowOff>
        </xdr:to>
        <xdr:sp macro="" textlink="">
          <xdr:nvSpPr>
            <xdr:cNvPr id="53394" name="Check Box 146" hidden="1">
              <a:extLst>
                <a:ext uri="{63B3BB69-23CF-44E3-9099-C40C66FF867C}">
                  <a14:compatExt spid="_x0000_s53394"/>
                </a:ext>
                <a:ext uri="{FF2B5EF4-FFF2-40B4-BE49-F238E27FC236}">
                  <a16:creationId xmlns:a16="http://schemas.microsoft.com/office/drawing/2014/main" id="{00000000-0008-0000-0600-00009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36</xdr:row>
          <xdr:rowOff>46264</xdr:rowOff>
        </xdr:from>
        <xdr:to>
          <xdr:col>10</xdr:col>
          <xdr:colOff>70757</xdr:colOff>
          <xdr:row>38</xdr:row>
          <xdr:rowOff>46264</xdr:rowOff>
        </xdr:to>
        <xdr:sp macro="" textlink="">
          <xdr:nvSpPr>
            <xdr:cNvPr id="53395" name="Check Box 147" hidden="1">
              <a:extLst>
                <a:ext uri="{63B3BB69-23CF-44E3-9099-C40C66FF867C}">
                  <a14:compatExt spid="_x0000_s53395"/>
                </a:ext>
                <a:ext uri="{FF2B5EF4-FFF2-40B4-BE49-F238E27FC236}">
                  <a16:creationId xmlns:a16="http://schemas.microsoft.com/office/drawing/2014/main" id="{00000000-0008-0000-0600-00009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38</xdr:row>
          <xdr:rowOff>46264</xdr:rowOff>
        </xdr:from>
        <xdr:to>
          <xdr:col>8</xdr:col>
          <xdr:colOff>59871</xdr:colOff>
          <xdr:row>40</xdr:row>
          <xdr:rowOff>46264</xdr:rowOff>
        </xdr:to>
        <xdr:sp macro="" textlink="">
          <xdr:nvSpPr>
            <xdr:cNvPr id="53396" name="Check Box 148" hidden="1">
              <a:extLst>
                <a:ext uri="{63B3BB69-23CF-44E3-9099-C40C66FF867C}">
                  <a14:compatExt spid="_x0000_s53396"/>
                </a:ext>
                <a:ext uri="{FF2B5EF4-FFF2-40B4-BE49-F238E27FC236}">
                  <a16:creationId xmlns:a16="http://schemas.microsoft.com/office/drawing/2014/main" id="{00000000-0008-0000-0600-00009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46264</xdr:rowOff>
        </xdr:from>
        <xdr:to>
          <xdr:col>9</xdr:col>
          <xdr:colOff>51707</xdr:colOff>
          <xdr:row>40</xdr:row>
          <xdr:rowOff>46264</xdr:rowOff>
        </xdr:to>
        <xdr:sp macro="" textlink="">
          <xdr:nvSpPr>
            <xdr:cNvPr id="53397" name="Check Box 149" hidden="1">
              <a:extLst>
                <a:ext uri="{63B3BB69-23CF-44E3-9099-C40C66FF867C}">
                  <a14:compatExt spid="_x0000_s53397"/>
                </a:ext>
                <a:ext uri="{FF2B5EF4-FFF2-40B4-BE49-F238E27FC236}">
                  <a16:creationId xmlns:a16="http://schemas.microsoft.com/office/drawing/2014/main" id="{00000000-0008-0000-0600-00009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38</xdr:row>
          <xdr:rowOff>46264</xdr:rowOff>
        </xdr:from>
        <xdr:to>
          <xdr:col>10</xdr:col>
          <xdr:colOff>70757</xdr:colOff>
          <xdr:row>40</xdr:row>
          <xdr:rowOff>46264</xdr:rowOff>
        </xdr:to>
        <xdr:sp macro="" textlink="">
          <xdr:nvSpPr>
            <xdr:cNvPr id="53398" name="Check Box 150" hidden="1">
              <a:extLst>
                <a:ext uri="{63B3BB69-23CF-44E3-9099-C40C66FF867C}">
                  <a14:compatExt spid="_x0000_s53398"/>
                </a:ext>
                <a:ext uri="{FF2B5EF4-FFF2-40B4-BE49-F238E27FC236}">
                  <a16:creationId xmlns:a16="http://schemas.microsoft.com/office/drawing/2014/main" id="{00000000-0008-0000-0600-00009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40</xdr:row>
          <xdr:rowOff>46264</xdr:rowOff>
        </xdr:from>
        <xdr:to>
          <xdr:col>8</xdr:col>
          <xdr:colOff>59871</xdr:colOff>
          <xdr:row>42</xdr:row>
          <xdr:rowOff>46264</xdr:rowOff>
        </xdr:to>
        <xdr:sp macro="" textlink="">
          <xdr:nvSpPr>
            <xdr:cNvPr id="53399" name="Check Box 151" hidden="1">
              <a:extLst>
                <a:ext uri="{63B3BB69-23CF-44E3-9099-C40C66FF867C}">
                  <a14:compatExt spid="_x0000_s53399"/>
                </a:ext>
                <a:ext uri="{FF2B5EF4-FFF2-40B4-BE49-F238E27FC236}">
                  <a16:creationId xmlns:a16="http://schemas.microsoft.com/office/drawing/2014/main" id="{00000000-0008-0000-0600-00009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46264</xdr:rowOff>
        </xdr:from>
        <xdr:to>
          <xdr:col>9</xdr:col>
          <xdr:colOff>51707</xdr:colOff>
          <xdr:row>42</xdr:row>
          <xdr:rowOff>46264</xdr:rowOff>
        </xdr:to>
        <xdr:sp macro="" textlink="">
          <xdr:nvSpPr>
            <xdr:cNvPr id="53400" name="Check Box 152" hidden="1">
              <a:extLst>
                <a:ext uri="{63B3BB69-23CF-44E3-9099-C40C66FF867C}">
                  <a14:compatExt spid="_x0000_s53400"/>
                </a:ext>
                <a:ext uri="{FF2B5EF4-FFF2-40B4-BE49-F238E27FC236}">
                  <a16:creationId xmlns:a16="http://schemas.microsoft.com/office/drawing/2014/main" id="{00000000-0008-0000-0600-00009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40</xdr:row>
          <xdr:rowOff>46264</xdr:rowOff>
        </xdr:from>
        <xdr:to>
          <xdr:col>10</xdr:col>
          <xdr:colOff>70757</xdr:colOff>
          <xdr:row>42</xdr:row>
          <xdr:rowOff>46264</xdr:rowOff>
        </xdr:to>
        <xdr:sp macro="" textlink="">
          <xdr:nvSpPr>
            <xdr:cNvPr id="53401" name="Check Box 153" hidden="1">
              <a:extLst>
                <a:ext uri="{63B3BB69-23CF-44E3-9099-C40C66FF867C}">
                  <a14:compatExt spid="_x0000_s53401"/>
                </a:ext>
                <a:ext uri="{FF2B5EF4-FFF2-40B4-BE49-F238E27FC236}">
                  <a16:creationId xmlns:a16="http://schemas.microsoft.com/office/drawing/2014/main" id="{00000000-0008-0000-0600-00009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42</xdr:row>
          <xdr:rowOff>46264</xdr:rowOff>
        </xdr:from>
        <xdr:to>
          <xdr:col>8</xdr:col>
          <xdr:colOff>59871</xdr:colOff>
          <xdr:row>44</xdr:row>
          <xdr:rowOff>46264</xdr:rowOff>
        </xdr:to>
        <xdr:sp macro="" textlink="">
          <xdr:nvSpPr>
            <xdr:cNvPr id="53402" name="Check Box 154" hidden="1">
              <a:extLst>
                <a:ext uri="{63B3BB69-23CF-44E3-9099-C40C66FF867C}">
                  <a14:compatExt spid="_x0000_s53402"/>
                </a:ext>
                <a:ext uri="{FF2B5EF4-FFF2-40B4-BE49-F238E27FC236}">
                  <a16:creationId xmlns:a16="http://schemas.microsoft.com/office/drawing/2014/main" id="{00000000-0008-0000-0600-00009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46264</xdr:rowOff>
        </xdr:from>
        <xdr:to>
          <xdr:col>9</xdr:col>
          <xdr:colOff>51707</xdr:colOff>
          <xdr:row>44</xdr:row>
          <xdr:rowOff>46264</xdr:rowOff>
        </xdr:to>
        <xdr:sp macro="" textlink="">
          <xdr:nvSpPr>
            <xdr:cNvPr id="53403" name="Check Box 155" hidden="1">
              <a:extLst>
                <a:ext uri="{63B3BB69-23CF-44E3-9099-C40C66FF867C}">
                  <a14:compatExt spid="_x0000_s53403"/>
                </a:ext>
                <a:ext uri="{FF2B5EF4-FFF2-40B4-BE49-F238E27FC236}">
                  <a16:creationId xmlns:a16="http://schemas.microsoft.com/office/drawing/2014/main" id="{00000000-0008-0000-0600-00009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42</xdr:row>
          <xdr:rowOff>46264</xdr:rowOff>
        </xdr:from>
        <xdr:to>
          <xdr:col>10</xdr:col>
          <xdr:colOff>70757</xdr:colOff>
          <xdr:row>44</xdr:row>
          <xdr:rowOff>46264</xdr:rowOff>
        </xdr:to>
        <xdr:sp macro="" textlink="">
          <xdr:nvSpPr>
            <xdr:cNvPr id="53404" name="Check Box 156" hidden="1">
              <a:extLst>
                <a:ext uri="{63B3BB69-23CF-44E3-9099-C40C66FF867C}">
                  <a14:compatExt spid="_x0000_s53404"/>
                </a:ext>
                <a:ext uri="{FF2B5EF4-FFF2-40B4-BE49-F238E27FC236}">
                  <a16:creationId xmlns:a16="http://schemas.microsoft.com/office/drawing/2014/main" id="{00000000-0008-0000-0600-00009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44</xdr:row>
          <xdr:rowOff>46264</xdr:rowOff>
        </xdr:from>
        <xdr:to>
          <xdr:col>8</xdr:col>
          <xdr:colOff>59871</xdr:colOff>
          <xdr:row>46</xdr:row>
          <xdr:rowOff>46264</xdr:rowOff>
        </xdr:to>
        <xdr:sp macro="" textlink="">
          <xdr:nvSpPr>
            <xdr:cNvPr id="53405" name="Check Box 157" hidden="1">
              <a:extLst>
                <a:ext uri="{63B3BB69-23CF-44E3-9099-C40C66FF867C}">
                  <a14:compatExt spid="_x0000_s53405"/>
                </a:ext>
                <a:ext uri="{FF2B5EF4-FFF2-40B4-BE49-F238E27FC236}">
                  <a16:creationId xmlns:a16="http://schemas.microsoft.com/office/drawing/2014/main" id="{00000000-0008-0000-0600-00009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46264</xdr:rowOff>
        </xdr:from>
        <xdr:to>
          <xdr:col>9</xdr:col>
          <xdr:colOff>51707</xdr:colOff>
          <xdr:row>46</xdr:row>
          <xdr:rowOff>46264</xdr:rowOff>
        </xdr:to>
        <xdr:sp macro="" textlink="">
          <xdr:nvSpPr>
            <xdr:cNvPr id="53406" name="Check Box 158" hidden="1">
              <a:extLst>
                <a:ext uri="{63B3BB69-23CF-44E3-9099-C40C66FF867C}">
                  <a14:compatExt spid="_x0000_s53406"/>
                </a:ext>
                <a:ext uri="{FF2B5EF4-FFF2-40B4-BE49-F238E27FC236}">
                  <a16:creationId xmlns:a16="http://schemas.microsoft.com/office/drawing/2014/main" id="{00000000-0008-0000-0600-00009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44</xdr:row>
          <xdr:rowOff>46264</xdr:rowOff>
        </xdr:from>
        <xdr:to>
          <xdr:col>10</xdr:col>
          <xdr:colOff>70757</xdr:colOff>
          <xdr:row>46</xdr:row>
          <xdr:rowOff>46264</xdr:rowOff>
        </xdr:to>
        <xdr:sp macro="" textlink="">
          <xdr:nvSpPr>
            <xdr:cNvPr id="53407" name="Check Box 159" hidden="1">
              <a:extLst>
                <a:ext uri="{63B3BB69-23CF-44E3-9099-C40C66FF867C}">
                  <a14:compatExt spid="_x0000_s53407"/>
                </a:ext>
                <a:ext uri="{FF2B5EF4-FFF2-40B4-BE49-F238E27FC236}">
                  <a16:creationId xmlns:a16="http://schemas.microsoft.com/office/drawing/2014/main" id="{00000000-0008-0000-0600-00009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46</xdr:row>
          <xdr:rowOff>46264</xdr:rowOff>
        </xdr:from>
        <xdr:to>
          <xdr:col>8</xdr:col>
          <xdr:colOff>59871</xdr:colOff>
          <xdr:row>48</xdr:row>
          <xdr:rowOff>46264</xdr:rowOff>
        </xdr:to>
        <xdr:sp macro="" textlink="">
          <xdr:nvSpPr>
            <xdr:cNvPr id="53408" name="Check Box 160" hidden="1">
              <a:extLst>
                <a:ext uri="{63B3BB69-23CF-44E3-9099-C40C66FF867C}">
                  <a14:compatExt spid="_x0000_s53408"/>
                </a:ext>
                <a:ext uri="{FF2B5EF4-FFF2-40B4-BE49-F238E27FC236}">
                  <a16:creationId xmlns:a16="http://schemas.microsoft.com/office/drawing/2014/main" id="{00000000-0008-0000-0600-0000A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46264</xdr:rowOff>
        </xdr:from>
        <xdr:to>
          <xdr:col>9</xdr:col>
          <xdr:colOff>51707</xdr:colOff>
          <xdr:row>48</xdr:row>
          <xdr:rowOff>46264</xdr:rowOff>
        </xdr:to>
        <xdr:sp macro="" textlink="">
          <xdr:nvSpPr>
            <xdr:cNvPr id="53409" name="Check Box 161" hidden="1">
              <a:extLst>
                <a:ext uri="{63B3BB69-23CF-44E3-9099-C40C66FF867C}">
                  <a14:compatExt spid="_x0000_s53409"/>
                </a:ext>
                <a:ext uri="{FF2B5EF4-FFF2-40B4-BE49-F238E27FC236}">
                  <a16:creationId xmlns:a16="http://schemas.microsoft.com/office/drawing/2014/main" id="{00000000-0008-0000-0600-0000A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46</xdr:row>
          <xdr:rowOff>46264</xdr:rowOff>
        </xdr:from>
        <xdr:to>
          <xdr:col>10</xdr:col>
          <xdr:colOff>70757</xdr:colOff>
          <xdr:row>48</xdr:row>
          <xdr:rowOff>46264</xdr:rowOff>
        </xdr:to>
        <xdr:sp macro="" textlink="">
          <xdr:nvSpPr>
            <xdr:cNvPr id="53410" name="Check Box 162" hidden="1">
              <a:extLst>
                <a:ext uri="{63B3BB69-23CF-44E3-9099-C40C66FF867C}">
                  <a14:compatExt spid="_x0000_s53410"/>
                </a:ext>
                <a:ext uri="{FF2B5EF4-FFF2-40B4-BE49-F238E27FC236}">
                  <a16:creationId xmlns:a16="http://schemas.microsoft.com/office/drawing/2014/main" id="{00000000-0008-0000-0600-0000A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48</xdr:row>
          <xdr:rowOff>46264</xdr:rowOff>
        </xdr:from>
        <xdr:to>
          <xdr:col>8</xdr:col>
          <xdr:colOff>59871</xdr:colOff>
          <xdr:row>50</xdr:row>
          <xdr:rowOff>46264</xdr:rowOff>
        </xdr:to>
        <xdr:sp macro="" textlink="">
          <xdr:nvSpPr>
            <xdr:cNvPr id="53411" name="Check Box 163" hidden="1">
              <a:extLst>
                <a:ext uri="{63B3BB69-23CF-44E3-9099-C40C66FF867C}">
                  <a14:compatExt spid="_x0000_s53411"/>
                </a:ext>
                <a:ext uri="{FF2B5EF4-FFF2-40B4-BE49-F238E27FC236}">
                  <a16:creationId xmlns:a16="http://schemas.microsoft.com/office/drawing/2014/main" id="{00000000-0008-0000-0600-0000A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46264</xdr:rowOff>
        </xdr:from>
        <xdr:to>
          <xdr:col>9</xdr:col>
          <xdr:colOff>51707</xdr:colOff>
          <xdr:row>50</xdr:row>
          <xdr:rowOff>46264</xdr:rowOff>
        </xdr:to>
        <xdr:sp macro="" textlink="">
          <xdr:nvSpPr>
            <xdr:cNvPr id="53412" name="Check Box 164" hidden="1">
              <a:extLst>
                <a:ext uri="{63B3BB69-23CF-44E3-9099-C40C66FF867C}">
                  <a14:compatExt spid="_x0000_s53412"/>
                </a:ext>
                <a:ext uri="{FF2B5EF4-FFF2-40B4-BE49-F238E27FC236}">
                  <a16:creationId xmlns:a16="http://schemas.microsoft.com/office/drawing/2014/main" id="{00000000-0008-0000-0600-0000A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48</xdr:row>
          <xdr:rowOff>46264</xdr:rowOff>
        </xdr:from>
        <xdr:to>
          <xdr:col>10</xdr:col>
          <xdr:colOff>70757</xdr:colOff>
          <xdr:row>50</xdr:row>
          <xdr:rowOff>46264</xdr:rowOff>
        </xdr:to>
        <xdr:sp macro="" textlink="">
          <xdr:nvSpPr>
            <xdr:cNvPr id="53413" name="Check Box 165" hidden="1">
              <a:extLst>
                <a:ext uri="{63B3BB69-23CF-44E3-9099-C40C66FF867C}">
                  <a14:compatExt spid="_x0000_s53413"/>
                </a:ext>
                <a:ext uri="{FF2B5EF4-FFF2-40B4-BE49-F238E27FC236}">
                  <a16:creationId xmlns:a16="http://schemas.microsoft.com/office/drawing/2014/main" id="{00000000-0008-0000-0600-0000A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50</xdr:row>
          <xdr:rowOff>46264</xdr:rowOff>
        </xdr:from>
        <xdr:to>
          <xdr:col>8</xdr:col>
          <xdr:colOff>59871</xdr:colOff>
          <xdr:row>52</xdr:row>
          <xdr:rowOff>46264</xdr:rowOff>
        </xdr:to>
        <xdr:sp macro="" textlink="">
          <xdr:nvSpPr>
            <xdr:cNvPr id="53414" name="Check Box 166" hidden="1">
              <a:extLst>
                <a:ext uri="{63B3BB69-23CF-44E3-9099-C40C66FF867C}">
                  <a14:compatExt spid="_x0000_s53414"/>
                </a:ext>
                <a:ext uri="{FF2B5EF4-FFF2-40B4-BE49-F238E27FC236}">
                  <a16:creationId xmlns:a16="http://schemas.microsoft.com/office/drawing/2014/main" id="{00000000-0008-0000-0600-0000A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46264</xdr:rowOff>
        </xdr:from>
        <xdr:to>
          <xdr:col>9</xdr:col>
          <xdr:colOff>51707</xdr:colOff>
          <xdr:row>52</xdr:row>
          <xdr:rowOff>46264</xdr:rowOff>
        </xdr:to>
        <xdr:sp macro="" textlink="">
          <xdr:nvSpPr>
            <xdr:cNvPr id="53415" name="Check Box 167" hidden="1">
              <a:extLst>
                <a:ext uri="{63B3BB69-23CF-44E3-9099-C40C66FF867C}">
                  <a14:compatExt spid="_x0000_s53415"/>
                </a:ext>
                <a:ext uri="{FF2B5EF4-FFF2-40B4-BE49-F238E27FC236}">
                  <a16:creationId xmlns:a16="http://schemas.microsoft.com/office/drawing/2014/main" id="{00000000-0008-0000-0600-0000A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50</xdr:row>
          <xdr:rowOff>46264</xdr:rowOff>
        </xdr:from>
        <xdr:to>
          <xdr:col>10</xdr:col>
          <xdr:colOff>70757</xdr:colOff>
          <xdr:row>52</xdr:row>
          <xdr:rowOff>46264</xdr:rowOff>
        </xdr:to>
        <xdr:sp macro="" textlink="">
          <xdr:nvSpPr>
            <xdr:cNvPr id="53416" name="Check Box 168" hidden="1">
              <a:extLst>
                <a:ext uri="{63B3BB69-23CF-44E3-9099-C40C66FF867C}">
                  <a14:compatExt spid="_x0000_s53416"/>
                </a:ext>
                <a:ext uri="{FF2B5EF4-FFF2-40B4-BE49-F238E27FC236}">
                  <a16:creationId xmlns:a16="http://schemas.microsoft.com/office/drawing/2014/main" id="{00000000-0008-0000-0600-0000A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52</xdr:row>
          <xdr:rowOff>46264</xdr:rowOff>
        </xdr:from>
        <xdr:to>
          <xdr:col>8</xdr:col>
          <xdr:colOff>59871</xdr:colOff>
          <xdr:row>54</xdr:row>
          <xdr:rowOff>46264</xdr:rowOff>
        </xdr:to>
        <xdr:sp macro="" textlink="">
          <xdr:nvSpPr>
            <xdr:cNvPr id="53417" name="Check Box 169" hidden="1">
              <a:extLst>
                <a:ext uri="{63B3BB69-23CF-44E3-9099-C40C66FF867C}">
                  <a14:compatExt spid="_x0000_s53417"/>
                </a:ext>
                <a:ext uri="{FF2B5EF4-FFF2-40B4-BE49-F238E27FC236}">
                  <a16:creationId xmlns:a16="http://schemas.microsoft.com/office/drawing/2014/main" id="{00000000-0008-0000-0600-0000A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46264</xdr:rowOff>
        </xdr:from>
        <xdr:to>
          <xdr:col>9</xdr:col>
          <xdr:colOff>51707</xdr:colOff>
          <xdr:row>54</xdr:row>
          <xdr:rowOff>46264</xdr:rowOff>
        </xdr:to>
        <xdr:sp macro="" textlink="">
          <xdr:nvSpPr>
            <xdr:cNvPr id="53418" name="Check Box 170" hidden="1">
              <a:extLst>
                <a:ext uri="{63B3BB69-23CF-44E3-9099-C40C66FF867C}">
                  <a14:compatExt spid="_x0000_s53418"/>
                </a:ext>
                <a:ext uri="{FF2B5EF4-FFF2-40B4-BE49-F238E27FC236}">
                  <a16:creationId xmlns:a16="http://schemas.microsoft.com/office/drawing/2014/main" id="{00000000-0008-0000-0600-0000A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52</xdr:row>
          <xdr:rowOff>46264</xdr:rowOff>
        </xdr:from>
        <xdr:to>
          <xdr:col>10</xdr:col>
          <xdr:colOff>70757</xdr:colOff>
          <xdr:row>54</xdr:row>
          <xdr:rowOff>46264</xdr:rowOff>
        </xdr:to>
        <xdr:sp macro="" textlink="">
          <xdr:nvSpPr>
            <xdr:cNvPr id="53419" name="Check Box 171" hidden="1">
              <a:extLst>
                <a:ext uri="{63B3BB69-23CF-44E3-9099-C40C66FF867C}">
                  <a14:compatExt spid="_x0000_s53419"/>
                </a:ext>
                <a:ext uri="{FF2B5EF4-FFF2-40B4-BE49-F238E27FC236}">
                  <a16:creationId xmlns:a16="http://schemas.microsoft.com/office/drawing/2014/main" id="{00000000-0008-0000-0600-0000A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54</xdr:row>
          <xdr:rowOff>46264</xdr:rowOff>
        </xdr:from>
        <xdr:to>
          <xdr:col>8</xdr:col>
          <xdr:colOff>59871</xdr:colOff>
          <xdr:row>56</xdr:row>
          <xdr:rowOff>46264</xdr:rowOff>
        </xdr:to>
        <xdr:sp macro="" textlink="">
          <xdr:nvSpPr>
            <xdr:cNvPr id="53420" name="Check Box 172" hidden="1">
              <a:extLst>
                <a:ext uri="{63B3BB69-23CF-44E3-9099-C40C66FF867C}">
                  <a14:compatExt spid="_x0000_s53420"/>
                </a:ext>
                <a:ext uri="{FF2B5EF4-FFF2-40B4-BE49-F238E27FC236}">
                  <a16:creationId xmlns:a16="http://schemas.microsoft.com/office/drawing/2014/main" id="{00000000-0008-0000-0600-0000A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46264</xdr:rowOff>
        </xdr:from>
        <xdr:to>
          <xdr:col>9</xdr:col>
          <xdr:colOff>51707</xdr:colOff>
          <xdr:row>56</xdr:row>
          <xdr:rowOff>46264</xdr:rowOff>
        </xdr:to>
        <xdr:sp macro="" textlink="">
          <xdr:nvSpPr>
            <xdr:cNvPr id="53421" name="Check Box 173" hidden="1">
              <a:extLst>
                <a:ext uri="{63B3BB69-23CF-44E3-9099-C40C66FF867C}">
                  <a14:compatExt spid="_x0000_s53421"/>
                </a:ext>
                <a:ext uri="{FF2B5EF4-FFF2-40B4-BE49-F238E27FC236}">
                  <a16:creationId xmlns:a16="http://schemas.microsoft.com/office/drawing/2014/main" id="{00000000-0008-0000-0600-0000A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54</xdr:row>
          <xdr:rowOff>46264</xdr:rowOff>
        </xdr:from>
        <xdr:to>
          <xdr:col>10</xdr:col>
          <xdr:colOff>70757</xdr:colOff>
          <xdr:row>56</xdr:row>
          <xdr:rowOff>46264</xdr:rowOff>
        </xdr:to>
        <xdr:sp macro="" textlink="">
          <xdr:nvSpPr>
            <xdr:cNvPr id="53422" name="Check Box 174" hidden="1">
              <a:extLst>
                <a:ext uri="{63B3BB69-23CF-44E3-9099-C40C66FF867C}">
                  <a14:compatExt spid="_x0000_s53422"/>
                </a:ext>
                <a:ext uri="{FF2B5EF4-FFF2-40B4-BE49-F238E27FC236}">
                  <a16:creationId xmlns:a16="http://schemas.microsoft.com/office/drawing/2014/main" id="{00000000-0008-0000-0600-0000A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56</xdr:row>
          <xdr:rowOff>46264</xdr:rowOff>
        </xdr:from>
        <xdr:to>
          <xdr:col>8</xdr:col>
          <xdr:colOff>59871</xdr:colOff>
          <xdr:row>58</xdr:row>
          <xdr:rowOff>46264</xdr:rowOff>
        </xdr:to>
        <xdr:sp macro="" textlink="">
          <xdr:nvSpPr>
            <xdr:cNvPr id="53423" name="Check Box 175" hidden="1">
              <a:extLst>
                <a:ext uri="{63B3BB69-23CF-44E3-9099-C40C66FF867C}">
                  <a14:compatExt spid="_x0000_s53423"/>
                </a:ext>
                <a:ext uri="{FF2B5EF4-FFF2-40B4-BE49-F238E27FC236}">
                  <a16:creationId xmlns:a16="http://schemas.microsoft.com/office/drawing/2014/main" id="{00000000-0008-0000-0600-0000A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46264</xdr:rowOff>
        </xdr:from>
        <xdr:to>
          <xdr:col>9</xdr:col>
          <xdr:colOff>51707</xdr:colOff>
          <xdr:row>58</xdr:row>
          <xdr:rowOff>46264</xdr:rowOff>
        </xdr:to>
        <xdr:sp macro="" textlink="">
          <xdr:nvSpPr>
            <xdr:cNvPr id="53424" name="Check Box 176" hidden="1">
              <a:extLst>
                <a:ext uri="{63B3BB69-23CF-44E3-9099-C40C66FF867C}">
                  <a14:compatExt spid="_x0000_s53424"/>
                </a:ext>
                <a:ext uri="{FF2B5EF4-FFF2-40B4-BE49-F238E27FC236}">
                  <a16:creationId xmlns:a16="http://schemas.microsoft.com/office/drawing/2014/main" id="{00000000-0008-0000-0600-0000B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56</xdr:row>
          <xdr:rowOff>46264</xdr:rowOff>
        </xdr:from>
        <xdr:to>
          <xdr:col>10</xdr:col>
          <xdr:colOff>70757</xdr:colOff>
          <xdr:row>58</xdr:row>
          <xdr:rowOff>46264</xdr:rowOff>
        </xdr:to>
        <xdr:sp macro="" textlink="">
          <xdr:nvSpPr>
            <xdr:cNvPr id="53425" name="Check Box 177" hidden="1">
              <a:extLst>
                <a:ext uri="{63B3BB69-23CF-44E3-9099-C40C66FF867C}">
                  <a14:compatExt spid="_x0000_s53425"/>
                </a:ext>
                <a:ext uri="{FF2B5EF4-FFF2-40B4-BE49-F238E27FC236}">
                  <a16:creationId xmlns:a16="http://schemas.microsoft.com/office/drawing/2014/main" id="{00000000-0008-0000-0600-0000B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58</xdr:row>
          <xdr:rowOff>46264</xdr:rowOff>
        </xdr:from>
        <xdr:to>
          <xdr:col>8</xdr:col>
          <xdr:colOff>59871</xdr:colOff>
          <xdr:row>60</xdr:row>
          <xdr:rowOff>46264</xdr:rowOff>
        </xdr:to>
        <xdr:sp macro="" textlink="">
          <xdr:nvSpPr>
            <xdr:cNvPr id="53426" name="Check Box 178" hidden="1">
              <a:extLst>
                <a:ext uri="{63B3BB69-23CF-44E3-9099-C40C66FF867C}">
                  <a14:compatExt spid="_x0000_s53426"/>
                </a:ext>
                <a:ext uri="{FF2B5EF4-FFF2-40B4-BE49-F238E27FC236}">
                  <a16:creationId xmlns:a16="http://schemas.microsoft.com/office/drawing/2014/main" id="{00000000-0008-0000-0600-0000B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46264</xdr:rowOff>
        </xdr:from>
        <xdr:to>
          <xdr:col>9</xdr:col>
          <xdr:colOff>51707</xdr:colOff>
          <xdr:row>60</xdr:row>
          <xdr:rowOff>46264</xdr:rowOff>
        </xdr:to>
        <xdr:sp macro="" textlink="">
          <xdr:nvSpPr>
            <xdr:cNvPr id="53427" name="Check Box 179" hidden="1">
              <a:extLst>
                <a:ext uri="{63B3BB69-23CF-44E3-9099-C40C66FF867C}">
                  <a14:compatExt spid="_x0000_s53427"/>
                </a:ext>
                <a:ext uri="{FF2B5EF4-FFF2-40B4-BE49-F238E27FC236}">
                  <a16:creationId xmlns:a16="http://schemas.microsoft.com/office/drawing/2014/main" id="{00000000-0008-0000-0600-0000B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58</xdr:row>
          <xdr:rowOff>46264</xdr:rowOff>
        </xdr:from>
        <xdr:to>
          <xdr:col>10</xdr:col>
          <xdr:colOff>70757</xdr:colOff>
          <xdr:row>60</xdr:row>
          <xdr:rowOff>46264</xdr:rowOff>
        </xdr:to>
        <xdr:sp macro="" textlink="">
          <xdr:nvSpPr>
            <xdr:cNvPr id="53428" name="Check Box 180" hidden="1">
              <a:extLst>
                <a:ext uri="{63B3BB69-23CF-44E3-9099-C40C66FF867C}">
                  <a14:compatExt spid="_x0000_s53428"/>
                </a:ext>
                <a:ext uri="{FF2B5EF4-FFF2-40B4-BE49-F238E27FC236}">
                  <a16:creationId xmlns:a16="http://schemas.microsoft.com/office/drawing/2014/main" id="{00000000-0008-0000-0600-0000B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60</xdr:row>
          <xdr:rowOff>46264</xdr:rowOff>
        </xdr:from>
        <xdr:to>
          <xdr:col>8</xdr:col>
          <xdr:colOff>59871</xdr:colOff>
          <xdr:row>62</xdr:row>
          <xdr:rowOff>46264</xdr:rowOff>
        </xdr:to>
        <xdr:sp macro="" textlink="">
          <xdr:nvSpPr>
            <xdr:cNvPr id="53429" name="Check Box 181" hidden="1">
              <a:extLst>
                <a:ext uri="{63B3BB69-23CF-44E3-9099-C40C66FF867C}">
                  <a14:compatExt spid="_x0000_s53429"/>
                </a:ext>
                <a:ext uri="{FF2B5EF4-FFF2-40B4-BE49-F238E27FC236}">
                  <a16:creationId xmlns:a16="http://schemas.microsoft.com/office/drawing/2014/main" id="{00000000-0008-0000-0600-0000B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46264</xdr:rowOff>
        </xdr:from>
        <xdr:to>
          <xdr:col>9</xdr:col>
          <xdr:colOff>51707</xdr:colOff>
          <xdr:row>62</xdr:row>
          <xdr:rowOff>46264</xdr:rowOff>
        </xdr:to>
        <xdr:sp macro="" textlink="">
          <xdr:nvSpPr>
            <xdr:cNvPr id="53430" name="Check Box 182" hidden="1">
              <a:extLst>
                <a:ext uri="{63B3BB69-23CF-44E3-9099-C40C66FF867C}">
                  <a14:compatExt spid="_x0000_s53430"/>
                </a:ext>
                <a:ext uri="{FF2B5EF4-FFF2-40B4-BE49-F238E27FC236}">
                  <a16:creationId xmlns:a16="http://schemas.microsoft.com/office/drawing/2014/main" id="{00000000-0008-0000-0600-0000B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60</xdr:row>
          <xdr:rowOff>46264</xdr:rowOff>
        </xdr:from>
        <xdr:to>
          <xdr:col>10</xdr:col>
          <xdr:colOff>70757</xdr:colOff>
          <xdr:row>62</xdr:row>
          <xdr:rowOff>46264</xdr:rowOff>
        </xdr:to>
        <xdr:sp macro="" textlink="">
          <xdr:nvSpPr>
            <xdr:cNvPr id="53431" name="Check Box 183" hidden="1">
              <a:extLst>
                <a:ext uri="{63B3BB69-23CF-44E3-9099-C40C66FF867C}">
                  <a14:compatExt spid="_x0000_s53431"/>
                </a:ext>
                <a:ext uri="{FF2B5EF4-FFF2-40B4-BE49-F238E27FC236}">
                  <a16:creationId xmlns:a16="http://schemas.microsoft.com/office/drawing/2014/main" id="{00000000-0008-0000-0600-0000B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62</xdr:row>
          <xdr:rowOff>46264</xdr:rowOff>
        </xdr:from>
        <xdr:to>
          <xdr:col>8</xdr:col>
          <xdr:colOff>59871</xdr:colOff>
          <xdr:row>64</xdr:row>
          <xdr:rowOff>19050</xdr:rowOff>
        </xdr:to>
        <xdr:sp macro="" textlink="">
          <xdr:nvSpPr>
            <xdr:cNvPr id="53432" name="Check Box 184" hidden="1">
              <a:extLst>
                <a:ext uri="{63B3BB69-23CF-44E3-9099-C40C66FF867C}">
                  <a14:compatExt spid="_x0000_s53432"/>
                </a:ext>
                <a:ext uri="{FF2B5EF4-FFF2-40B4-BE49-F238E27FC236}">
                  <a16:creationId xmlns:a16="http://schemas.microsoft.com/office/drawing/2014/main" id="{00000000-0008-0000-0600-0000B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46264</xdr:rowOff>
        </xdr:from>
        <xdr:to>
          <xdr:col>9</xdr:col>
          <xdr:colOff>51707</xdr:colOff>
          <xdr:row>64</xdr:row>
          <xdr:rowOff>19050</xdr:rowOff>
        </xdr:to>
        <xdr:sp macro="" textlink="">
          <xdr:nvSpPr>
            <xdr:cNvPr id="53433" name="Check Box 185" hidden="1">
              <a:extLst>
                <a:ext uri="{63B3BB69-23CF-44E3-9099-C40C66FF867C}">
                  <a14:compatExt spid="_x0000_s53433"/>
                </a:ext>
                <a:ext uri="{FF2B5EF4-FFF2-40B4-BE49-F238E27FC236}">
                  <a16:creationId xmlns:a16="http://schemas.microsoft.com/office/drawing/2014/main" id="{00000000-0008-0000-0600-0000B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62</xdr:row>
          <xdr:rowOff>46264</xdr:rowOff>
        </xdr:from>
        <xdr:to>
          <xdr:col>10</xdr:col>
          <xdr:colOff>70757</xdr:colOff>
          <xdr:row>64</xdr:row>
          <xdr:rowOff>19050</xdr:rowOff>
        </xdr:to>
        <xdr:sp macro="" textlink="">
          <xdr:nvSpPr>
            <xdr:cNvPr id="53434" name="Check Box 186" hidden="1">
              <a:extLst>
                <a:ext uri="{63B3BB69-23CF-44E3-9099-C40C66FF867C}">
                  <a14:compatExt spid="_x0000_s53434"/>
                </a:ext>
                <a:ext uri="{FF2B5EF4-FFF2-40B4-BE49-F238E27FC236}">
                  <a16:creationId xmlns:a16="http://schemas.microsoft.com/office/drawing/2014/main" id="{00000000-0008-0000-0600-0000B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64</xdr:row>
          <xdr:rowOff>46264</xdr:rowOff>
        </xdr:from>
        <xdr:to>
          <xdr:col>8</xdr:col>
          <xdr:colOff>59871</xdr:colOff>
          <xdr:row>66</xdr:row>
          <xdr:rowOff>46264</xdr:rowOff>
        </xdr:to>
        <xdr:sp macro="" textlink="">
          <xdr:nvSpPr>
            <xdr:cNvPr id="53435" name="Check Box 187" hidden="1">
              <a:extLst>
                <a:ext uri="{63B3BB69-23CF-44E3-9099-C40C66FF867C}">
                  <a14:compatExt spid="_x0000_s53435"/>
                </a:ext>
                <a:ext uri="{FF2B5EF4-FFF2-40B4-BE49-F238E27FC236}">
                  <a16:creationId xmlns:a16="http://schemas.microsoft.com/office/drawing/2014/main" id="{00000000-0008-0000-0600-0000B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46264</xdr:rowOff>
        </xdr:from>
        <xdr:to>
          <xdr:col>9</xdr:col>
          <xdr:colOff>51707</xdr:colOff>
          <xdr:row>66</xdr:row>
          <xdr:rowOff>46264</xdr:rowOff>
        </xdr:to>
        <xdr:sp macro="" textlink="">
          <xdr:nvSpPr>
            <xdr:cNvPr id="53436" name="Check Box 188" hidden="1">
              <a:extLst>
                <a:ext uri="{63B3BB69-23CF-44E3-9099-C40C66FF867C}">
                  <a14:compatExt spid="_x0000_s53436"/>
                </a:ext>
                <a:ext uri="{FF2B5EF4-FFF2-40B4-BE49-F238E27FC236}">
                  <a16:creationId xmlns:a16="http://schemas.microsoft.com/office/drawing/2014/main" id="{00000000-0008-0000-0600-0000B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64</xdr:row>
          <xdr:rowOff>46264</xdr:rowOff>
        </xdr:from>
        <xdr:to>
          <xdr:col>10</xdr:col>
          <xdr:colOff>70757</xdr:colOff>
          <xdr:row>66</xdr:row>
          <xdr:rowOff>46264</xdr:rowOff>
        </xdr:to>
        <xdr:sp macro="" textlink="">
          <xdr:nvSpPr>
            <xdr:cNvPr id="53437" name="Check Box 189" hidden="1">
              <a:extLst>
                <a:ext uri="{63B3BB69-23CF-44E3-9099-C40C66FF867C}">
                  <a14:compatExt spid="_x0000_s53437"/>
                </a:ext>
                <a:ext uri="{FF2B5EF4-FFF2-40B4-BE49-F238E27FC236}">
                  <a16:creationId xmlns:a16="http://schemas.microsoft.com/office/drawing/2014/main" id="{00000000-0008-0000-0600-0000B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66</xdr:row>
          <xdr:rowOff>46264</xdr:rowOff>
        </xdr:from>
        <xdr:to>
          <xdr:col>8</xdr:col>
          <xdr:colOff>59871</xdr:colOff>
          <xdr:row>68</xdr:row>
          <xdr:rowOff>46264</xdr:rowOff>
        </xdr:to>
        <xdr:sp macro="" textlink="">
          <xdr:nvSpPr>
            <xdr:cNvPr id="53438" name="Check Box 190" hidden="1">
              <a:extLst>
                <a:ext uri="{63B3BB69-23CF-44E3-9099-C40C66FF867C}">
                  <a14:compatExt spid="_x0000_s53438"/>
                </a:ext>
                <a:ext uri="{FF2B5EF4-FFF2-40B4-BE49-F238E27FC236}">
                  <a16:creationId xmlns:a16="http://schemas.microsoft.com/office/drawing/2014/main" id="{00000000-0008-0000-0600-0000B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66</xdr:row>
          <xdr:rowOff>46264</xdr:rowOff>
        </xdr:from>
        <xdr:to>
          <xdr:col>9</xdr:col>
          <xdr:colOff>51707</xdr:colOff>
          <xdr:row>68</xdr:row>
          <xdr:rowOff>46264</xdr:rowOff>
        </xdr:to>
        <xdr:sp macro="" textlink="">
          <xdr:nvSpPr>
            <xdr:cNvPr id="53439" name="Check Box 191" hidden="1">
              <a:extLst>
                <a:ext uri="{63B3BB69-23CF-44E3-9099-C40C66FF867C}">
                  <a14:compatExt spid="_x0000_s53439"/>
                </a:ext>
                <a:ext uri="{FF2B5EF4-FFF2-40B4-BE49-F238E27FC236}">
                  <a16:creationId xmlns:a16="http://schemas.microsoft.com/office/drawing/2014/main" id="{00000000-0008-0000-0600-0000B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66</xdr:row>
          <xdr:rowOff>46264</xdr:rowOff>
        </xdr:from>
        <xdr:to>
          <xdr:col>10</xdr:col>
          <xdr:colOff>70757</xdr:colOff>
          <xdr:row>68</xdr:row>
          <xdr:rowOff>46264</xdr:rowOff>
        </xdr:to>
        <xdr:sp macro="" textlink="">
          <xdr:nvSpPr>
            <xdr:cNvPr id="53440" name="Check Box 192" hidden="1">
              <a:extLst>
                <a:ext uri="{63B3BB69-23CF-44E3-9099-C40C66FF867C}">
                  <a14:compatExt spid="_x0000_s53440"/>
                </a:ext>
                <a:ext uri="{FF2B5EF4-FFF2-40B4-BE49-F238E27FC236}">
                  <a16:creationId xmlns:a16="http://schemas.microsoft.com/office/drawing/2014/main" id="{00000000-0008-0000-0600-0000C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68</xdr:row>
          <xdr:rowOff>46264</xdr:rowOff>
        </xdr:from>
        <xdr:to>
          <xdr:col>8</xdr:col>
          <xdr:colOff>59871</xdr:colOff>
          <xdr:row>70</xdr:row>
          <xdr:rowOff>46264</xdr:rowOff>
        </xdr:to>
        <xdr:sp macro="" textlink="">
          <xdr:nvSpPr>
            <xdr:cNvPr id="53441" name="Check Box 193" hidden="1">
              <a:extLst>
                <a:ext uri="{63B3BB69-23CF-44E3-9099-C40C66FF867C}">
                  <a14:compatExt spid="_x0000_s53441"/>
                </a:ext>
                <a:ext uri="{FF2B5EF4-FFF2-40B4-BE49-F238E27FC236}">
                  <a16:creationId xmlns:a16="http://schemas.microsoft.com/office/drawing/2014/main" id="{00000000-0008-0000-0600-0000C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68</xdr:row>
          <xdr:rowOff>46264</xdr:rowOff>
        </xdr:from>
        <xdr:to>
          <xdr:col>9</xdr:col>
          <xdr:colOff>51707</xdr:colOff>
          <xdr:row>70</xdr:row>
          <xdr:rowOff>46264</xdr:rowOff>
        </xdr:to>
        <xdr:sp macro="" textlink="">
          <xdr:nvSpPr>
            <xdr:cNvPr id="53442" name="Check Box 194" hidden="1">
              <a:extLst>
                <a:ext uri="{63B3BB69-23CF-44E3-9099-C40C66FF867C}">
                  <a14:compatExt spid="_x0000_s53442"/>
                </a:ext>
                <a:ext uri="{FF2B5EF4-FFF2-40B4-BE49-F238E27FC236}">
                  <a16:creationId xmlns:a16="http://schemas.microsoft.com/office/drawing/2014/main" id="{00000000-0008-0000-0600-0000C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68</xdr:row>
          <xdr:rowOff>46264</xdr:rowOff>
        </xdr:from>
        <xdr:to>
          <xdr:col>10</xdr:col>
          <xdr:colOff>70757</xdr:colOff>
          <xdr:row>70</xdr:row>
          <xdr:rowOff>46264</xdr:rowOff>
        </xdr:to>
        <xdr:sp macro="" textlink="">
          <xdr:nvSpPr>
            <xdr:cNvPr id="53443" name="Check Box 195" hidden="1">
              <a:extLst>
                <a:ext uri="{63B3BB69-23CF-44E3-9099-C40C66FF867C}">
                  <a14:compatExt spid="_x0000_s53443"/>
                </a:ext>
                <a:ext uri="{FF2B5EF4-FFF2-40B4-BE49-F238E27FC236}">
                  <a16:creationId xmlns:a16="http://schemas.microsoft.com/office/drawing/2014/main" id="{00000000-0008-0000-0600-0000C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70</xdr:row>
          <xdr:rowOff>46264</xdr:rowOff>
        </xdr:from>
        <xdr:to>
          <xdr:col>8</xdr:col>
          <xdr:colOff>59871</xdr:colOff>
          <xdr:row>72</xdr:row>
          <xdr:rowOff>46264</xdr:rowOff>
        </xdr:to>
        <xdr:sp macro="" textlink="">
          <xdr:nvSpPr>
            <xdr:cNvPr id="53444" name="Check Box 196" hidden="1">
              <a:extLst>
                <a:ext uri="{63B3BB69-23CF-44E3-9099-C40C66FF867C}">
                  <a14:compatExt spid="_x0000_s53444"/>
                </a:ext>
                <a:ext uri="{FF2B5EF4-FFF2-40B4-BE49-F238E27FC236}">
                  <a16:creationId xmlns:a16="http://schemas.microsoft.com/office/drawing/2014/main" id="{00000000-0008-0000-0600-0000C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xdr:row>
          <xdr:rowOff>46264</xdr:rowOff>
        </xdr:from>
        <xdr:to>
          <xdr:col>9</xdr:col>
          <xdr:colOff>51707</xdr:colOff>
          <xdr:row>72</xdr:row>
          <xdr:rowOff>46264</xdr:rowOff>
        </xdr:to>
        <xdr:sp macro="" textlink="">
          <xdr:nvSpPr>
            <xdr:cNvPr id="53445" name="Check Box 197" hidden="1">
              <a:extLst>
                <a:ext uri="{63B3BB69-23CF-44E3-9099-C40C66FF867C}">
                  <a14:compatExt spid="_x0000_s53445"/>
                </a:ext>
                <a:ext uri="{FF2B5EF4-FFF2-40B4-BE49-F238E27FC236}">
                  <a16:creationId xmlns:a16="http://schemas.microsoft.com/office/drawing/2014/main" id="{00000000-0008-0000-0600-0000C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70</xdr:row>
          <xdr:rowOff>46264</xdr:rowOff>
        </xdr:from>
        <xdr:to>
          <xdr:col>10</xdr:col>
          <xdr:colOff>70757</xdr:colOff>
          <xdr:row>72</xdr:row>
          <xdr:rowOff>46264</xdr:rowOff>
        </xdr:to>
        <xdr:sp macro="" textlink="">
          <xdr:nvSpPr>
            <xdr:cNvPr id="53446" name="Check Box 198" hidden="1">
              <a:extLst>
                <a:ext uri="{63B3BB69-23CF-44E3-9099-C40C66FF867C}">
                  <a14:compatExt spid="_x0000_s53446"/>
                </a:ext>
                <a:ext uri="{FF2B5EF4-FFF2-40B4-BE49-F238E27FC236}">
                  <a16:creationId xmlns:a16="http://schemas.microsoft.com/office/drawing/2014/main" id="{00000000-0008-0000-0600-0000C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72</xdr:row>
          <xdr:rowOff>46264</xdr:rowOff>
        </xdr:from>
        <xdr:to>
          <xdr:col>8</xdr:col>
          <xdr:colOff>59871</xdr:colOff>
          <xdr:row>74</xdr:row>
          <xdr:rowOff>46264</xdr:rowOff>
        </xdr:to>
        <xdr:sp macro="" textlink="">
          <xdr:nvSpPr>
            <xdr:cNvPr id="53447" name="Check Box 199" hidden="1">
              <a:extLst>
                <a:ext uri="{63B3BB69-23CF-44E3-9099-C40C66FF867C}">
                  <a14:compatExt spid="_x0000_s53447"/>
                </a:ext>
                <a:ext uri="{FF2B5EF4-FFF2-40B4-BE49-F238E27FC236}">
                  <a16:creationId xmlns:a16="http://schemas.microsoft.com/office/drawing/2014/main" id="{00000000-0008-0000-0600-0000C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46264</xdr:rowOff>
        </xdr:from>
        <xdr:to>
          <xdr:col>9</xdr:col>
          <xdr:colOff>51707</xdr:colOff>
          <xdr:row>74</xdr:row>
          <xdr:rowOff>46264</xdr:rowOff>
        </xdr:to>
        <xdr:sp macro="" textlink="">
          <xdr:nvSpPr>
            <xdr:cNvPr id="53448" name="Check Box 200" hidden="1">
              <a:extLst>
                <a:ext uri="{63B3BB69-23CF-44E3-9099-C40C66FF867C}">
                  <a14:compatExt spid="_x0000_s53448"/>
                </a:ext>
                <a:ext uri="{FF2B5EF4-FFF2-40B4-BE49-F238E27FC236}">
                  <a16:creationId xmlns:a16="http://schemas.microsoft.com/office/drawing/2014/main" id="{00000000-0008-0000-0600-0000C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72</xdr:row>
          <xdr:rowOff>46264</xdr:rowOff>
        </xdr:from>
        <xdr:to>
          <xdr:col>10</xdr:col>
          <xdr:colOff>70757</xdr:colOff>
          <xdr:row>74</xdr:row>
          <xdr:rowOff>46264</xdr:rowOff>
        </xdr:to>
        <xdr:sp macro="" textlink="">
          <xdr:nvSpPr>
            <xdr:cNvPr id="53449" name="Check Box 201" hidden="1">
              <a:extLst>
                <a:ext uri="{63B3BB69-23CF-44E3-9099-C40C66FF867C}">
                  <a14:compatExt spid="_x0000_s53449"/>
                </a:ext>
                <a:ext uri="{FF2B5EF4-FFF2-40B4-BE49-F238E27FC236}">
                  <a16:creationId xmlns:a16="http://schemas.microsoft.com/office/drawing/2014/main" id="{00000000-0008-0000-0600-0000C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74</xdr:row>
          <xdr:rowOff>46264</xdr:rowOff>
        </xdr:from>
        <xdr:to>
          <xdr:col>8</xdr:col>
          <xdr:colOff>59871</xdr:colOff>
          <xdr:row>76</xdr:row>
          <xdr:rowOff>46264</xdr:rowOff>
        </xdr:to>
        <xdr:sp macro="" textlink="">
          <xdr:nvSpPr>
            <xdr:cNvPr id="53450" name="Check Box 202" hidden="1">
              <a:extLst>
                <a:ext uri="{63B3BB69-23CF-44E3-9099-C40C66FF867C}">
                  <a14:compatExt spid="_x0000_s53450"/>
                </a:ext>
                <a:ext uri="{FF2B5EF4-FFF2-40B4-BE49-F238E27FC236}">
                  <a16:creationId xmlns:a16="http://schemas.microsoft.com/office/drawing/2014/main" id="{00000000-0008-0000-0600-0000C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46264</xdr:rowOff>
        </xdr:from>
        <xdr:to>
          <xdr:col>9</xdr:col>
          <xdr:colOff>51707</xdr:colOff>
          <xdr:row>76</xdr:row>
          <xdr:rowOff>46264</xdr:rowOff>
        </xdr:to>
        <xdr:sp macro="" textlink="">
          <xdr:nvSpPr>
            <xdr:cNvPr id="53451" name="Check Box 203" hidden="1">
              <a:extLst>
                <a:ext uri="{63B3BB69-23CF-44E3-9099-C40C66FF867C}">
                  <a14:compatExt spid="_x0000_s53451"/>
                </a:ext>
                <a:ext uri="{FF2B5EF4-FFF2-40B4-BE49-F238E27FC236}">
                  <a16:creationId xmlns:a16="http://schemas.microsoft.com/office/drawing/2014/main" id="{00000000-0008-0000-0600-0000C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74</xdr:row>
          <xdr:rowOff>46264</xdr:rowOff>
        </xdr:from>
        <xdr:to>
          <xdr:col>10</xdr:col>
          <xdr:colOff>70757</xdr:colOff>
          <xdr:row>76</xdr:row>
          <xdr:rowOff>46264</xdr:rowOff>
        </xdr:to>
        <xdr:sp macro="" textlink="">
          <xdr:nvSpPr>
            <xdr:cNvPr id="53452" name="Check Box 204" hidden="1">
              <a:extLst>
                <a:ext uri="{63B3BB69-23CF-44E3-9099-C40C66FF867C}">
                  <a14:compatExt spid="_x0000_s53452"/>
                </a:ext>
                <a:ext uri="{FF2B5EF4-FFF2-40B4-BE49-F238E27FC236}">
                  <a16:creationId xmlns:a16="http://schemas.microsoft.com/office/drawing/2014/main" id="{00000000-0008-0000-0600-0000C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80</xdr:row>
          <xdr:rowOff>46264</xdr:rowOff>
        </xdr:from>
        <xdr:to>
          <xdr:col>2</xdr:col>
          <xdr:colOff>81643</xdr:colOff>
          <xdr:row>82</xdr:row>
          <xdr:rowOff>46264</xdr:rowOff>
        </xdr:to>
        <xdr:sp macro="" textlink="">
          <xdr:nvSpPr>
            <xdr:cNvPr id="53454" name="Check Box 206" hidden="1">
              <a:extLst>
                <a:ext uri="{63B3BB69-23CF-44E3-9099-C40C66FF867C}">
                  <a14:compatExt spid="_x0000_s53454"/>
                </a:ext>
                <a:ext uri="{FF2B5EF4-FFF2-40B4-BE49-F238E27FC236}">
                  <a16:creationId xmlns:a16="http://schemas.microsoft.com/office/drawing/2014/main" id="{00000000-0008-0000-0600-0000C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80</xdr:row>
          <xdr:rowOff>46264</xdr:rowOff>
        </xdr:from>
        <xdr:to>
          <xdr:col>3</xdr:col>
          <xdr:colOff>70757</xdr:colOff>
          <xdr:row>82</xdr:row>
          <xdr:rowOff>46264</xdr:rowOff>
        </xdr:to>
        <xdr:sp macro="" textlink="">
          <xdr:nvSpPr>
            <xdr:cNvPr id="53455" name="Check Box 207" hidden="1">
              <a:extLst>
                <a:ext uri="{63B3BB69-23CF-44E3-9099-C40C66FF867C}">
                  <a14:compatExt spid="_x0000_s53455"/>
                </a:ext>
                <a:ext uri="{FF2B5EF4-FFF2-40B4-BE49-F238E27FC236}">
                  <a16:creationId xmlns:a16="http://schemas.microsoft.com/office/drawing/2014/main" id="{00000000-0008-0000-0600-0000C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80</xdr:row>
          <xdr:rowOff>46264</xdr:rowOff>
        </xdr:from>
        <xdr:to>
          <xdr:col>4</xdr:col>
          <xdr:colOff>81643</xdr:colOff>
          <xdr:row>82</xdr:row>
          <xdr:rowOff>46264</xdr:rowOff>
        </xdr:to>
        <xdr:sp macro="" textlink="">
          <xdr:nvSpPr>
            <xdr:cNvPr id="53456" name="Check Box 208" hidden="1">
              <a:extLst>
                <a:ext uri="{63B3BB69-23CF-44E3-9099-C40C66FF867C}">
                  <a14:compatExt spid="_x0000_s53456"/>
                </a:ext>
                <a:ext uri="{FF2B5EF4-FFF2-40B4-BE49-F238E27FC236}">
                  <a16:creationId xmlns:a16="http://schemas.microsoft.com/office/drawing/2014/main" id="{00000000-0008-0000-0600-0000D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82</xdr:row>
          <xdr:rowOff>46264</xdr:rowOff>
        </xdr:from>
        <xdr:to>
          <xdr:col>2</xdr:col>
          <xdr:colOff>81643</xdr:colOff>
          <xdr:row>84</xdr:row>
          <xdr:rowOff>46264</xdr:rowOff>
        </xdr:to>
        <xdr:sp macro="" textlink="">
          <xdr:nvSpPr>
            <xdr:cNvPr id="53457" name="Check Box 209" hidden="1">
              <a:extLst>
                <a:ext uri="{63B3BB69-23CF-44E3-9099-C40C66FF867C}">
                  <a14:compatExt spid="_x0000_s53457"/>
                </a:ext>
                <a:ext uri="{FF2B5EF4-FFF2-40B4-BE49-F238E27FC236}">
                  <a16:creationId xmlns:a16="http://schemas.microsoft.com/office/drawing/2014/main" id="{00000000-0008-0000-0600-0000D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82</xdr:row>
          <xdr:rowOff>46264</xdr:rowOff>
        </xdr:from>
        <xdr:to>
          <xdr:col>3</xdr:col>
          <xdr:colOff>70757</xdr:colOff>
          <xdr:row>84</xdr:row>
          <xdr:rowOff>46264</xdr:rowOff>
        </xdr:to>
        <xdr:sp macro="" textlink="">
          <xdr:nvSpPr>
            <xdr:cNvPr id="53458" name="Check Box 210" hidden="1">
              <a:extLst>
                <a:ext uri="{63B3BB69-23CF-44E3-9099-C40C66FF867C}">
                  <a14:compatExt spid="_x0000_s53458"/>
                </a:ext>
                <a:ext uri="{FF2B5EF4-FFF2-40B4-BE49-F238E27FC236}">
                  <a16:creationId xmlns:a16="http://schemas.microsoft.com/office/drawing/2014/main" id="{00000000-0008-0000-0600-0000D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82</xdr:row>
          <xdr:rowOff>46264</xdr:rowOff>
        </xdr:from>
        <xdr:to>
          <xdr:col>4</xdr:col>
          <xdr:colOff>81643</xdr:colOff>
          <xdr:row>84</xdr:row>
          <xdr:rowOff>46264</xdr:rowOff>
        </xdr:to>
        <xdr:sp macro="" textlink="">
          <xdr:nvSpPr>
            <xdr:cNvPr id="53459" name="Check Box 211" hidden="1">
              <a:extLst>
                <a:ext uri="{63B3BB69-23CF-44E3-9099-C40C66FF867C}">
                  <a14:compatExt spid="_x0000_s53459"/>
                </a:ext>
                <a:ext uri="{FF2B5EF4-FFF2-40B4-BE49-F238E27FC236}">
                  <a16:creationId xmlns:a16="http://schemas.microsoft.com/office/drawing/2014/main" id="{00000000-0008-0000-0600-0000D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80</xdr:row>
          <xdr:rowOff>46264</xdr:rowOff>
        </xdr:from>
        <xdr:to>
          <xdr:col>8</xdr:col>
          <xdr:colOff>59871</xdr:colOff>
          <xdr:row>82</xdr:row>
          <xdr:rowOff>46264</xdr:rowOff>
        </xdr:to>
        <xdr:sp macro="" textlink="">
          <xdr:nvSpPr>
            <xdr:cNvPr id="53461" name="Check Box 213" hidden="1">
              <a:extLst>
                <a:ext uri="{63B3BB69-23CF-44E3-9099-C40C66FF867C}">
                  <a14:compatExt spid="_x0000_s53461"/>
                </a:ext>
                <a:ext uri="{FF2B5EF4-FFF2-40B4-BE49-F238E27FC236}">
                  <a16:creationId xmlns:a16="http://schemas.microsoft.com/office/drawing/2014/main" id="{00000000-0008-0000-0600-0000D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46264</xdr:rowOff>
        </xdr:from>
        <xdr:to>
          <xdr:col>9</xdr:col>
          <xdr:colOff>51707</xdr:colOff>
          <xdr:row>82</xdr:row>
          <xdr:rowOff>46264</xdr:rowOff>
        </xdr:to>
        <xdr:sp macro="" textlink="">
          <xdr:nvSpPr>
            <xdr:cNvPr id="53462" name="Check Box 214" hidden="1">
              <a:extLst>
                <a:ext uri="{63B3BB69-23CF-44E3-9099-C40C66FF867C}">
                  <a14:compatExt spid="_x0000_s53462"/>
                </a:ext>
                <a:ext uri="{FF2B5EF4-FFF2-40B4-BE49-F238E27FC236}">
                  <a16:creationId xmlns:a16="http://schemas.microsoft.com/office/drawing/2014/main" id="{00000000-0008-0000-0600-0000D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80</xdr:row>
          <xdr:rowOff>46264</xdr:rowOff>
        </xdr:from>
        <xdr:to>
          <xdr:col>10</xdr:col>
          <xdr:colOff>70757</xdr:colOff>
          <xdr:row>82</xdr:row>
          <xdr:rowOff>46264</xdr:rowOff>
        </xdr:to>
        <xdr:sp macro="" textlink="">
          <xdr:nvSpPr>
            <xdr:cNvPr id="53463" name="Check Box 215" hidden="1">
              <a:extLst>
                <a:ext uri="{63B3BB69-23CF-44E3-9099-C40C66FF867C}">
                  <a14:compatExt spid="_x0000_s53463"/>
                </a:ext>
                <a:ext uri="{FF2B5EF4-FFF2-40B4-BE49-F238E27FC236}">
                  <a16:creationId xmlns:a16="http://schemas.microsoft.com/office/drawing/2014/main" id="{00000000-0008-0000-0600-0000D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83</xdr:row>
          <xdr:rowOff>46264</xdr:rowOff>
        </xdr:from>
        <xdr:to>
          <xdr:col>8</xdr:col>
          <xdr:colOff>48986</xdr:colOff>
          <xdr:row>85</xdr:row>
          <xdr:rowOff>46264</xdr:rowOff>
        </xdr:to>
        <xdr:sp macro="" textlink="">
          <xdr:nvSpPr>
            <xdr:cNvPr id="53467" name="Check Box 219" hidden="1">
              <a:extLst>
                <a:ext uri="{63B3BB69-23CF-44E3-9099-C40C66FF867C}">
                  <a14:compatExt spid="_x0000_s53467"/>
                </a:ext>
                <a:ext uri="{FF2B5EF4-FFF2-40B4-BE49-F238E27FC236}">
                  <a16:creationId xmlns:a16="http://schemas.microsoft.com/office/drawing/2014/main" id="{00000000-0008-0000-0600-0000D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46264</xdr:rowOff>
        </xdr:from>
        <xdr:to>
          <xdr:col>9</xdr:col>
          <xdr:colOff>51707</xdr:colOff>
          <xdr:row>85</xdr:row>
          <xdr:rowOff>46264</xdr:rowOff>
        </xdr:to>
        <xdr:sp macro="" textlink="">
          <xdr:nvSpPr>
            <xdr:cNvPr id="53468" name="Check Box 220" hidden="1">
              <a:extLst>
                <a:ext uri="{63B3BB69-23CF-44E3-9099-C40C66FF867C}">
                  <a14:compatExt spid="_x0000_s53468"/>
                </a:ext>
                <a:ext uri="{FF2B5EF4-FFF2-40B4-BE49-F238E27FC236}">
                  <a16:creationId xmlns:a16="http://schemas.microsoft.com/office/drawing/2014/main" id="{00000000-0008-0000-0600-0000D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83</xdr:row>
          <xdr:rowOff>46264</xdr:rowOff>
        </xdr:from>
        <xdr:to>
          <xdr:col>10</xdr:col>
          <xdr:colOff>70757</xdr:colOff>
          <xdr:row>85</xdr:row>
          <xdr:rowOff>46264</xdr:rowOff>
        </xdr:to>
        <xdr:sp macro="" textlink="">
          <xdr:nvSpPr>
            <xdr:cNvPr id="53469" name="Check Box 221" hidden="1">
              <a:extLst>
                <a:ext uri="{63B3BB69-23CF-44E3-9099-C40C66FF867C}">
                  <a14:compatExt spid="_x0000_s53469"/>
                </a:ext>
                <a:ext uri="{FF2B5EF4-FFF2-40B4-BE49-F238E27FC236}">
                  <a16:creationId xmlns:a16="http://schemas.microsoft.com/office/drawing/2014/main" id="{00000000-0008-0000-0600-0000D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85</xdr:row>
          <xdr:rowOff>46264</xdr:rowOff>
        </xdr:from>
        <xdr:to>
          <xdr:col>8</xdr:col>
          <xdr:colOff>48986</xdr:colOff>
          <xdr:row>87</xdr:row>
          <xdr:rowOff>46264</xdr:rowOff>
        </xdr:to>
        <xdr:sp macro="" textlink="">
          <xdr:nvSpPr>
            <xdr:cNvPr id="53470" name="Check Box 222" hidden="1">
              <a:extLst>
                <a:ext uri="{63B3BB69-23CF-44E3-9099-C40C66FF867C}">
                  <a14:compatExt spid="_x0000_s53470"/>
                </a:ext>
                <a:ext uri="{FF2B5EF4-FFF2-40B4-BE49-F238E27FC236}">
                  <a16:creationId xmlns:a16="http://schemas.microsoft.com/office/drawing/2014/main" id="{00000000-0008-0000-0600-0000D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85</xdr:row>
          <xdr:rowOff>46264</xdr:rowOff>
        </xdr:from>
        <xdr:to>
          <xdr:col>9</xdr:col>
          <xdr:colOff>51707</xdr:colOff>
          <xdr:row>87</xdr:row>
          <xdr:rowOff>46264</xdr:rowOff>
        </xdr:to>
        <xdr:sp macro="" textlink="">
          <xdr:nvSpPr>
            <xdr:cNvPr id="53471" name="Check Box 223" hidden="1">
              <a:extLst>
                <a:ext uri="{63B3BB69-23CF-44E3-9099-C40C66FF867C}">
                  <a14:compatExt spid="_x0000_s53471"/>
                </a:ext>
                <a:ext uri="{FF2B5EF4-FFF2-40B4-BE49-F238E27FC236}">
                  <a16:creationId xmlns:a16="http://schemas.microsoft.com/office/drawing/2014/main" id="{00000000-0008-0000-0600-0000D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85</xdr:row>
          <xdr:rowOff>46264</xdr:rowOff>
        </xdr:from>
        <xdr:to>
          <xdr:col>10</xdr:col>
          <xdr:colOff>70757</xdr:colOff>
          <xdr:row>87</xdr:row>
          <xdr:rowOff>46264</xdr:rowOff>
        </xdr:to>
        <xdr:sp macro="" textlink="">
          <xdr:nvSpPr>
            <xdr:cNvPr id="53472" name="Check Box 224" hidden="1">
              <a:extLst>
                <a:ext uri="{63B3BB69-23CF-44E3-9099-C40C66FF867C}">
                  <a14:compatExt spid="_x0000_s53472"/>
                </a:ext>
                <a:ext uri="{FF2B5EF4-FFF2-40B4-BE49-F238E27FC236}">
                  <a16:creationId xmlns:a16="http://schemas.microsoft.com/office/drawing/2014/main" id="{00000000-0008-0000-0600-0000E0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89</xdr:row>
          <xdr:rowOff>46264</xdr:rowOff>
        </xdr:from>
        <xdr:to>
          <xdr:col>8</xdr:col>
          <xdr:colOff>48986</xdr:colOff>
          <xdr:row>91</xdr:row>
          <xdr:rowOff>46264</xdr:rowOff>
        </xdr:to>
        <xdr:sp macro="" textlink="">
          <xdr:nvSpPr>
            <xdr:cNvPr id="53473" name="Check Box 225" hidden="1">
              <a:extLst>
                <a:ext uri="{63B3BB69-23CF-44E3-9099-C40C66FF867C}">
                  <a14:compatExt spid="_x0000_s53473"/>
                </a:ext>
                <a:ext uri="{FF2B5EF4-FFF2-40B4-BE49-F238E27FC236}">
                  <a16:creationId xmlns:a16="http://schemas.microsoft.com/office/drawing/2014/main" id="{00000000-0008-0000-0600-0000E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89</xdr:row>
          <xdr:rowOff>46264</xdr:rowOff>
        </xdr:from>
        <xdr:to>
          <xdr:col>9</xdr:col>
          <xdr:colOff>51707</xdr:colOff>
          <xdr:row>91</xdr:row>
          <xdr:rowOff>46264</xdr:rowOff>
        </xdr:to>
        <xdr:sp macro="" textlink="">
          <xdr:nvSpPr>
            <xdr:cNvPr id="53474" name="Check Box 226" hidden="1">
              <a:extLst>
                <a:ext uri="{63B3BB69-23CF-44E3-9099-C40C66FF867C}">
                  <a14:compatExt spid="_x0000_s53474"/>
                </a:ext>
                <a:ext uri="{FF2B5EF4-FFF2-40B4-BE49-F238E27FC236}">
                  <a16:creationId xmlns:a16="http://schemas.microsoft.com/office/drawing/2014/main" id="{00000000-0008-0000-0600-0000E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89</xdr:row>
          <xdr:rowOff>46264</xdr:rowOff>
        </xdr:from>
        <xdr:to>
          <xdr:col>10</xdr:col>
          <xdr:colOff>70757</xdr:colOff>
          <xdr:row>91</xdr:row>
          <xdr:rowOff>46264</xdr:rowOff>
        </xdr:to>
        <xdr:sp macro="" textlink="">
          <xdr:nvSpPr>
            <xdr:cNvPr id="53475" name="Check Box 227" hidden="1">
              <a:extLst>
                <a:ext uri="{63B3BB69-23CF-44E3-9099-C40C66FF867C}">
                  <a14:compatExt spid="_x0000_s53475"/>
                </a:ext>
                <a:ext uri="{FF2B5EF4-FFF2-40B4-BE49-F238E27FC236}">
                  <a16:creationId xmlns:a16="http://schemas.microsoft.com/office/drawing/2014/main" id="{00000000-0008-0000-0600-0000E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91</xdr:row>
          <xdr:rowOff>46264</xdr:rowOff>
        </xdr:from>
        <xdr:to>
          <xdr:col>8</xdr:col>
          <xdr:colOff>48986</xdr:colOff>
          <xdr:row>93</xdr:row>
          <xdr:rowOff>46264</xdr:rowOff>
        </xdr:to>
        <xdr:sp macro="" textlink="">
          <xdr:nvSpPr>
            <xdr:cNvPr id="53476" name="Check Box 228" hidden="1">
              <a:extLst>
                <a:ext uri="{63B3BB69-23CF-44E3-9099-C40C66FF867C}">
                  <a14:compatExt spid="_x0000_s53476"/>
                </a:ext>
                <a:ext uri="{FF2B5EF4-FFF2-40B4-BE49-F238E27FC236}">
                  <a16:creationId xmlns:a16="http://schemas.microsoft.com/office/drawing/2014/main" id="{00000000-0008-0000-0600-0000E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46264</xdr:rowOff>
        </xdr:from>
        <xdr:to>
          <xdr:col>9</xdr:col>
          <xdr:colOff>51707</xdr:colOff>
          <xdr:row>93</xdr:row>
          <xdr:rowOff>46264</xdr:rowOff>
        </xdr:to>
        <xdr:sp macro="" textlink="">
          <xdr:nvSpPr>
            <xdr:cNvPr id="53477" name="Check Box 229" hidden="1">
              <a:extLst>
                <a:ext uri="{63B3BB69-23CF-44E3-9099-C40C66FF867C}">
                  <a14:compatExt spid="_x0000_s53477"/>
                </a:ext>
                <a:ext uri="{FF2B5EF4-FFF2-40B4-BE49-F238E27FC236}">
                  <a16:creationId xmlns:a16="http://schemas.microsoft.com/office/drawing/2014/main" id="{00000000-0008-0000-0600-0000E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91</xdr:row>
          <xdr:rowOff>46264</xdr:rowOff>
        </xdr:from>
        <xdr:to>
          <xdr:col>10</xdr:col>
          <xdr:colOff>70757</xdr:colOff>
          <xdr:row>93</xdr:row>
          <xdr:rowOff>46264</xdr:rowOff>
        </xdr:to>
        <xdr:sp macro="" textlink="">
          <xdr:nvSpPr>
            <xdr:cNvPr id="53478" name="Check Box 230" hidden="1">
              <a:extLst>
                <a:ext uri="{63B3BB69-23CF-44E3-9099-C40C66FF867C}">
                  <a14:compatExt spid="_x0000_s53478"/>
                </a:ext>
                <a:ext uri="{FF2B5EF4-FFF2-40B4-BE49-F238E27FC236}">
                  <a16:creationId xmlns:a16="http://schemas.microsoft.com/office/drawing/2014/main" id="{00000000-0008-0000-0600-0000E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93</xdr:row>
          <xdr:rowOff>46264</xdr:rowOff>
        </xdr:from>
        <xdr:to>
          <xdr:col>8</xdr:col>
          <xdr:colOff>48986</xdr:colOff>
          <xdr:row>95</xdr:row>
          <xdr:rowOff>46264</xdr:rowOff>
        </xdr:to>
        <xdr:sp macro="" textlink="">
          <xdr:nvSpPr>
            <xdr:cNvPr id="53479" name="Check Box 231" hidden="1">
              <a:extLst>
                <a:ext uri="{63B3BB69-23CF-44E3-9099-C40C66FF867C}">
                  <a14:compatExt spid="_x0000_s53479"/>
                </a:ext>
                <a:ext uri="{FF2B5EF4-FFF2-40B4-BE49-F238E27FC236}">
                  <a16:creationId xmlns:a16="http://schemas.microsoft.com/office/drawing/2014/main" id="{00000000-0008-0000-0600-0000E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93</xdr:row>
          <xdr:rowOff>46264</xdr:rowOff>
        </xdr:from>
        <xdr:to>
          <xdr:col>9</xdr:col>
          <xdr:colOff>51707</xdr:colOff>
          <xdr:row>95</xdr:row>
          <xdr:rowOff>46264</xdr:rowOff>
        </xdr:to>
        <xdr:sp macro="" textlink="">
          <xdr:nvSpPr>
            <xdr:cNvPr id="53480" name="Check Box 232" hidden="1">
              <a:extLst>
                <a:ext uri="{63B3BB69-23CF-44E3-9099-C40C66FF867C}">
                  <a14:compatExt spid="_x0000_s53480"/>
                </a:ext>
                <a:ext uri="{FF2B5EF4-FFF2-40B4-BE49-F238E27FC236}">
                  <a16:creationId xmlns:a16="http://schemas.microsoft.com/office/drawing/2014/main" id="{00000000-0008-0000-0600-0000E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93</xdr:row>
          <xdr:rowOff>46264</xdr:rowOff>
        </xdr:from>
        <xdr:to>
          <xdr:col>10</xdr:col>
          <xdr:colOff>70757</xdr:colOff>
          <xdr:row>95</xdr:row>
          <xdr:rowOff>46264</xdr:rowOff>
        </xdr:to>
        <xdr:sp macro="" textlink="">
          <xdr:nvSpPr>
            <xdr:cNvPr id="53481" name="Check Box 233" hidden="1">
              <a:extLst>
                <a:ext uri="{63B3BB69-23CF-44E3-9099-C40C66FF867C}">
                  <a14:compatExt spid="_x0000_s53481"/>
                </a:ext>
                <a:ext uri="{FF2B5EF4-FFF2-40B4-BE49-F238E27FC236}">
                  <a16:creationId xmlns:a16="http://schemas.microsoft.com/office/drawing/2014/main" id="{00000000-0008-0000-0600-0000E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95</xdr:row>
          <xdr:rowOff>46264</xdr:rowOff>
        </xdr:from>
        <xdr:to>
          <xdr:col>8</xdr:col>
          <xdr:colOff>48986</xdr:colOff>
          <xdr:row>97</xdr:row>
          <xdr:rowOff>46264</xdr:rowOff>
        </xdr:to>
        <xdr:sp macro="" textlink="">
          <xdr:nvSpPr>
            <xdr:cNvPr id="53482" name="Check Box 234" hidden="1">
              <a:extLst>
                <a:ext uri="{63B3BB69-23CF-44E3-9099-C40C66FF867C}">
                  <a14:compatExt spid="_x0000_s53482"/>
                </a:ext>
                <a:ext uri="{FF2B5EF4-FFF2-40B4-BE49-F238E27FC236}">
                  <a16:creationId xmlns:a16="http://schemas.microsoft.com/office/drawing/2014/main" id="{00000000-0008-0000-0600-0000E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95</xdr:row>
          <xdr:rowOff>46264</xdr:rowOff>
        </xdr:from>
        <xdr:to>
          <xdr:col>9</xdr:col>
          <xdr:colOff>51707</xdr:colOff>
          <xdr:row>97</xdr:row>
          <xdr:rowOff>46264</xdr:rowOff>
        </xdr:to>
        <xdr:sp macro="" textlink="">
          <xdr:nvSpPr>
            <xdr:cNvPr id="53483" name="Check Box 235" hidden="1">
              <a:extLst>
                <a:ext uri="{63B3BB69-23CF-44E3-9099-C40C66FF867C}">
                  <a14:compatExt spid="_x0000_s53483"/>
                </a:ext>
                <a:ext uri="{FF2B5EF4-FFF2-40B4-BE49-F238E27FC236}">
                  <a16:creationId xmlns:a16="http://schemas.microsoft.com/office/drawing/2014/main" id="{00000000-0008-0000-0600-0000E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95</xdr:row>
          <xdr:rowOff>46264</xdr:rowOff>
        </xdr:from>
        <xdr:to>
          <xdr:col>10</xdr:col>
          <xdr:colOff>70757</xdr:colOff>
          <xdr:row>97</xdr:row>
          <xdr:rowOff>46264</xdr:rowOff>
        </xdr:to>
        <xdr:sp macro="" textlink="">
          <xdr:nvSpPr>
            <xdr:cNvPr id="53484" name="Check Box 236" hidden="1">
              <a:extLst>
                <a:ext uri="{63B3BB69-23CF-44E3-9099-C40C66FF867C}">
                  <a14:compatExt spid="_x0000_s53484"/>
                </a:ext>
                <a:ext uri="{FF2B5EF4-FFF2-40B4-BE49-F238E27FC236}">
                  <a16:creationId xmlns:a16="http://schemas.microsoft.com/office/drawing/2014/main" id="{00000000-0008-0000-0600-0000E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98</xdr:row>
          <xdr:rowOff>46264</xdr:rowOff>
        </xdr:from>
        <xdr:to>
          <xdr:col>8</xdr:col>
          <xdr:colOff>48986</xdr:colOff>
          <xdr:row>100</xdr:row>
          <xdr:rowOff>46264</xdr:rowOff>
        </xdr:to>
        <xdr:sp macro="" textlink="">
          <xdr:nvSpPr>
            <xdr:cNvPr id="53485" name="Check Box 237" hidden="1">
              <a:extLst>
                <a:ext uri="{63B3BB69-23CF-44E3-9099-C40C66FF867C}">
                  <a14:compatExt spid="_x0000_s53485"/>
                </a:ext>
                <a:ext uri="{FF2B5EF4-FFF2-40B4-BE49-F238E27FC236}">
                  <a16:creationId xmlns:a16="http://schemas.microsoft.com/office/drawing/2014/main" id="{00000000-0008-0000-0600-0000E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98</xdr:row>
          <xdr:rowOff>46264</xdr:rowOff>
        </xdr:from>
        <xdr:to>
          <xdr:col>9</xdr:col>
          <xdr:colOff>51707</xdr:colOff>
          <xdr:row>100</xdr:row>
          <xdr:rowOff>46264</xdr:rowOff>
        </xdr:to>
        <xdr:sp macro="" textlink="">
          <xdr:nvSpPr>
            <xdr:cNvPr id="53486" name="Check Box 238" hidden="1">
              <a:extLst>
                <a:ext uri="{63B3BB69-23CF-44E3-9099-C40C66FF867C}">
                  <a14:compatExt spid="_x0000_s53486"/>
                </a:ext>
                <a:ext uri="{FF2B5EF4-FFF2-40B4-BE49-F238E27FC236}">
                  <a16:creationId xmlns:a16="http://schemas.microsoft.com/office/drawing/2014/main" id="{00000000-0008-0000-0600-0000E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98</xdr:row>
          <xdr:rowOff>46264</xdr:rowOff>
        </xdr:from>
        <xdr:to>
          <xdr:col>10</xdr:col>
          <xdr:colOff>70757</xdr:colOff>
          <xdr:row>100</xdr:row>
          <xdr:rowOff>46264</xdr:rowOff>
        </xdr:to>
        <xdr:sp macro="" textlink="">
          <xdr:nvSpPr>
            <xdr:cNvPr id="53487" name="Check Box 239" hidden="1">
              <a:extLst>
                <a:ext uri="{63B3BB69-23CF-44E3-9099-C40C66FF867C}">
                  <a14:compatExt spid="_x0000_s53487"/>
                </a:ext>
                <a:ext uri="{FF2B5EF4-FFF2-40B4-BE49-F238E27FC236}">
                  <a16:creationId xmlns:a16="http://schemas.microsoft.com/office/drawing/2014/main" id="{00000000-0008-0000-0600-0000E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100</xdr:row>
          <xdr:rowOff>46264</xdr:rowOff>
        </xdr:from>
        <xdr:to>
          <xdr:col>8</xdr:col>
          <xdr:colOff>48986</xdr:colOff>
          <xdr:row>102</xdr:row>
          <xdr:rowOff>46264</xdr:rowOff>
        </xdr:to>
        <xdr:sp macro="" textlink="">
          <xdr:nvSpPr>
            <xdr:cNvPr id="53491" name="Check Box 243" hidden="1">
              <a:extLst>
                <a:ext uri="{63B3BB69-23CF-44E3-9099-C40C66FF867C}">
                  <a14:compatExt spid="_x0000_s53491"/>
                </a:ext>
                <a:ext uri="{FF2B5EF4-FFF2-40B4-BE49-F238E27FC236}">
                  <a16:creationId xmlns:a16="http://schemas.microsoft.com/office/drawing/2014/main" id="{00000000-0008-0000-0600-0000F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100</xdr:row>
          <xdr:rowOff>46264</xdr:rowOff>
        </xdr:from>
        <xdr:to>
          <xdr:col>9</xdr:col>
          <xdr:colOff>51707</xdr:colOff>
          <xdr:row>102</xdr:row>
          <xdr:rowOff>46264</xdr:rowOff>
        </xdr:to>
        <xdr:sp macro="" textlink="">
          <xdr:nvSpPr>
            <xdr:cNvPr id="53492" name="Check Box 244" hidden="1">
              <a:extLst>
                <a:ext uri="{63B3BB69-23CF-44E3-9099-C40C66FF867C}">
                  <a14:compatExt spid="_x0000_s53492"/>
                </a:ext>
                <a:ext uri="{FF2B5EF4-FFF2-40B4-BE49-F238E27FC236}">
                  <a16:creationId xmlns:a16="http://schemas.microsoft.com/office/drawing/2014/main" id="{00000000-0008-0000-0600-0000F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100</xdr:row>
          <xdr:rowOff>46264</xdr:rowOff>
        </xdr:from>
        <xdr:to>
          <xdr:col>10</xdr:col>
          <xdr:colOff>70757</xdr:colOff>
          <xdr:row>102</xdr:row>
          <xdr:rowOff>46264</xdr:rowOff>
        </xdr:to>
        <xdr:sp macro="" textlink="">
          <xdr:nvSpPr>
            <xdr:cNvPr id="53493" name="Check Box 245" hidden="1">
              <a:extLst>
                <a:ext uri="{63B3BB69-23CF-44E3-9099-C40C66FF867C}">
                  <a14:compatExt spid="_x0000_s53493"/>
                </a:ext>
                <a:ext uri="{FF2B5EF4-FFF2-40B4-BE49-F238E27FC236}">
                  <a16:creationId xmlns:a16="http://schemas.microsoft.com/office/drawing/2014/main" id="{00000000-0008-0000-0600-0000F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104</xdr:row>
          <xdr:rowOff>46264</xdr:rowOff>
        </xdr:from>
        <xdr:to>
          <xdr:col>8</xdr:col>
          <xdr:colOff>48986</xdr:colOff>
          <xdr:row>106</xdr:row>
          <xdr:rowOff>46264</xdr:rowOff>
        </xdr:to>
        <xdr:sp macro="" textlink="">
          <xdr:nvSpPr>
            <xdr:cNvPr id="53494" name="Check Box 246" hidden="1">
              <a:extLst>
                <a:ext uri="{63B3BB69-23CF-44E3-9099-C40C66FF867C}">
                  <a14:compatExt spid="_x0000_s53494"/>
                </a:ext>
                <a:ext uri="{FF2B5EF4-FFF2-40B4-BE49-F238E27FC236}">
                  <a16:creationId xmlns:a16="http://schemas.microsoft.com/office/drawing/2014/main" id="{00000000-0008-0000-0600-0000F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104</xdr:row>
          <xdr:rowOff>46264</xdr:rowOff>
        </xdr:from>
        <xdr:to>
          <xdr:col>9</xdr:col>
          <xdr:colOff>51707</xdr:colOff>
          <xdr:row>106</xdr:row>
          <xdr:rowOff>46264</xdr:rowOff>
        </xdr:to>
        <xdr:sp macro="" textlink="">
          <xdr:nvSpPr>
            <xdr:cNvPr id="53495" name="Check Box 247" hidden="1">
              <a:extLst>
                <a:ext uri="{63B3BB69-23CF-44E3-9099-C40C66FF867C}">
                  <a14:compatExt spid="_x0000_s53495"/>
                </a:ext>
                <a:ext uri="{FF2B5EF4-FFF2-40B4-BE49-F238E27FC236}">
                  <a16:creationId xmlns:a16="http://schemas.microsoft.com/office/drawing/2014/main" id="{00000000-0008-0000-0600-0000F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104</xdr:row>
          <xdr:rowOff>46264</xdr:rowOff>
        </xdr:from>
        <xdr:to>
          <xdr:col>10</xdr:col>
          <xdr:colOff>70757</xdr:colOff>
          <xdr:row>106</xdr:row>
          <xdr:rowOff>46264</xdr:rowOff>
        </xdr:to>
        <xdr:sp macro="" textlink="">
          <xdr:nvSpPr>
            <xdr:cNvPr id="53496" name="Check Box 248" hidden="1">
              <a:extLst>
                <a:ext uri="{63B3BB69-23CF-44E3-9099-C40C66FF867C}">
                  <a14:compatExt spid="_x0000_s53496"/>
                </a:ext>
                <a:ext uri="{FF2B5EF4-FFF2-40B4-BE49-F238E27FC236}">
                  <a16:creationId xmlns:a16="http://schemas.microsoft.com/office/drawing/2014/main" id="{00000000-0008-0000-0600-0000F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106</xdr:row>
          <xdr:rowOff>46264</xdr:rowOff>
        </xdr:from>
        <xdr:to>
          <xdr:col>8</xdr:col>
          <xdr:colOff>48986</xdr:colOff>
          <xdr:row>108</xdr:row>
          <xdr:rowOff>46264</xdr:rowOff>
        </xdr:to>
        <xdr:sp macro="" textlink="">
          <xdr:nvSpPr>
            <xdr:cNvPr id="53497" name="Check Box 249" hidden="1">
              <a:extLst>
                <a:ext uri="{63B3BB69-23CF-44E3-9099-C40C66FF867C}">
                  <a14:compatExt spid="_x0000_s53497"/>
                </a:ext>
                <a:ext uri="{FF2B5EF4-FFF2-40B4-BE49-F238E27FC236}">
                  <a16:creationId xmlns:a16="http://schemas.microsoft.com/office/drawing/2014/main" id="{00000000-0008-0000-0600-0000F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46264</xdr:rowOff>
        </xdr:from>
        <xdr:to>
          <xdr:col>9</xdr:col>
          <xdr:colOff>51707</xdr:colOff>
          <xdr:row>108</xdr:row>
          <xdr:rowOff>46264</xdr:rowOff>
        </xdr:to>
        <xdr:sp macro="" textlink="">
          <xdr:nvSpPr>
            <xdr:cNvPr id="53498" name="Check Box 250" hidden="1">
              <a:extLst>
                <a:ext uri="{63B3BB69-23CF-44E3-9099-C40C66FF867C}">
                  <a14:compatExt spid="_x0000_s53498"/>
                </a:ext>
                <a:ext uri="{FF2B5EF4-FFF2-40B4-BE49-F238E27FC236}">
                  <a16:creationId xmlns:a16="http://schemas.microsoft.com/office/drawing/2014/main" id="{00000000-0008-0000-0600-0000F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106</xdr:row>
          <xdr:rowOff>46264</xdr:rowOff>
        </xdr:from>
        <xdr:to>
          <xdr:col>10</xdr:col>
          <xdr:colOff>70757</xdr:colOff>
          <xdr:row>108</xdr:row>
          <xdr:rowOff>46264</xdr:rowOff>
        </xdr:to>
        <xdr:sp macro="" textlink="">
          <xdr:nvSpPr>
            <xdr:cNvPr id="53499" name="Check Box 251" hidden="1">
              <a:extLst>
                <a:ext uri="{63B3BB69-23CF-44E3-9099-C40C66FF867C}">
                  <a14:compatExt spid="_x0000_s53499"/>
                </a:ext>
                <a:ext uri="{FF2B5EF4-FFF2-40B4-BE49-F238E27FC236}">
                  <a16:creationId xmlns:a16="http://schemas.microsoft.com/office/drawing/2014/main" id="{00000000-0008-0000-0600-0000F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111</xdr:row>
          <xdr:rowOff>46264</xdr:rowOff>
        </xdr:from>
        <xdr:to>
          <xdr:col>8</xdr:col>
          <xdr:colOff>48986</xdr:colOff>
          <xdr:row>113</xdr:row>
          <xdr:rowOff>46264</xdr:rowOff>
        </xdr:to>
        <xdr:sp macro="" textlink="">
          <xdr:nvSpPr>
            <xdr:cNvPr id="53500" name="Check Box 252" hidden="1">
              <a:extLst>
                <a:ext uri="{63B3BB69-23CF-44E3-9099-C40C66FF867C}">
                  <a14:compatExt spid="_x0000_s53500"/>
                </a:ext>
                <a:ext uri="{FF2B5EF4-FFF2-40B4-BE49-F238E27FC236}">
                  <a16:creationId xmlns:a16="http://schemas.microsoft.com/office/drawing/2014/main" id="{00000000-0008-0000-0600-0000F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46264</xdr:rowOff>
        </xdr:from>
        <xdr:to>
          <xdr:col>9</xdr:col>
          <xdr:colOff>51707</xdr:colOff>
          <xdr:row>113</xdr:row>
          <xdr:rowOff>46264</xdr:rowOff>
        </xdr:to>
        <xdr:sp macro="" textlink="">
          <xdr:nvSpPr>
            <xdr:cNvPr id="53501" name="Check Box 253" hidden="1">
              <a:extLst>
                <a:ext uri="{63B3BB69-23CF-44E3-9099-C40C66FF867C}">
                  <a14:compatExt spid="_x0000_s53501"/>
                </a:ext>
                <a:ext uri="{FF2B5EF4-FFF2-40B4-BE49-F238E27FC236}">
                  <a16:creationId xmlns:a16="http://schemas.microsoft.com/office/drawing/2014/main" id="{00000000-0008-0000-0600-0000F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111</xdr:row>
          <xdr:rowOff>46264</xdr:rowOff>
        </xdr:from>
        <xdr:to>
          <xdr:col>10</xdr:col>
          <xdr:colOff>70757</xdr:colOff>
          <xdr:row>113</xdr:row>
          <xdr:rowOff>46264</xdr:rowOff>
        </xdr:to>
        <xdr:sp macro="" textlink="">
          <xdr:nvSpPr>
            <xdr:cNvPr id="53502" name="Check Box 254" hidden="1">
              <a:extLst>
                <a:ext uri="{63B3BB69-23CF-44E3-9099-C40C66FF867C}">
                  <a14:compatExt spid="_x0000_s53502"/>
                </a:ext>
                <a:ext uri="{FF2B5EF4-FFF2-40B4-BE49-F238E27FC236}">
                  <a16:creationId xmlns:a16="http://schemas.microsoft.com/office/drawing/2014/main" id="{00000000-0008-0000-0600-0000FE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114</xdr:row>
          <xdr:rowOff>46264</xdr:rowOff>
        </xdr:from>
        <xdr:to>
          <xdr:col>8</xdr:col>
          <xdr:colOff>48986</xdr:colOff>
          <xdr:row>116</xdr:row>
          <xdr:rowOff>46264</xdr:rowOff>
        </xdr:to>
        <xdr:sp macro="" textlink="">
          <xdr:nvSpPr>
            <xdr:cNvPr id="53503" name="Check Box 255" hidden="1">
              <a:extLst>
                <a:ext uri="{63B3BB69-23CF-44E3-9099-C40C66FF867C}">
                  <a14:compatExt spid="_x0000_s53503"/>
                </a:ext>
                <a:ext uri="{FF2B5EF4-FFF2-40B4-BE49-F238E27FC236}">
                  <a16:creationId xmlns:a16="http://schemas.microsoft.com/office/drawing/2014/main" id="{00000000-0008-0000-0600-0000FF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114</xdr:row>
          <xdr:rowOff>46264</xdr:rowOff>
        </xdr:from>
        <xdr:to>
          <xdr:col>9</xdr:col>
          <xdr:colOff>51707</xdr:colOff>
          <xdr:row>116</xdr:row>
          <xdr:rowOff>46264</xdr:rowOff>
        </xdr:to>
        <xdr:sp macro="" textlink="">
          <xdr:nvSpPr>
            <xdr:cNvPr id="53504" name="Check Box 256" hidden="1">
              <a:extLst>
                <a:ext uri="{63B3BB69-23CF-44E3-9099-C40C66FF867C}">
                  <a14:compatExt spid="_x0000_s53504"/>
                </a:ext>
                <a:ext uri="{FF2B5EF4-FFF2-40B4-BE49-F238E27FC236}">
                  <a16:creationId xmlns:a16="http://schemas.microsoft.com/office/drawing/2014/main" id="{00000000-0008-0000-0600-000000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114</xdr:row>
          <xdr:rowOff>46264</xdr:rowOff>
        </xdr:from>
        <xdr:to>
          <xdr:col>10</xdr:col>
          <xdr:colOff>70757</xdr:colOff>
          <xdr:row>116</xdr:row>
          <xdr:rowOff>46264</xdr:rowOff>
        </xdr:to>
        <xdr:sp macro="" textlink="">
          <xdr:nvSpPr>
            <xdr:cNvPr id="53505" name="Check Box 257" hidden="1">
              <a:extLst>
                <a:ext uri="{63B3BB69-23CF-44E3-9099-C40C66FF867C}">
                  <a14:compatExt spid="_x0000_s53505"/>
                </a:ext>
                <a:ext uri="{FF2B5EF4-FFF2-40B4-BE49-F238E27FC236}">
                  <a16:creationId xmlns:a16="http://schemas.microsoft.com/office/drawing/2014/main" id="{00000000-0008-0000-0600-000001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116</xdr:row>
          <xdr:rowOff>46264</xdr:rowOff>
        </xdr:from>
        <xdr:to>
          <xdr:col>8</xdr:col>
          <xdr:colOff>48986</xdr:colOff>
          <xdr:row>118</xdr:row>
          <xdr:rowOff>46264</xdr:rowOff>
        </xdr:to>
        <xdr:sp macro="" textlink="">
          <xdr:nvSpPr>
            <xdr:cNvPr id="53506" name="Check Box 258" hidden="1">
              <a:extLst>
                <a:ext uri="{63B3BB69-23CF-44E3-9099-C40C66FF867C}">
                  <a14:compatExt spid="_x0000_s53506"/>
                </a:ext>
                <a:ext uri="{FF2B5EF4-FFF2-40B4-BE49-F238E27FC236}">
                  <a16:creationId xmlns:a16="http://schemas.microsoft.com/office/drawing/2014/main" id="{00000000-0008-0000-0600-000002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116</xdr:row>
          <xdr:rowOff>46264</xdr:rowOff>
        </xdr:from>
        <xdr:to>
          <xdr:col>9</xdr:col>
          <xdr:colOff>51707</xdr:colOff>
          <xdr:row>118</xdr:row>
          <xdr:rowOff>46264</xdr:rowOff>
        </xdr:to>
        <xdr:sp macro="" textlink="">
          <xdr:nvSpPr>
            <xdr:cNvPr id="53507" name="Check Box 259" hidden="1">
              <a:extLst>
                <a:ext uri="{63B3BB69-23CF-44E3-9099-C40C66FF867C}">
                  <a14:compatExt spid="_x0000_s53507"/>
                </a:ext>
                <a:ext uri="{FF2B5EF4-FFF2-40B4-BE49-F238E27FC236}">
                  <a16:creationId xmlns:a16="http://schemas.microsoft.com/office/drawing/2014/main" id="{00000000-0008-0000-0600-000003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116</xdr:row>
          <xdr:rowOff>46264</xdr:rowOff>
        </xdr:from>
        <xdr:to>
          <xdr:col>10</xdr:col>
          <xdr:colOff>70757</xdr:colOff>
          <xdr:row>118</xdr:row>
          <xdr:rowOff>46264</xdr:rowOff>
        </xdr:to>
        <xdr:sp macro="" textlink="">
          <xdr:nvSpPr>
            <xdr:cNvPr id="53508" name="Check Box 260" hidden="1">
              <a:extLst>
                <a:ext uri="{63B3BB69-23CF-44E3-9099-C40C66FF867C}">
                  <a14:compatExt spid="_x0000_s53508"/>
                </a:ext>
                <a:ext uri="{FF2B5EF4-FFF2-40B4-BE49-F238E27FC236}">
                  <a16:creationId xmlns:a16="http://schemas.microsoft.com/office/drawing/2014/main" id="{00000000-0008-0000-0600-000004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118</xdr:row>
          <xdr:rowOff>46264</xdr:rowOff>
        </xdr:from>
        <xdr:to>
          <xdr:col>8</xdr:col>
          <xdr:colOff>48986</xdr:colOff>
          <xdr:row>120</xdr:row>
          <xdr:rowOff>46264</xdr:rowOff>
        </xdr:to>
        <xdr:sp macro="" textlink="">
          <xdr:nvSpPr>
            <xdr:cNvPr id="53509" name="Check Box 261" hidden="1">
              <a:extLst>
                <a:ext uri="{63B3BB69-23CF-44E3-9099-C40C66FF867C}">
                  <a14:compatExt spid="_x0000_s53509"/>
                </a:ext>
                <a:ext uri="{FF2B5EF4-FFF2-40B4-BE49-F238E27FC236}">
                  <a16:creationId xmlns:a16="http://schemas.microsoft.com/office/drawing/2014/main" id="{00000000-0008-0000-0600-000005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46264</xdr:rowOff>
        </xdr:from>
        <xdr:to>
          <xdr:col>9</xdr:col>
          <xdr:colOff>51707</xdr:colOff>
          <xdr:row>120</xdr:row>
          <xdr:rowOff>46264</xdr:rowOff>
        </xdr:to>
        <xdr:sp macro="" textlink="">
          <xdr:nvSpPr>
            <xdr:cNvPr id="53510" name="Check Box 262" hidden="1">
              <a:extLst>
                <a:ext uri="{63B3BB69-23CF-44E3-9099-C40C66FF867C}">
                  <a14:compatExt spid="_x0000_s53510"/>
                </a:ext>
                <a:ext uri="{FF2B5EF4-FFF2-40B4-BE49-F238E27FC236}">
                  <a16:creationId xmlns:a16="http://schemas.microsoft.com/office/drawing/2014/main" id="{00000000-0008-0000-0600-000006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118</xdr:row>
          <xdr:rowOff>46264</xdr:rowOff>
        </xdr:from>
        <xdr:to>
          <xdr:col>10</xdr:col>
          <xdr:colOff>70757</xdr:colOff>
          <xdr:row>120</xdr:row>
          <xdr:rowOff>46264</xdr:rowOff>
        </xdr:to>
        <xdr:sp macro="" textlink="">
          <xdr:nvSpPr>
            <xdr:cNvPr id="53511" name="Check Box 263" hidden="1">
              <a:extLst>
                <a:ext uri="{63B3BB69-23CF-44E3-9099-C40C66FF867C}">
                  <a14:compatExt spid="_x0000_s53511"/>
                </a:ext>
                <a:ext uri="{FF2B5EF4-FFF2-40B4-BE49-F238E27FC236}">
                  <a16:creationId xmlns:a16="http://schemas.microsoft.com/office/drawing/2014/main" id="{00000000-0008-0000-0600-000007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120</xdr:row>
          <xdr:rowOff>46264</xdr:rowOff>
        </xdr:from>
        <xdr:to>
          <xdr:col>8</xdr:col>
          <xdr:colOff>48986</xdr:colOff>
          <xdr:row>122</xdr:row>
          <xdr:rowOff>46264</xdr:rowOff>
        </xdr:to>
        <xdr:sp macro="" textlink="">
          <xdr:nvSpPr>
            <xdr:cNvPr id="53512" name="Check Box 264" hidden="1">
              <a:extLst>
                <a:ext uri="{63B3BB69-23CF-44E3-9099-C40C66FF867C}">
                  <a14:compatExt spid="_x0000_s53512"/>
                </a:ext>
                <a:ext uri="{FF2B5EF4-FFF2-40B4-BE49-F238E27FC236}">
                  <a16:creationId xmlns:a16="http://schemas.microsoft.com/office/drawing/2014/main" id="{00000000-0008-0000-0600-000008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120</xdr:row>
          <xdr:rowOff>46264</xdr:rowOff>
        </xdr:from>
        <xdr:to>
          <xdr:col>9</xdr:col>
          <xdr:colOff>51707</xdr:colOff>
          <xdr:row>122</xdr:row>
          <xdr:rowOff>46264</xdr:rowOff>
        </xdr:to>
        <xdr:sp macro="" textlink="">
          <xdr:nvSpPr>
            <xdr:cNvPr id="53513" name="Check Box 265" hidden="1">
              <a:extLst>
                <a:ext uri="{63B3BB69-23CF-44E3-9099-C40C66FF867C}">
                  <a14:compatExt spid="_x0000_s53513"/>
                </a:ext>
                <a:ext uri="{FF2B5EF4-FFF2-40B4-BE49-F238E27FC236}">
                  <a16:creationId xmlns:a16="http://schemas.microsoft.com/office/drawing/2014/main" id="{00000000-0008-0000-0600-000009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120</xdr:row>
          <xdr:rowOff>46264</xdr:rowOff>
        </xdr:from>
        <xdr:to>
          <xdr:col>10</xdr:col>
          <xdr:colOff>70757</xdr:colOff>
          <xdr:row>122</xdr:row>
          <xdr:rowOff>46264</xdr:rowOff>
        </xdr:to>
        <xdr:sp macro="" textlink="">
          <xdr:nvSpPr>
            <xdr:cNvPr id="53514" name="Check Box 266" hidden="1">
              <a:extLst>
                <a:ext uri="{63B3BB69-23CF-44E3-9099-C40C66FF867C}">
                  <a14:compatExt spid="_x0000_s53514"/>
                </a:ext>
                <a:ext uri="{FF2B5EF4-FFF2-40B4-BE49-F238E27FC236}">
                  <a16:creationId xmlns:a16="http://schemas.microsoft.com/office/drawing/2014/main" id="{00000000-0008-0000-0600-00000A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122</xdr:row>
          <xdr:rowOff>46264</xdr:rowOff>
        </xdr:from>
        <xdr:to>
          <xdr:col>8</xdr:col>
          <xdr:colOff>48986</xdr:colOff>
          <xdr:row>124</xdr:row>
          <xdr:rowOff>46264</xdr:rowOff>
        </xdr:to>
        <xdr:sp macro="" textlink="">
          <xdr:nvSpPr>
            <xdr:cNvPr id="53515" name="Check Box 267" hidden="1">
              <a:extLst>
                <a:ext uri="{63B3BB69-23CF-44E3-9099-C40C66FF867C}">
                  <a14:compatExt spid="_x0000_s53515"/>
                </a:ext>
                <a:ext uri="{FF2B5EF4-FFF2-40B4-BE49-F238E27FC236}">
                  <a16:creationId xmlns:a16="http://schemas.microsoft.com/office/drawing/2014/main" id="{00000000-0008-0000-0600-00000B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122</xdr:row>
          <xdr:rowOff>46264</xdr:rowOff>
        </xdr:from>
        <xdr:to>
          <xdr:col>9</xdr:col>
          <xdr:colOff>51707</xdr:colOff>
          <xdr:row>124</xdr:row>
          <xdr:rowOff>46264</xdr:rowOff>
        </xdr:to>
        <xdr:sp macro="" textlink="">
          <xdr:nvSpPr>
            <xdr:cNvPr id="53516" name="Check Box 268" hidden="1">
              <a:extLst>
                <a:ext uri="{63B3BB69-23CF-44E3-9099-C40C66FF867C}">
                  <a14:compatExt spid="_x0000_s53516"/>
                </a:ext>
                <a:ext uri="{FF2B5EF4-FFF2-40B4-BE49-F238E27FC236}">
                  <a16:creationId xmlns:a16="http://schemas.microsoft.com/office/drawing/2014/main" id="{00000000-0008-0000-0600-00000C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122</xdr:row>
          <xdr:rowOff>46264</xdr:rowOff>
        </xdr:from>
        <xdr:to>
          <xdr:col>10</xdr:col>
          <xdr:colOff>70757</xdr:colOff>
          <xdr:row>124</xdr:row>
          <xdr:rowOff>46264</xdr:rowOff>
        </xdr:to>
        <xdr:sp macro="" textlink="">
          <xdr:nvSpPr>
            <xdr:cNvPr id="53517" name="Check Box 269" hidden="1">
              <a:extLst>
                <a:ext uri="{63B3BB69-23CF-44E3-9099-C40C66FF867C}">
                  <a14:compatExt spid="_x0000_s53517"/>
                </a:ext>
                <a:ext uri="{FF2B5EF4-FFF2-40B4-BE49-F238E27FC236}">
                  <a16:creationId xmlns:a16="http://schemas.microsoft.com/office/drawing/2014/main" id="{00000000-0008-0000-0600-00000D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124</xdr:row>
          <xdr:rowOff>46264</xdr:rowOff>
        </xdr:from>
        <xdr:to>
          <xdr:col>8</xdr:col>
          <xdr:colOff>48986</xdr:colOff>
          <xdr:row>126</xdr:row>
          <xdr:rowOff>46264</xdr:rowOff>
        </xdr:to>
        <xdr:sp macro="" textlink="">
          <xdr:nvSpPr>
            <xdr:cNvPr id="53518" name="Check Box 270" hidden="1">
              <a:extLst>
                <a:ext uri="{63B3BB69-23CF-44E3-9099-C40C66FF867C}">
                  <a14:compatExt spid="_x0000_s53518"/>
                </a:ext>
                <a:ext uri="{FF2B5EF4-FFF2-40B4-BE49-F238E27FC236}">
                  <a16:creationId xmlns:a16="http://schemas.microsoft.com/office/drawing/2014/main" id="{00000000-0008-0000-0600-00000E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124</xdr:row>
          <xdr:rowOff>46264</xdr:rowOff>
        </xdr:from>
        <xdr:to>
          <xdr:col>9</xdr:col>
          <xdr:colOff>51707</xdr:colOff>
          <xdr:row>126</xdr:row>
          <xdr:rowOff>46264</xdr:rowOff>
        </xdr:to>
        <xdr:sp macro="" textlink="">
          <xdr:nvSpPr>
            <xdr:cNvPr id="53519" name="Check Box 271" hidden="1">
              <a:extLst>
                <a:ext uri="{63B3BB69-23CF-44E3-9099-C40C66FF867C}">
                  <a14:compatExt spid="_x0000_s53519"/>
                </a:ext>
                <a:ext uri="{FF2B5EF4-FFF2-40B4-BE49-F238E27FC236}">
                  <a16:creationId xmlns:a16="http://schemas.microsoft.com/office/drawing/2014/main" id="{00000000-0008-0000-0600-00000F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124</xdr:row>
          <xdr:rowOff>46264</xdr:rowOff>
        </xdr:from>
        <xdr:to>
          <xdr:col>10</xdr:col>
          <xdr:colOff>70757</xdr:colOff>
          <xdr:row>126</xdr:row>
          <xdr:rowOff>46264</xdr:rowOff>
        </xdr:to>
        <xdr:sp macro="" textlink="">
          <xdr:nvSpPr>
            <xdr:cNvPr id="53520" name="Check Box 272" hidden="1">
              <a:extLst>
                <a:ext uri="{63B3BB69-23CF-44E3-9099-C40C66FF867C}">
                  <a14:compatExt spid="_x0000_s53520"/>
                </a:ext>
                <a:ext uri="{FF2B5EF4-FFF2-40B4-BE49-F238E27FC236}">
                  <a16:creationId xmlns:a16="http://schemas.microsoft.com/office/drawing/2014/main" id="{00000000-0008-0000-0600-000010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126</xdr:row>
          <xdr:rowOff>46264</xdr:rowOff>
        </xdr:from>
        <xdr:to>
          <xdr:col>8</xdr:col>
          <xdr:colOff>48986</xdr:colOff>
          <xdr:row>128</xdr:row>
          <xdr:rowOff>46264</xdr:rowOff>
        </xdr:to>
        <xdr:sp macro="" textlink="">
          <xdr:nvSpPr>
            <xdr:cNvPr id="53521" name="Check Box 273" hidden="1">
              <a:extLst>
                <a:ext uri="{63B3BB69-23CF-44E3-9099-C40C66FF867C}">
                  <a14:compatExt spid="_x0000_s53521"/>
                </a:ext>
                <a:ext uri="{FF2B5EF4-FFF2-40B4-BE49-F238E27FC236}">
                  <a16:creationId xmlns:a16="http://schemas.microsoft.com/office/drawing/2014/main" id="{00000000-0008-0000-0600-000011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126</xdr:row>
          <xdr:rowOff>46264</xdr:rowOff>
        </xdr:from>
        <xdr:to>
          <xdr:col>9</xdr:col>
          <xdr:colOff>51707</xdr:colOff>
          <xdr:row>128</xdr:row>
          <xdr:rowOff>46264</xdr:rowOff>
        </xdr:to>
        <xdr:sp macro="" textlink="">
          <xdr:nvSpPr>
            <xdr:cNvPr id="53522" name="Check Box 274" hidden="1">
              <a:extLst>
                <a:ext uri="{63B3BB69-23CF-44E3-9099-C40C66FF867C}">
                  <a14:compatExt spid="_x0000_s53522"/>
                </a:ext>
                <a:ext uri="{FF2B5EF4-FFF2-40B4-BE49-F238E27FC236}">
                  <a16:creationId xmlns:a16="http://schemas.microsoft.com/office/drawing/2014/main" id="{00000000-0008-0000-0600-000012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126</xdr:row>
          <xdr:rowOff>46264</xdr:rowOff>
        </xdr:from>
        <xdr:to>
          <xdr:col>10</xdr:col>
          <xdr:colOff>70757</xdr:colOff>
          <xdr:row>128</xdr:row>
          <xdr:rowOff>46264</xdr:rowOff>
        </xdr:to>
        <xdr:sp macro="" textlink="">
          <xdr:nvSpPr>
            <xdr:cNvPr id="53523" name="Check Box 275" hidden="1">
              <a:extLst>
                <a:ext uri="{63B3BB69-23CF-44E3-9099-C40C66FF867C}">
                  <a14:compatExt spid="_x0000_s53523"/>
                </a:ext>
                <a:ext uri="{FF2B5EF4-FFF2-40B4-BE49-F238E27FC236}">
                  <a16:creationId xmlns:a16="http://schemas.microsoft.com/office/drawing/2014/main" id="{00000000-0008-0000-0600-000013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128</xdr:row>
          <xdr:rowOff>46264</xdr:rowOff>
        </xdr:from>
        <xdr:to>
          <xdr:col>8</xdr:col>
          <xdr:colOff>48986</xdr:colOff>
          <xdr:row>130</xdr:row>
          <xdr:rowOff>46264</xdr:rowOff>
        </xdr:to>
        <xdr:sp macro="" textlink="">
          <xdr:nvSpPr>
            <xdr:cNvPr id="53524" name="Check Box 276" hidden="1">
              <a:extLst>
                <a:ext uri="{63B3BB69-23CF-44E3-9099-C40C66FF867C}">
                  <a14:compatExt spid="_x0000_s53524"/>
                </a:ext>
                <a:ext uri="{FF2B5EF4-FFF2-40B4-BE49-F238E27FC236}">
                  <a16:creationId xmlns:a16="http://schemas.microsoft.com/office/drawing/2014/main" id="{00000000-0008-0000-0600-000014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128</xdr:row>
          <xdr:rowOff>46264</xdr:rowOff>
        </xdr:from>
        <xdr:to>
          <xdr:col>9</xdr:col>
          <xdr:colOff>51707</xdr:colOff>
          <xdr:row>130</xdr:row>
          <xdr:rowOff>46264</xdr:rowOff>
        </xdr:to>
        <xdr:sp macro="" textlink="">
          <xdr:nvSpPr>
            <xdr:cNvPr id="53525" name="Check Box 277" hidden="1">
              <a:extLst>
                <a:ext uri="{63B3BB69-23CF-44E3-9099-C40C66FF867C}">
                  <a14:compatExt spid="_x0000_s53525"/>
                </a:ext>
                <a:ext uri="{FF2B5EF4-FFF2-40B4-BE49-F238E27FC236}">
                  <a16:creationId xmlns:a16="http://schemas.microsoft.com/office/drawing/2014/main" id="{00000000-0008-0000-0600-000015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128</xdr:row>
          <xdr:rowOff>46264</xdr:rowOff>
        </xdr:from>
        <xdr:to>
          <xdr:col>10</xdr:col>
          <xdr:colOff>70757</xdr:colOff>
          <xdr:row>130</xdr:row>
          <xdr:rowOff>46264</xdr:rowOff>
        </xdr:to>
        <xdr:sp macro="" textlink="">
          <xdr:nvSpPr>
            <xdr:cNvPr id="53526" name="Check Box 278" hidden="1">
              <a:extLst>
                <a:ext uri="{63B3BB69-23CF-44E3-9099-C40C66FF867C}">
                  <a14:compatExt spid="_x0000_s53526"/>
                </a:ext>
                <a:ext uri="{FF2B5EF4-FFF2-40B4-BE49-F238E27FC236}">
                  <a16:creationId xmlns:a16="http://schemas.microsoft.com/office/drawing/2014/main" id="{00000000-0008-0000-0600-000016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130</xdr:row>
          <xdr:rowOff>46264</xdr:rowOff>
        </xdr:from>
        <xdr:to>
          <xdr:col>8</xdr:col>
          <xdr:colOff>48986</xdr:colOff>
          <xdr:row>132</xdr:row>
          <xdr:rowOff>46264</xdr:rowOff>
        </xdr:to>
        <xdr:sp macro="" textlink="">
          <xdr:nvSpPr>
            <xdr:cNvPr id="53527" name="Check Box 279" hidden="1">
              <a:extLst>
                <a:ext uri="{63B3BB69-23CF-44E3-9099-C40C66FF867C}">
                  <a14:compatExt spid="_x0000_s53527"/>
                </a:ext>
                <a:ext uri="{FF2B5EF4-FFF2-40B4-BE49-F238E27FC236}">
                  <a16:creationId xmlns:a16="http://schemas.microsoft.com/office/drawing/2014/main" id="{00000000-0008-0000-0600-000017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130</xdr:row>
          <xdr:rowOff>46264</xdr:rowOff>
        </xdr:from>
        <xdr:to>
          <xdr:col>9</xdr:col>
          <xdr:colOff>51707</xdr:colOff>
          <xdr:row>132</xdr:row>
          <xdr:rowOff>46264</xdr:rowOff>
        </xdr:to>
        <xdr:sp macro="" textlink="">
          <xdr:nvSpPr>
            <xdr:cNvPr id="53528" name="Check Box 280" hidden="1">
              <a:extLst>
                <a:ext uri="{63B3BB69-23CF-44E3-9099-C40C66FF867C}">
                  <a14:compatExt spid="_x0000_s53528"/>
                </a:ext>
                <a:ext uri="{FF2B5EF4-FFF2-40B4-BE49-F238E27FC236}">
                  <a16:creationId xmlns:a16="http://schemas.microsoft.com/office/drawing/2014/main" id="{00000000-0008-0000-0600-000018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130</xdr:row>
          <xdr:rowOff>46264</xdr:rowOff>
        </xdr:from>
        <xdr:to>
          <xdr:col>10</xdr:col>
          <xdr:colOff>70757</xdr:colOff>
          <xdr:row>132</xdr:row>
          <xdr:rowOff>46264</xdr:rowOff>
        </xdr:to>
        <xdr:sp macro="" textlink="">
          <xdr:nvSpPr>
            <xdr:cNvPr id="53529" name="Check Box 281" hidden="1">
              <a:extLst>
                <a:ext uri="{63B3BB69-23CF-44E3-9099-C40C66FF867C}">
                  <a14:compatExt spid="_x0000_s53529"/>
                </a:ext>
                <a:ext uri="{FF2B5EF4-FFF2-40B4-BE49-F238E27FC236}">
                  <a16:creationId xmlns:a16="http://schemas.microsoft.com/office/drawing/2014/main" id="{00000000-0008-0000-0600-000019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132</xdr:row>
          <xdr:rowOff>46264</xdr:rowOff>
        </xdr:from>
        <xdr:to>
          <xdr:col>8</xdr:col>
          <xdr:colOff>48986</xdr:colOff>
          <xdr:row>134</xdr:row>
          <xdr:rowOff>46264</xdr:rowOff>
        </xdr:to>
        <xdr:sp macro="" textlink="">
          <xdr:nvSpPr>
            <xdr:cNvPr id="53530" name="Check Box 282" hidden="1">
              <a:extLst>
                <a:ext uri="{63B3BB69-23CF-44E3-9099-C40C66FF867C}">
                  <a14:compatExt spid="_x0000_s53530"/>
                </a:ext>
                <a:ext uri="{FF2B5EF4-FFF2-40B4-BE49-F238E27FC236}">
                  <a16:creationId xmlns:a16="http://schemas.microsoft.com/office/drawing/2014/main" id="{00000000-0008-0000-0600-00001A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132</xdr:row>
          <xdr:rowOff>46264</xdr:rowOff>
        </xdr:from>
        <xdr:to>
          <xdr:col>9</xdr:col>
          <xdr:colOff>51707</xdr:colOff>
          <xdr:row>134</xdr:row>
          <xdr:rowOff>46264</xdr:rowOff>
        </xdr:to>
        <xdr:sp macro="" textlink="">
          <xdr:nvSpPr>
            <xdr:cNvPr id="53531" name="Check Box 283" hidden="1">
              <a:extLst>
                <a:ext uri="{63B3BB69-23CF-44E3-9099-C40C66FF867C}">
                  <a14:compatExt spid="_x0000_s53531"/>
                </a:ext>
                <a:ext uri="{FF2B5EF4-FFF2-40B4-BE49-F238E27FC236}">
                  <a16:creationId xmlns:a16="http://schemas.microsoft.com/office/drawing/2014/main" id="{00000000-0008-0000-0600-00001B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132</xdr:row>
          <xdr:rowOff>46264</xdr:rowOff>
        </xdr:from>
        <xdr:to>
          <xdr:col>10</xdr:col>
          <xdr:colOff>70757</xdr:colOff>
          <xdr:row>134</xdr:row>
          <xdr:rowOff>46264</xdr:rowOff>
        </xdr:to>
        <xdr:sp macro="" textlink="">
          <xdr:nvSpPr>
            <xdr:cNvPr id="53532" name="Check Box 284" hidden="1">
              <a:extLst>
                <a:ext uri="{63B3BB69-23CF-44E3-9099-C40C66FF867C}">
                  <a14:compatExt spid="_x0000_s53532"/>
                </a:ext>
                <a:ext uri="{FF2B5EF4-FFF2-40B4-BE49-F238E27FC236}">
                  <a16:creationId xmlns:a16="http://schemas.microsoft.com/office/drawing/2014/main" id="{00000000-0008-0000-0600-00001C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135</xdr:row>
          <xdr:rowOff>46264</xdr:rowOff>
        </xdr:from>
        <xdr:to>
          <xdr:col>8</xdr:col>
          <xdr:colOff>48986</xdr:colOff>
          <xdr:row>137</xdr:row>
          <xdr:rowOff>46264</xdr:rowOff>
        </xdr:to>
        <xdr:sp macro="" textlink="">
          <xdr:nvSpPr>
            <xdr:cNvPr id="53533" name="Check Box 285" hidden="1">
              <a:extLst>
                <a:ext uri="{63B3BB69-23CF-44E3-9099-C40C66FF867C}">
                  <a14:compatExt spid="_x0000_s53533"/>
                </a:ext>
                <a:ext uri="{FF2B5EF4-FFF2-40B4-BE49-F238E27FC236}">
                  <a16:creationId xmlns:a16="http://schemas.microsoft.com/office/drawing/2014/main" id="{00000000-0008-0000-0600-00001D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135</xdr:row>
          <xdr:rowOff>46264</xdr:rowOff>
        </xdr:from>
        <xdr:to>
          <xdr:col>9</xdr:col>
          <xdr:colOff>51707</xdr:colOff>
          <xdr:row>137</xdr:row>
          <xdr:rowOff>46264</xdr:rowOff>
        </xdr:to>
        <xdr:sp macro="" textlink="">
          <xdr:nvSpPr>
            <xdr:cNvPr id="53534" name="Check Box 286" hidden="1">
              <a:extLst>
                <a:ext uri="{63B3BB69-23CF-44E3-9099-C40C66FF867C}">
                  <a14:compatExt spid="_x0000_s53534"/>
                </a:ext>
                <a:ext uri="{FF2B5EF4-FFF2-40B4-BE49-F238E27FC236}">
                  <a16:creationId xmlns:a16="http://schemas.microsoft.com/office/drawing/2014/main" id="{00000000-0008-0000-0600-00001E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135</xdr:row>
          <xdr:rowOff>46264</xdr:rowOff>
        </xdr:from>
        <xdr:to>
          <xdr:col>10</xdr:col>
          <xdr:colOff>70757</xdr:colOff>
          <xdr:row>137</xdr:row>
          <xdr:rowOff>46264</xdr:rowOff>
        </xdr:to>
        <xdr:sp macro="" textlink="">
          <xdr:nvSpPr>
            <xdr:cNvPr id="53535" name="Check Box 287" hidden="1">
              <a:extLst>
                <a:ext uri="{63B3BB69-23CF-44E3-9099-C40C66FF867C}">
                  <a14:compatExt spid="_x0000_s53535"/>
                </a:ext>
                <a:ext uri="{FF2B5EF4-FFF2-40B4-BE49-F238E27FC236}">
                  <a16:creationId xmlns:a16="http://schemas.microsoft.com/office/drawing/2014/main" id="{00000000-0008-0000-0600-00001F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137</xdr:row>
          <xdr:rowOff>46264</xdr:rowOff>
        </xdr:from>
        <xdr:to>
          <xdr:col>8</xdr:col>
          <xdr:colOff>48986</xdr:colOff>
          <xdr:row>139</xdr:row>
          <xdr:rowOff>46264</xdr:rowOff>
        </xdr:to>
        <xdr:sp macro="" textlink="">
          <xdr:nvSpPr>
            <xdr:cNvPr id="53536" name="Check Box 288" hidden="1">
              <a:extLst>
                <a:ext uri="{63B3BB69-23CF-44E3-9099-C40C66FF867C}">
                  <a14:compatExt spid="_x0000_s53536"/>
                </a:ext>
                <a:ext uri="{FF2B5EF4-FFF2-40B4-BE49-F238E27FC236}">
                  <a16:creationId xmlns:a16="http://schemas.microsoft.com/office/drawing/2014/main" id="{00000000-0008-0000-0600-000020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137</xdr:row>
          <xdr:rowOff>46264</xdr:rowOff>
        </xdr:from>
        <xdr:to>
          <xdr:col>9</xdr:col>
          <xdr:colOff>51707</xdr:colOff>
          <xdr:row>139</xdr:row>
          <xdr:rowOff>46264</xdr:rowOff>
        </xdr:to>
        <xdr:sp macro="" textlink="">
          <xdr:nvSpPr>
            <xdr:cNvPr id="53537" name="Check Box 289" hidden="1">
              <a:extLst>
                <a:ext uri="{63B3BB69-23CF-44E3-9099-C40C66FF867C}">
                  <a14:compatExt spid="_x0000_s53537"/>
                </a:ext>
                <a:ext uri="{FF2B5EF4-FFF2-40B4-BE49-F238E27FC236}">
                  <a16:creationId xmlns:a16="http://schemas.microsoft.com/office/drawing/2014/main" id="{00000000-0008-0000-0600-000021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137</xdr:row>
          <xdr:rowOff>46264</xdr:rowOff>
        </xdr:from>
        <xdr:to>
          <xdr:col>10</xdr:col>
          <xdr:colOff>70757</xdr:colOff>
          <xdr:row>139</xdr:row>
          <xdr:rowOff>46264</xdr:rowOff>
        </xdr:to>
        <xdr:sp macro="" textlink="">
          <xdr:nvSpPr>
            <xdr:cNvPr id="53538" name="Check Box 290" hidden="1">
              <a:extLst>
                <a:ext uri="{63B3BB69-23CF-44E3-9099-C40C66FF867C}">
                  <a14:compatExt spid="_x0000_s53538"/>
                </a:ext>
                <a:ext uri="{FF2B5EF4-FFF2-40B4-BE49-F238E27FC236}">
                  <a16:creationId xmlns:a16="http://schemas.microsoft.com/office/drawing/2014/main" id="{00000000-0008-0000-0600-000022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139</xdr:row>
          <xdr:rowOff>46264</xdr:rowOff>
        </xdr:from>
        <xdr:to>
          <xdr:col>8</xdr:col>
          <xdr:colOff>48986</xdr:colOff>
          <xdr:row>141</xdr:row>
          <xdr:rowOff>46264</xdr:rowOff>
        </xdr:to>
        <xdr:sp macro="" textlink="">
          <xdr:nvSpPr>
            <xdr:cNvPr id="53539" name="Check Box 291" hidden="1">
              <a:extLst>
                <a:ext uri="{63B3BB69-23CF-44E3-9099-C40C66FF867C}">
                  <a14:compatExt spid="_x0000_s53539"/>
                </a:ext>
                <a:ext uri="{FF2B5EF4-FFF2-40B4-BE49-F238E27FC236}">
                  <a16:creationId xmlns:a16="http://schemas.microsoft.com/office/drawing/2014/main" id="{00000000-0008-0000-0600-000023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139</xdr:row>
          <xdr:rowOff>46264</xdr:rowOff>
        </xdr:from>
        <xdr:to>
          <xdr:col>9</xdr:col>
          <xdr:colOff>51707</xdr:colOff>
          <xdr:row>141</xdr:row>
          <xdr:rowOff>46264</xdr:rowOff>
        </xdr:to>
        <xdr:sp macro="" textlink="">
          <xdr:nvSpPr>
            <xdr:cNvPr id="53540" name="Check Box 292" hidden="1">
              <a:extLst>
                <a:ext uri="{63B3BB69-23CF-44E3-9099-C40C66FF867C}">
                  <a14:compatExt spid="_x0000_s53540"/>
                </a:ext>
                <a:ext uri="{FF2B5EF4-FFF2-40B4-BE49-F238E27FC236}">
                  <a16:creationId xmlns:a16="http://schemas.microsoft.com/office/drawing/2014/main" id="{00000000-0008-0000-0600-000024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10886</xdr:colOff>
          <xdr:row>139</xdr:row>
          <xdr:rowOff>46264</xdr:rowOff>
        </xdr:from>
        <xdr:to>
          <xdr:col>10</xdr:col>
          <xdr:colOff>70757</xdr:colOff>
          <xdr:row>141</xdr:row>
          <xdr:rowOff>46264</xdr:rowOff>
        </xdr:to>
        <xdr:sp macro="" textlink="">
          <xdr:nvSpPr>
            <xdr:cNvPr id="53541" name="Check Box 293" hidden="1">
              <a:extLst>
                <a:ext uri="{63B3BB69-23CF-44E3-9099-C40C66FF867C}">
                  <a14:compatExt spid="_x0000_s53541"/>
                </a:ext>
                <a:ext uri="{FF2B5EF4-FFF2-40B4-BE49-F238E27FC236}">
                  <a16:creationId xmlns:a16="http://schemas.microsoft.com/office/drawing/2014/main" id="{00000000-0008-0000-0600-000025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86</xdr:row>
          <xdr:rowOff>46264</xdr:rowOff>
        </xdr:from>
        <xdr:to>
          <xdr:col>2</xdr:col>
          <xdr:colOff>59871</xdr:colOff>
          <xdr:row>88</xdr:row>
          <xdr:rowOff>46264</xdr:rowOff>
        </xdr:to>
        <xdr:sp macro="" textlink="">
          <xdr:nvSpPr>
            <xdr:cNvPr id="53545" name="Check Box 297" hidden="1">
              <a:extLst>
                <a:ext uri="{63B3BB69-23CF-44E3-9099-C40C66FF867C}">
                  <a14:compatExt spid="_x0000_s53545"/>
                </a:ext>
                <a:ext uri="{FF2B5EF4-FFF2-40B4-BE49-F238E27FC236}">
                  <a16:creationId xmlns:a16="http://schemas.microsoft.com/office/drawing/2014/main" id="{00000000-0008-0000-0600-000029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46264</xdr:rowOff>
        </xdr:from>
        <xdr:to>
          <xdr:col>3</xdr:col>
          <xdr:colOff>59871</xdr:colOff>
          <xdr:row>88</xdr:row>
          <xdr:rowOff>46264</xdr:rowOff>
        </xdr:to>
        <xdr:sp macro="" textlink="">
          <xdr:nvSpPr>
            <xdr:cNvPr id="53546" name="Check Box 298" hidden="1">
              <a:extLst>
                <a:ext uri="{63B3BB69-23CF-44E3-9099-C40C66FF867C}">
                  <a14:compatExt spid="_x0000_s53546"/>
                </a:ext>
                <a:ext uri="{FF2B5EF4-FFF2-40B4-BE49-F238E27FC236}">
                  <a16:creationId xmlns:a16="http://schemas.microsoft.com/office/drawing/2014/main" id="{00000000-0008-0000-0600-00002A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86</xdr:row>
          <xdr:rowOff>46264</xdr:rowOff>
        </xdr:from>
        <xdr:to>
          <xdr:col>4</xdr:col>
          <xdr:colOff>81643</xdr:colOff>
          <xdr:row>88</xdr:row>
          <xdr:rowOff>46264</xdr:rowOff>
        </xdr:to>
        <xdr:sp macro="" textlink="">
          <xdr:nvSpPr>
            <xdr:cNvPr id="53547" name="Check Box 299" hidden="1">
              <a:extLst>
                <a:ext uri="{63B3BB69-23CF-44E3-9099-C40C66FF867C}">
                  <a14:compatExt spid="_x0000_s53547"/>
                </a:ext>
                <a:ext uri="{FF2B5EF4-FFF2-40B4-BE49-F238E27FC236}">
                  <a16:creationId xmlns:a16="http://schemas.microsoft.com/office/drawing/2014/main" id="{00000000-0008-0000-0600-00002B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88</xdr:row>
          <xdr:rowOff>46264</xdr:rowOff>
        </xdr:from>
        <xdr:to>
          <xdr:col>2</xdr:col>
          <xdr:colOff>59871</xdr:colOff>
          <xdr:row>90</xdr:row>
          <xdr:rowOff>46264</xdr:rowOff>
        </xdr:to>
        <xdr:sp macro="" textlink="">
          <xdr:nvSpPr>
            <xdr:cNvPr id="53548" name="Check Box 300" hidden="1">
              <a:extLst>
                <a:ext uri="{63B3BB69-23CF-44E3-9099-C40C66FF867C}">
                  <a14:compatExt spid="_x0000_s53548"/>
                </a:ext>
                <a:ext uri="{FF2B5EF4-FFF2-40B4-BE49-F238E27FC236}">
                  <a16:creationId xmlns:a16="http://schemas.microsoft.com/office/drawing/2014/main" id="{00000000-0008-0000-0600-00002C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88</xdr:row>
          <xdr:rowOff>46264</xdr:rowOff>
        </xdr:from>
        <xdr:to>
          <xdr:col>3</xdr:col>
          <xdr:colOff>59871</xdr:colOff>
          <xdr:row>90</xdr:row>
          <xdr:rowOff>46264</xdr:rowOff>
        </xdr:to>
        <xdr:sp macro="" textlink="">
          <xdr:nvSpPr>
            <xdr:cNvPr id="53549" name="Check Box 301" hidden="1">
              <a:extLst>
                <a:ext uri="{63B3BB69-23CF-44E3-9099-C40C66FF867C}">
                  <a14:compatExt spid="_x0000_s53549"/>
                </a:ext>
                <a:ext uri="{FF2B5EF4-FFF2-40B4-BE49-F238E27FC236}">
                  <a16:creationId xmlns:a16="http://schemas.microsoft.com/office/drawing/2014/main" id="{00000000-0008-0000-0600-00002D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88</xdr:row>
          <xdr:rowOff>46264</xdr:rowOff>
        </xdr:from>
        <xdr:to>
          <xdr:col>4</xdr:col>
          <xdr:colOff>81643</xdr:colOff>
          <xdr:row>90</xdr:row>
          <xdr:rowOff>46264</xdr:rowOff>
        </xdr:to>
        <xdr:sp macro="" textlink="">
          <xdr:nvSpPr>
            <xdr:cNvPr id="53550" name="Check Box 302" hidden="1">
              <a:extLst>
                <a:ext uri="{63B3BB69-23CF-44E3-9099-C40C66FF867C}">
                  <a14:compatExt spid="_x0000_s53550"/>
                </a:ext>
                <a:ext uri="{FF2B5EF4-FFF2-40B4-BE49-F238E27FC236}">
                  <a16:creationId xmlns:a16="http://schemas.microsoft.com/office/drawing/2014/main" id="{00000000-0008-0000-0600-00002E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90</xdr:row>
          <xdr:rowOff>46264</xdr:rowOff>
        </xdr:from>
        <xdr:to>
          <xdr:col>2</xdr:col>
          <xdr:colOff>59871</xdr:colOff>
          <xdr:row>92</xdr:row>
          <xdr:rowOff>46264</xdr:rowOff>
        </xdr:to>
        <xdr:sp macro="" textlink="">
          <xdr:nvSpPr>
            <xdr:cNvPr id="53551" name="Check Box 303" hidden="1">
              <a:extLst>
                <a:ext uri="{63B3BB69-23CF-44E3-9099-C40C66FF867C}">
                  <a14:compatExt spid="_x0000_s53551"/>
                </a:ext>
                <a:ext uri="{FF2B5EF4-FFF2-40B4-BE49-F238E27FC236}">
                  <a16:creationId xmlns:a16="http://schemas.microsoft.com/office/drawing/2014/main" id="{00000000-0008-0000-0600-00002F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90</xdr:row>
          <xdr:rowOff>46264</xdr:rowOff>
        </xdr:from>
        <xdr:to>
          <xdr:col>3</xdr:col>
          <xdr:colOff>59871</xdr:colOff>
          <xdr:row>92</xdr:row>
          <xdr:rowOff>46264</xdr:rowOff>
        </xdr:to>
        <xdr:sp macro="" textlink="">
          <xdr:nvSpPr>
            <xdr:cNvPr id="53552" name="Check Box 304" hidden="1">
              <a:extLst>
                <a:ext uri="{63B3BB69-23CF-44E3-9099-C40C66FF867C}">
                  <a14:compatExt spid="_x0000_s53552"/>
                </a:ext>
                <a:ext uri="{FF2B5EF4-FFF2-40B4-BE49-F238E27FC236}">
                  <a16:creationId xmlns:a16="http://schemas.microsoft.com/office/drawing/2014/main" id="{00000000-0008-0000-0600-000030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90</xdr:row>
          <xdr:rowOff>46264</xdr:rowOff>
        </xdr:from>
        <xdr:to>
          <xdr:col>4</xdr:col>
          <xdr:colOff>81643</xdr:colOff>
          <xdr:row>92</xdr:row>
          <xdr:rowOff>46264</xdr:rowOff>
        </xdr:to>
        <xdr:sp macro="" textlink="">
          <xdr:nvSpPr>
            <xdr:cNvPr id="53553" name="Check Box 305" hidden="1">
              <a:extLst>
                <a:ext uri="{63B3BB69-23CF-44E3-9099-C40C66FF867C}">
                  <a14:compatExt spid="_x0000_s53553"/>
                </a:ext>
                <a:ext uri="{FF2B5EF4-FFF2-40B4-BE49-F238E27FC236}">
                  <a16:creationId xmlns:a16="http://schemas.microsoft.com/office/drawing/2014/main" id="{00000000-0008-0000-0600-000031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93</xdr:row>
          <xdr:rowOff>46264</xdr:rowOff>
        </xdr:from>
        <xdr:to>
          <xdr:col>2</xdr:col>
          <xdr:colOff>59871</xdr:colOff>
          <xdr:row>95</xdr:row>
          <xdr:rowOff>46264</xdr:rowOff>
        </xdr:to>
        <xdr:sp macro="" textlink="">
          <xdr:nvSpPr>
            <xdr:cNvPr id="53554" name="Check Box 306" hidden="1">
              <a:extLst>
                <a:ext uri="{63B3BB69-23CF-44E3-9099-C40C66FF867C}">
                  <a14:compatExt spid="_x0000_s53554"/>
                </a:ext>
                <a:ext uri="{FF2B5EF4-FFF2-40B4-BE49-F238E27FC236}">
                  <a16:creationId xmlns:a16="http://schemas.microsoft.com/office/drawing/2014/main" id="{00000000-0008-0000-0600-000032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93</xdr:row>
          <xdr:rowOff>46264</xdr:rowOff>
        </xdr:from>
        <xdr:to>
          <xdr:col>3</xdr:col>
          <xdr:colOff>59871</xdr:colOff>
          <xdr:row>95</xdr:row>
          <xdr:rowOff>46264</xdr:rowOff>
        </xdr:to>
        <xdr:sp macro="" textlink="">
          <xdr:nvSpPr>
            <xdr:cNvPr id="53555" name="Check Box 307" hidden="1">
              <a:extLst>
                <a:ext uri="{63B3BB69-23CF-44E3-9099-C40C66FF867C}">
                  <a14:compatExt spid="_x0000_s53555"/>
                </a:ext>
                <a:ext uri="{FF2B5EF4-FFF2-40B4-BE49-F238E27FC236}">
                  <a16:creationId xmlns:a16="http://schemas.microsoft.com/office/drawing/2014/main" id="{00000000-0008-0000-0600-000033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93</xdr:row>
          <xdr:rowOff>46264</xdr:rowOff>
        </xdr:from>
        <xdr:to>
          <xdr:col>4</xdr:col>
          <xdr:colOff>81643</xdr:colOff>
          <xdr:row>95</xdr:row>
          <xdr:rowOff>46264</xdr:rowOff>
        </xdr:to>
        <xdr:sp macro="" textlink="">
          <xdr:nvSpPr>
            <xdr:cNvPr id="53556" name="Check Box 308" hidden="1">
              <a:extLst>
                <a:ext uri="{63B3BB69-23CF-44E3-9099-C40C66FF867C}">
                  <a14:compatExt spid="_x0000_s53556"/>
                </a:ext>
                <a:ext uri="{FF2B5EF4-FFF2-40B4-BE49-F238E27FC236}">
                  <a16:creationId xmlns:a16="http://schemas.microsoft.com/office/drawing/2014/main" id="{00000000-0008-0000-0600-000034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95</xdr:row>
          <xdr:rowOff>46264</xdr:rowOff>
        </xdr:from>
        <xdr:to>
          <xdr:col>2</xdr:col>
          <xdr:colOff>59871</xdr:colOff>
          <xdr:row>97</xdr:row>
          <xdr:rowOff>46264</xdr:rowOff>
        </xdr:to>
        <xdr:sp macro="" textlink="">
          <xdr:nvSpPr>
            <xdr:cNvPr id="53557" name="Check Box 309" hidden="1">
              <a:extLst>
                <a:ext uri="{63B3BB69-23CF-44E3-9099-C40C66FF867C}">
                  <a14:compatExt spid="_x0000_s53557"/>
                </a:ext>
                <a:ext uri="{FF2B5EF4-FFF2-40B4-BE49-F238E27FC236}">
                  <a16:creationId xmlns:a16="http://schemas.microsoft.com/office/drawing/2014/main" id="{00000000-0008-0000-0600-000035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95</xdr:row>
          <xdr:rowOff>46264</xdr:rowOff>
        </xdr:from>
        <xdr:to>
          <xdr:col>3</xdr:col>
          <xdr:colOff>59871</xdr:colOff>
          <xdr:row>97</xdr:row>
          <xdr:rowOff>46264</xdr:rowOff>
        </xdr:to>
        <xdr:sp macro="" textlink="">
          <xdr:nvSpPr>
            <xdr:cNvPr id="53558" name="Check Box 310" hidden="1">
              <a:extLst>
                <a:ext uri="{63B3BB69-23CF-44E3-9099-C40C66FF867C}">
                  <a14:compatExt spid="_x0000_s53558"/>
                </a:ext>
                <a:ext uri="{FF2B5EF4-FFF2-40B4-BE49-F238E27FC236}">
                  <a16:creationId xmlns:a16="http://schemas.microsoft.com/office/drawing/2014/main" id="{00000000-0008-0000-0600-000036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95</xdr:row>
          <xdr:rowOff>46264</xdr:rowOff>
        </xdr:from>
        <xdr:to>
          <xdr:col>4</xdr:col>
          <xdr:colOff>81643</xdr:colOff>
          <xdr:row>97</xdr:row>
          <xdr:rowOff>46264</xdr:rowOff>
        </xdr:to>
        <xdr:sp macro="" textlink="">
          <xdr:nvSpPr>
            <xdr:cNvPr id="53559" name="Check Box 311" hidden="1">
              <a:extLst>
                <a:ext uri="{63B3BB69-23CF-44E3-9099-C40C66FF867C}">
                  <a14:compatExt spid="_x0000_s53559"/>
                </a:ext>
                <a:ext uri="{FF2B5EF4-FFF2-40B4-BE49-F238E27FC236}">
                  <a16:creationId xmlns:a16="http://schemas.microsoft.com/office/drawing/2014/main" id="{00000000-0008-0000-0600-000037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97</xdr:row>
          <xdr:rowOff>46264</xdr:rowOff>
        </xdr:from>
        <xdr:to>
          <xdr:col>2</xdr:col>
          <xdr:colOff>59871</xdr:colOff>
          <xdr:row>99</xdr:row>
          <xdr:rowOff>46264</xdr:rowOff>
        </xdr:to>
        <xdr:sp macro="" textlink="">
          <xdr:nvSpPr>
            <xdr:cNvPr id="53560" name="Check Box 312" hidden="1">
              <a:extLst>
                <a:ext uri="{63B3BB69-23CF-44E3-9099-C40C66FF867C}">
                  <a14:compatExt spid="_x0000_s53560"/>
                </a:ext>
                <a:ext uri="{FF2B5EF4-FFF2-40B4-BE49-F238E27FC236}">
                  <a16:creationId xmlns:a16="http://schemas.microsoft.com/office/drawing/2014/main" id="{00000000-0008-0000-0600-000038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97</xdr:row>
          <xdr:rowOff>46264</xdr:rowOff>
        </xdr:from>
        <xdr:to>
          <xdr:col>3</xdr:col>
          <xdr:colOff>59871</xdr:colOff>
          <xdr:row>99</xdr:row>
          <xdr:rowOff>46264</xdr:rowOff>
        </xdr:to>
        <xdr:sp macro="" textlink="">
          <xdr:nvSpPr>
            <xdr:cNvPr id="53561" name="Check Box 313" hidden="1">
              <a:extLst>
                <a:ext uri="{63B3BB69-23CF-44E3-9099-C40C66FF867C}">
                  <a14:compatExt spid="_x0000_s53561"/>
                </a:ext>
                <a:ext uri="{FF2B5EF4-FFF2-40B4-BE49-F238E27FC236}">
                  <a16:creationId xmlns:a16="http://schemas.microsoft.com/office/drawing/2014/main" id="{00000000-0008-0000-0600-000039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97</xdr:row>
          <xdr:rowOff>46264</xdr:rowOff>
        </xdr:from>
        <xdr:to>
          <xdr:col>4</xdr:col>
          <xdr:colOff>81643</xdr:colOff>
          <xdr:row>99</xdr:row>
          <xdr:rowOff>46264</xdr:rowOff>
        </xdr:to>
        <xdr:sp macro="" textlink="">
          <xdr:nvSpPr>
            <xdr:cNvPr id="53562" name="Check Box 314" hidden="1">
              <a:extLst>
                <a:ext uri="{63B3BB69-23CF-44E3-9099-C40C66FF867C}">
                  <a14:compatExt spid="_x0000_s53562"/>
                </a:ext>
                <a:ext uri="{FF2B5EF4-FFF2-40B4-BE49-F238E27FC236}">
                  <a16:creationId xmlns:a16="http://schemas.microsoft.com/office/drawing/2014/main" id="{00000000-0008-0000-0600-00003A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100</xdr:row>
          <xdr:rowOff>46264</xdr:rowOff>
        </xdr:from>
        <xdr:to>
          <xdr:col>2</xdr:col>
          <xdr:colOff>59871</xdr:colOff>
          <xdr:row>102</xdr:row>
          <xdr:rowOff>46264</xdr:rowOff>
        </xdr:to>
        <xdr:sp macro="" textlink="">
          <xdr:nvSpPr>
            <xdr:cNvPr id="53563" name="Check Box 315" hidden="1">
              <a:extLst>
                <a:ext uri="{63B3BB69-23CF-44E3-9099-C40C66FF867C}">
                  <a14:compatExt spid="_x0000_s53563"/>
                </a:ext>
                <a:ext uri="{FF2B5EF4-FFF2-40B4-BE49-F238E27FC236}">
                  <a16:creationId xmlns:a16="http://schemas.microsoft.com/office/drawing/2014/main" id="{00000000-0008-0000-0600-00003B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100</xdr:row>
          <xdr:rowOff>46264</xdr:rowOff>
        </xdr:from>
        <xdr:to>
          <xdr:col>3</xdr:col>
          <xdr:colOff>59871</xdr:colOff>
          <xdr:row>102</xdr:row>
          <xdr:rowOff>46264</xdr:rowOff>
        </xdr:to>
        <xdr:sp macro="" textlink="">
          <xdr:nvSpPr>
            <xdr:cNvPr id="53564" name="Check Box 316" hidden="1">
              <a:extLst>
                <a:ext uri="{63B3BB69-23CF-44E3-9099-C40C66FF867C}">
                  <a14:compatExt spid="_x0000_s53564"/>
                </a:ext>
                <a:ext uri="{FF2B5EF4-FFF2-40B4-BE49-F238E27FC236}">
                  <a16:creationId xmlns:a16="http://schemas.microsoft.com/office/drawing/2014/main" id="{00000000-0008-0000-0600-00003C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100</xdr:row>
          <xdr:rowOff>46264</xdr:rowOff>
        </xdr:from>
        <xdr:to>
          <xdr:col>4</xdr:col>
          <xdr:colOff>81643</xdr:colOff>
          <xdr:row>102</xdr:row>
          <xdr:rowOff>46264</xdr:rowOff>
        </xdr:to>
        <xdr:sp macro="" textlink="">
          <xdr:nvSpPr>
            <xdr:cNvPr id="53565" name="Check Box 317" hidden="1">
              <a:extLst>
                <a:ext uri="{63B3BB69-23CF-44E3-9099-C40C66FF867C}">
                  <a14:compatExt spid="_x0000_s53565"/>
                </a:ext>
                <a:ext uri="{FF2B5EF4-FFF2-40B4-BE49-F238E27FC236}">
                  <a16:creationId xmlns:a16="http://schemas.microsoft.com/office/drawing/2014/main" id="{00000000-0008-0000-0600-00003D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103</xdr:row>
          <xdr:rowOff>46264</xdr:rowOff>
        </xdr:from>
        <xdr:to>
          <xdr:col>2</xdr:col>
          <xdr:colOff>59871</xdr:colOff>
          <xdr:row>105</xdr:row>
          <xdr:rowOff>46264</xdr:rowOff>
        </xdr:to>
        <xdr:sp macro="" textlink="">
          <xdr:nvSpPr>
            <xdr:cNvPr id="53570" name="Check Box 322" hidden="1">
              <a:extLst>
                <a:ext uri="{63B3BB69-23CF-44E3-9099-C40C66FF867C}">
                  <a14:compatExt spid="_x0000_s53570"/>
                </a:ext>
                <a:ext uri="{FF2B5EF4-FFF2-40B4-BE49-F238E27FC236}">
                  <a16:creationId xmlns:a16="http://schemas.microsoft.com/office/drawing/2014/main" id="{00000000-0008-0000-0600-000042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103</xdr:row>
          <xdr:rowOff>46264</xdr:rowOff>
        </xdr:from>
        <xdr:to>
          <xdr:col>3</xdr:col>
          <xdr:colOff>59871</xdr:colOff>
          <xdr:row>105</xdr:row>
          <xdr:rowOff>46264</xdr:rowOff>
        </xdr:to>
        <xdr:sp macro="" textlink="">
          <xdr:nvSpPr>
            <xdr:cNvPr id="53571" name="Check Box 323" hidden="1">
              <a:extLst>
                <a:ext uri="{63B3BB69-23CF-44E3-9099-C40C66FF867C}">
                  <a14:compatExt spid="_x0000_s53571"/>
                </a:ext>
                <a:ext uri="{FF2B5EF4-FFF2-40B4-BE49-F238E27FC236}">
                  <a16:creationId xmlns:a16="http://schemas.microsoft.com/office/drawing/2014/main" id="{00000000-0008-0000-0600-000043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103</xdr:row>
          <xdr:rowOff>46264</xdr:rowOff>
        </xdr:from>
        <xdr:to>
          <xdr:col>4</xdr:col>
          <xdr:colOff>81643</xdr:colOff>
          <xdr:row>105</xdr:row>
          <xdr:rowOff>46264</xdr:rowOff>
        </xdr:to>
        <xdr:sp macro="" textlink="">
          <xdr:nvSpPr>
            <xdr:cNvPr id="53572" name="Check Box 324" hidden="1">
              <a:extLst>
                <a:ext uri="{63B3BB69-23CF-44E3-9099-C40C66FF867C}">
                  <a14:compatExt spid="_x0000_s53572"/>
                </a:ext>
                <a:ext uri="{FF2B5EF4-FFF2-40B4-BE49-F238E27FC236}">
                  <a16:creationId xmlns:a16="http://schemas.microsoft.com/office/drawing/2014/main" id="{00000000-0008-0000-0600-000044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108</xdr:row>
          <xdr:rowOff>46264</xdr:rowOff>
        </xdr:from>
        <xdr:to>
          <xdr:col>2</xdr:col>
          <xdr:colOff>59871</xdr:colOff>
          <xdr:row>110</xdr:row>
          <xdr:rowOff>46264</xdr:rowOff>
        </xdr:to>
        <xdr:sp macro="" textlink="">
          <xdr:nvSpPr>
            <xdr:cNvPr id="53573" name="Check Box 325" hidden="1">
              <a:extLst>
                <a:ext uri="{63B3BB69-23CF-44E3-9099-C40C66FF867C}">
                  <a14:compatExt spid="_x0000_s53573"/>
                </a:ext>
                <a:ext uri="{FF2B5EF4-FFF2-40B4-BE49-F238E27FC236}">
                  <a16:creationId xmlns:a16="http://schemas.microsoft.com/office/drawing/2014/main" id="{00000000-0008-0000-0600-000045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108</xdr:row>
          <xdr:rowOff>46264</xdr:rowOff>
        </xdr:from>
        <xdr:to>
          <xdr:col>3</xdr:col>
          <xdr:colOff>59871</xdr:colOff>
          <xdr:row>110</xdr:row>
          <xdr:rowOff>46264</xdr:rowOff>
        </xdr:to>
        <xdr:sp macro="" textlink="">
          <xdr:nvSpPr>
            <xdr:cNvPr id="53574" name="Check Box 326" hidden="1">
              <a:extLst>
                <a:ext uri="{63B3BB69-23CF-44E3-9099-C40C66FF867C}">
                  <a14:compatExt spid="_x0000_s53574"/>
                </a:ext>
                <a:ext uri="{FF2B5EF4-FFF2-40B4-BE49-F238E27FC236}">
                  <a16:creationId xmlns:a16="http://schemas.microsoft.com/office/drawing/2014/main" id="{00000000-0008-0000-0600-000046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108</xdr:row>
          <xdr:rowOff>46264</xdr:rowOff>
        </xdr:from>
        <xdr:to>
          <xdr:col>4</xdr:col>
          <xdr:colOff>81643</xdr:colOff>
          <xdr:row>110</xdr:row>
          <xdr:rowOff>46264</xdr:rowOff>
        </xdr:to>
        <xdr:sp macro="" textlink="">
          <xdr:nvSpPr>
            <xdr:cNvPr id="53575" name="Check Box 327" hidden="1">
              <a:extLst>
                <a:ext uri="{63B3BB69-23CF-44E3-9099-C40C66FF867C}">
                  <a14:compatExt spid="_x0000_s53575"/>
                </a:ext>
                <a:ext uri="{FF2B5EF4-FFF2-40B4-BE49-F238E27FC236}">
                  <a16:creationId xmlns:a16="http://schemas.microsoft.com/office/drawing/2014/main" id="{00000000-0008-0000-0600-000047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111</xdr:row>
          <xdr:rowOff>46264</xdr:rowOff>
        </xdr:from>
        <xdr:to>
          <xdr:col>2</xdr:col>
          <xdr:colOff>59871</xdr:colOff>
          <xdr:row>113</xdr:row>
          <xdr:rowOff>46264</xdr:rowOff>
        </xdr:to>
        <xdr:sp macro="" textlink="">
          <xdr:nvSpPr>
            <xdr:cNvPr id="53576" name="Check Box 328" hidden="1">
              <a:extLst>
                <a:ext uri="{63B3BB69-23CF-44E3-9099-C40C66FF867C}">
                  <a14:compatExt spid="_x0000_s53576"/>
                </a:ext>
                <a:ext uri="{FF2B5EF4-FFF2-40B4-BE49-F238E27FC236}">
                  <a16:creationId xmlns:a16="http://schemas.microsoft.com/office/drawing/2014/main" id="{00000000-0008-0000-0600-000048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111</xdr:row>
          <xdr:rowOff>46264</xdr:rowOff>
        </xdr:from>
        <xdr:to>
          <xdr:col>3</xdr:col>
          <xdr:colOff>59871</xdr:colOff>
          <xdr:row>113</xdr:row>
          <xdr:rowOff>46264</xdr:rowOff>
        </xdr:to>
        <xdr:sp macro="" textlink="">
          <xdr:nvSpPr>
            <xdr:cNvPr id="53577" name="Check Box 329" hidden="1">
              <a:extLst>
                <a:ext uri="{63B3BB69-23CF-44E3-9099-C40C66FF867C}">
                  <a14:compatExt spid="_x0000_s53577"/>
                </a:ext>
                <a:ext uri="{FF2B5EF4-FFF2-40B4-BE49-F238E27FC236}">
                  <a16:creationId xmlns:a16="http://schemas.microsoft.com/office/drawing/2014/main" id="{00000000-0008-0000-0600-000049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111</xdr:row>
          <xdr:rowOff>46264</xdr:rowOff>
        </xdr:from>
        <xdr:to>
          <xdr:col>4</xdr:col>
          <xdr:colOff>81643</xdr:colOff>
          <xdr:row>113</xdr:row>
          <xdr:rowOff>46264</xdr:rowOff>
        </xdr:to>
        <xdr:sp macro="" textlink="">
          <xdr:nvSpPr>
            <xdr:cNvPr id="53578" name="Check Box 330" hidden="1">
              <a:extLst>
                <a:ext uri="{63B3BB69-23CF-44E3-9099-C40C66FF867C}">
                  <a14:compatExt spid="_x0000_s53578"/>
                </a:ext>
                <a:ext uri="{FF2B5EF4-FFF2-40B4-BE49-F238E27FC236}">
                  <a16:creationId xmlns:a16="http://schemas.microsoft.com/office/drawing/2014/main" id="{00000000-0008-0000-0600-00004A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113</xdr:row>
          <xdr:rowOff>46264</xdr:rowOff>
        </xdr:from>
        <xdr:to>
          <xdr:col>2</xdr:col>
          <xdr:colOff>59871</xdr:colOff>
          <xdr:row>115</xdr:row>
          <xdr:rowOff>46264</xdr:rowOff>
        </xdr:to>
        <xdr:sp macro="" textlink="">
          <xdr:nvSpPr>
            <xdr:cNvPr id="53579" name="Check Box 331" hidden="1">
              <a:extLst>
                <a:ext uri="{63B3BB69-23CF-44E3-9099-C40C66FF867C}">
                  <a14:compatExt spid="_x0000_s53579"/>
                </a:ext>
                <a:ext uri="{FF2B5EF4-FFF2-40B4-BE49-F238E27FC236}">
                  <a16:creationId xmlns:a16="http://schemas.microsoft.com/office/drawing/2014/main" id="{00000000-0008-0000-0600-00004B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113</xdr:row>
          <xdr:rowOff>46264</xdr:rowOff>
        </xdr:from>
        <xdr:to>
          <xdr:col>3</xdr:col>
          <xdr:colOff>59871</xdr:colOff>
          <xdr:row>115</xdr:row>
          <xdr:rowOff>46264</xdr:rowOff>
        </xdr:to>
        <xdr:sp macro="" textlink="">
          <xdr:nvSpPr>
            <xdr:cNvPr id="53580" name="Check Box 332" hidden="1">
              <a:extLst>
                <a:ext uri="{63B3BB69-23CF-44E3-9099-C40C66FF867C}">
                  <a14:compatExt spid="_x0000_s53580"/>
                </a:ext>
                <a:ext uri="{FF2B5EF4-FFF2-40B4-BE49-F238E27FC236}">
                  <a16:creationId xmlns:a16="http://schemas.microsoft.com/office/drawing/2014/main" id="{00000000-0008-0000-0600-00004C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113</xdr:row>
          <xdr:rowOff>46264</xdr:rowOff>
        </xdr:from>
        <xdr:to>
          <xdr:col>4</xdr:col>
          <xdr:colOff>81643</xdr:colOff>
          <xdr:row>115</xdr:row>
          <xdr:rowOff>46264</xdr:rowOff>
        </xdr:to>
        <xdr:sp macro="" textlink="">
          <xdr:nvSpPr>
            <xdr:cNvPr id="53581" name="Check Box 333" hidden="1">
              <a:extLst>
                <a:ext uri="{63B3BB69-23CF-44E3-9099-C40C66FF867C}">
                  <a14:compatExt spid="_x0000_s53581"/>
                </a:ext>
                <a:ext uri="{FF2B5EF4-FFF2-40B4-BE49-F238E27FC236}">
                  <a16:creationId xmlns:a16="http://schemas.microsoft.com/office/drawing/2014/main" id="{00000000-0008-0000-0600-00004D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115</xdr:row>
          <xdr:rowOff>46264</xdr:rowOff>
        </xdr:from>
        <xdr:to>
          <xdr:col>2</xdr:col>
          <xdr:colOff>59871</xdr:colOff>
          <xdr:row>117</xdr:row>
          <xdr:rowOff>46264</xdr:rowOff>
        </xdr:to>
        <xdr:sp macro="" textlink="">
          <xdr:nvSpPr>
            <xdr:cNvPr id="53582" name="Check Box 334" hidden="1">
              <a:extLst>
                <a:ext uri="{63B3BB69-23CF-44E3-9099-C40C66FF867C}">
                  <a14:compatExt spid="_x0000_s53582"/>
                </a:ext>
                <a:ext uri="{FF2B5EF4-FFF2-40B4-BE49-F238E27FC236}">
                  <a16:creationId xmlns:a16="http://schemas.microsoft.com/office/drawing/2014/main" id="{00000000-0008-0000-0600-00004E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115</xdr:row>
          <xdr:rowOff>46264</xdr:rowOff>
        </xdr:from>
        <xdr:to>
          <xdr:col>3</xdr:col>
          <xdr:colOff>59871</xdr:colOff>
          <xdr:row>117</xdr:row>
          <xdr:rowOff>46264</xdr:rowOff>
        </xdr:to>
        <xdr:sp macro="" textlink="">
          <xdr:nvSpPr>
            <xdr:cNvPr id="53583" name="Check Box 335" hidden="1">
              <a:extLst>
                <a:ext uri="{63B3BB69-23CF-44E3-9099-C40C66FF867C}">
                  <a14:compatExt spid="_x0000_s53583"/>
                </a:ext>
                <a:ext uri="{FF2B5EF4-FFF2-40B4-BE49-F238E27FC236}">
                  <a16:creationId xmlns:a16="http://schemas.microsoft.com/office/drawing/2014/main" id="{00000000-0008-0000-0600-00004F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115</xdr:row>
          <xdr:rowOff>46264</xdr:rowOff>
        </xdr:from>
        <xdr:to>
          <xdr:col>4</xdr:col>
          <xdr:colOff>81643</xdr:colOff>
          <xdr:row>117</xdr:row>
          <xdr:rowOff>46264</xdr:rowOff>
        </xdr:to>
        <xdr:sp macro="" textlink="">
          <xdr:nvSpPr>
            <xdr:cNvPr id="53584" name="Check Box 336" hidden="1">
              <a:extLst>
                <a:ext uri="{63B3BB69-23CF-44E3-9099-C40C66FF867C}">
                  <a14:compatExt spid="_x0000_s53584"/>
                </a:ext>
                <a:ext uri="{FF2B5EF4-FFF2-40B4-BE49-F238E27FC236}">
                  <a16:creationId xmlns:a16="http://schemas.microsoft.com/office/drawing/2014/main" id="{00000000-0008-0000-0600-000050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117</xdr:row>
          <xdr:rowOff>46264</xdr:rowOff>
        </xdr:from>
        <xdr:to>
          <xdr:col>2</xdr:col>
          <xdr:colOff>59871</xdr:colOff>
          <xdr:row>119</xdr:row>
          <xdr:rowOff>46264</xdr:rowOff>
        </xdr:to>
        <xdr:sp macro="" textlink="">
          <xdr:nvSpPr>
            <xdr:cNvPr id="53585" name="Check Box 337" hidden="1">
              <a:extLst>
                <a:ext uri="{63B3BB69-23CF-44E3-9099-C40C66FF867C}">
                  <a14:compatExt spid="_x0000_s53585"/>
                </a:ext>
                <a:ext uri="{FF2B5EF4-FFF2-40B4-BE49-F238E27FC236}">
                  <a16:creationId xmlns:a16="http://schemas.microsoft.com/office/drawing/2014/main" id="{00000000-0008-0000-0600-000051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46264</xdr:rowOff>
        </xdr:from>
        <xdr:to>
          <xdr:col>3</xdr:col>
          <xdr:colOff>59871</xdr:colOff>
          <xdr:row>119</xdr:row>
          <xdr:rowOff>46264</xdr:rowOff>
        </xdr:to>
        <xdr:sp macro="" textlink="">
          <xdr:nvSpPr>
            <xdr:cNvPr id="53586" name="Check Box 338" hidden="1">
              <a:extLst>
                <a:ext uri="{63B3BB69-23CF-44E3-9099-C40C66FF867C}">
                  <a14:compatExt spid="_x0000_s53586"/>
                </a:ext>
                <a:ext uri="{FF2B5EF4-FFF2-40B4-BE49-F238E27FC236}">
                  <a16:creationId xmlns:a16="http://schemas.microsoft.com/office/drawing/2014/main" id="{00000000-0008-0000-0600-000052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117</xdr:row>
          <xdr:rowOff>46264</xdr:rowOff>
        </xdr:from>
        <xdr:to>
          <xdr:col>4</xdr:col>
          <xdr:colOff>81643</xdr:colOff>
          <xdr:row>119</xdr:row>
          <xdr:rowOff>46264</xdr:rowOff>
        </xdr:to>
        <xdr:sp macro="" textlink="">
          <xdr:nvSpPr>
            <xdr:cNvPr id="53587" name="Check Box 339" hidden="1">
              <a:extLst>
                <a:ext uri="{63B3BB69-23CF-44E3-9099-C40C66FF867C}">
                  <a14:compatExt spid="_x0000_s53587"/>
                </a:ext>
                <a:ext uri="{FF2B5EF4-FFF2-40B4-BE49-F238E27FC236}">
                  <a16:creationId xmlns:a16="http://schemas.microsoft.com/office/drawing/2014/main" id="{00000000-0008-0000-0600-000053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119</xdr:row>
          <xdr:rowOff>46264</xdr:rowOff>
        </xdr:from>
        <xdr:to>
          <xdr:col>2</xdr:col>
          <xdr:colOff>59871</xdr:colOff>
          <xdr:row>121</xdr:row>
          <xdr:rowOff>46264</xdr:rowOff>
        </xdr:to>
        <xdr:sp macro="" textlink="">
          <xdr:nvSpPr>
            <xdr:cNvPr id="53588" name="Check Box 340" hidden="1">
              <a:extLst>
                <a:ext uri="{63B3BB69-23CF-44E3-9099-C40C66FF867C}">
                  <a14:compatExt spid="_x0000_s53588"/>
                </a:ext>
                <a:ext uri="{FF2B5EF4-FFF2-40B4-BE49-F238E27FC236}">
                  <a16:creationId xmlns:a16="http://schemas.microsoft.com/office/drawing/2014/main" id="{00000000-0008-0000-0600-000054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119</xdr:row>
          <xdr:rowOff>46264</xdr:rowOff>
        </xdr:from>
        <xdr:to>
          <xdr:col>3</xdr:col>
          <xdr:colOff>59871</xdr:colOff>
          <xdr:row>121</xdr:row>
          <xdr:rowOff>46264</xdr:rowOff>
        </xdr:to>
        <xdr:sp macro="" textlink="">
          <xdr:nvSpPr>
            <xdr:cNvPr id="53589" name="Check Box 341" hidden="1">
              <a:extLst>
                <a:ext uri="{63B3BB69-23CF-44E3-9099-C40C66FF867C}">
                  <a14:compatExt spid="_x0000_s53589"/>
                </a:ext>
                <a:ext uri="{FF2B5EF4-FFF2-40B4-BE49-F238E27FC236}">
                  <a16:creationId xmlns:a16="http://schemas.microsoft.com/office/drawing/2014/main" id="{00000000-0008-0000-0600-000055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119</xdr:row>
          <xdr:rowOff>46264</xdr:rowOff>
        </xdr:from>
        <xdr:to>
          <xdr:col>4</xdr:col>
          <xdr:colOff>81643</xdr:colOff>
          <xdr:row>121</xdr:row>
          <xdr:rowOff>46264</xdr:rowOff>
        </xdr:to>
        <xdr:sp macro="" textlink="">
          <xdr:nvSpPr>
            <xdr:cNvPr id="53590" name="Check Box 342" hidden="1">
              <a:extLst>
                <a:ext uri="{63B3BB69-23CF-44E3-9099-C40C66FF867C}">
                  <a14:compatExt spid="_x0000_s53590"/>
                </a:ext>
                <a:ext uri="{FF2B5EF4-FFF2-40B4-BE49-F238E27FC236}">
                  <a16:creationId xmlns:a16="http://schemas.microsoft.com/office/drawing/2014/main" id="{00000000-0008-0000-0600-000056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121</xdr:row>
          <xdr:rowOff>46264</xdr:rowOff>
        </xdr:from>
        <xdr:to>
          <xdr:col>2</xdr:col>
          <xdr:colOff>59871</xdr:colOff>
          <xdr:row>123</xdr:row>
          <xdr:rowOff>46264</xdr:rowOff>
        </xdr:to>
        <xdr:sp macro="" textlink="">
          <xdr:nvSpPr>
            <xdr:cNvPr id="53591" name="Check Box 343" hidden="1">
              <a:extLst>
                <a:ext uri="{63B3BB69-23CF-44E3-9099-C40C66FF867C}">
                  <a14:compatExt spid="_x0000_s53591"/>
                </a:ext>
                <a:ext uri="{FF2B5EF4-FFF2-40B4-BE49-F238E27FC236}">
                  <a16:creationId xmlns:a16="http://schemas.microsoft.com/office/drawing/2014/main" id="{00000000-0008-0000-0600-000057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121</xdr:row>
          <xdr:rowOff>46264</xdr:rowOff>
        </xdr:from>
        <xdr:to>
          <xdr:col>3</xdr:col>
          <xdr:colOff>59871</xdr:colOff>
          <xdr:row>123</xdr:row>
          <xdr:rowOff>46264</xdr:rowOff>
        </xdr:to>
        <xdr:sp macro="" textlink="">
          <xdr:nvSpPr>
            <xdr:cNvPr id="53592" name="Check Box 344" hidden="1">
              <a:extLst>
                <a:ext uri="{63B3BB69-23CF-44E3-9099-C40C66FF867C}">
                  <a14:compatExt spid="_x0000_s53592"/>
                </a:ext>
                <a:ext uri="{FF2B5EF4-FFF2-40B4-BE49-F238E27FC236}">
                  <a16:creationId xmlns:a16="http://schemas.microsoft.com/office/drawing/2014/main" id="{00000000-0008-0000-0600-000058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121</xdr:row>
          <xdr:rowOff>46264</xdr:rowOff>
        </xdr:from>
        <xdr:to>
          <xdr:col>4</xdr:col>
          <xdr:colOff>81643</xdr:colOff>
          <xdr:row>123</xdr:row>
          <xdr:rowOff>46264</xdr:rowOff>
        </xdr:to>
        <xdr:sp macro="" textlink="">
          <xdr:nvSpPr>
            <xdr:cNvPr id="53593" name="Check Box 345" hidden="1">
              <a:extLst>
                <a:ext uri="{63B3BB69-23CF-44E3-9099-C40C66FF867C}">
                  <a14:compatExt spid="_x0000_s53593"/>
                </a:ext>
                <a:ext uri="{FF2B5EF4-FFF2-40B4-BE49-F238E27FC236}">
                  <a16:creationId xmlns:a16="http://schemas.microsoft.com/office/drawing/2014/main" id="{00000000-0008-0000-0600-000059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124</xdr:row>
          <xdr:rowOff>46264</xdr:rowOff>
        </xdr:from>
        <xdr:to>
          <xdr:col>2</xdr:col>
          <xdr:colOff>59871</xdr:colOff>
          <xdr:row>126</xdr:row>
          <xdr:rowOff>46264</xdr:rowOff>
        </xdr:to>
        <xdr:sp macro="" textlink="">
          <xdr:nvSpPr>
            <xdr:cNvPr id="53596" name="Check Box 348" hidden="1">
              <a:extLst>
                <a:ext uri="{63B3BB69-23CF-44E3-9099-C40C66FF867C}">
                  <a14:compatExt spid="_x0000_s53596"/>
                </a:ext>
                <a:ext uri="{FF2B5EF4-FFF2-40B4-BE49-F238E27FC236}">
                  <a16:creationId xmlns:a16="http://schemas.microsoft.com/office/drawing/2014/main" id="{00000000-0008-0000-0600-00005C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124</xdr:row>
          <xdr:rowOff>46264</xdr:rowOff>
        </xdr:from>
        <xdr:to>
          <xdr:col>3</xdr:col>
          <xdr:colOff>59871</xdr:colOff>
          <xdr:row>126</xdr:row>
          <xdr:rowOff>46264</xdr:rowOff>
        </xdr:to>
        <xdr:sp macro="" textlink="">
          <xdr:nvSpPr>
            <xdr:cNvPr id="53597" name="Check Box 349" hidden="1">
              <a:extLst>
                <a:ext uri="{63B3BB69-23CF-44E3-9099-C40C66FF867C}">
                  <a14:compatExt spid="_x0000_s53597"/>
                </a:ext>
                <a:ext uri="{FF2B5EF4-FFF2-40B4-BE49-F238E27FC236}">
                  <a16:creationId xmlns:a16="http://schemas.microsoft.com/office/drawing/2014/main" id="{00000000-0008-0000-0600-00005D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124</xdr:row>
          <xdr:rowOff>46264</xdr:rowOff>
        </xdr:from>
        <xdr:to>
          <xdr:col>4</xdr:col>
          <xdr:colOff>81643</xdr:colOff>
          <xdr:row>126</xdr:row>
          <xdr:rowOff>46264</xdr:rowOff>
        </xdr:to>
        <xdr:sp macro="" textlink="">
          <xdr:nvSpPr>
            <xdr:cNvPr id="53598" name="Check Box 350" hidden="1">
              <a:extLst>
                <a:ext uri="{63B3BB69-23CF-44E3-9099-C40C66FF867C}">
                  <a14:compatExt spid="_x0000_s53598"/>
                </a:ext>
                <a:ext uri="{FF2B5EF4-FFF2-40B4-BE49-F238E27FC236}">
                  <a16:creationId xmlns:a16="http://schemas.microsoft.com/office/drawing/2014/main" id="{00000000-0008-0000-0600-00005E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128</xdr:row>
          <xdr:rowOff>46264</xdr:rowOff>
        </xdr:from>
        <xdr:to>
          <xdr:col>2</xdr:col>
          <xdr:colOff>59871</xdr:colOff>
          <xdr:row>130</xdr:row>
          <xdr:rowOff>46264</xdr:rowOff>
        </xdr:to>
        <xdr:sp macro="" textlink="">
          <xdr:nvSpPr>
            <xdr:cNvPr id="53599" name="Check Box 351" hidden="1">
              <a:extLst>
                <a:ext uri="{63B3BB69-23CF-44E3-9099-C40C66FF867C}">
                  <a14:compatExt spid="_x0000_s53599"/>
                </a:ext>
                <a:ext uri="{FF2B5EF4-FFF2-40B4-BE49-F238E27FC236}">
                  <a16:creationId xmlns:a16="http://schemas.microsoft.com/office/drawing/2014/main" id="{00000000-0008-0000-0600-00005F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128</xdr:row>
          <xdr:rowOff>46264</xdr:rowOff>
        </xdr:from>
        <xdr:to>
          <xdr:col>3</xdr:col>
          <xdr:colOff>59871</xdr:colOff>
          <xdr:row>130</xdr:row>
          <xdr:rowOff>46264</xdr:rowOff>
        </xdr:to>
        <xdr:sp macro="" textlink="">
          <xdr:nvSpPr>
            <xdr:cNvPr id="53600" name="Check Box 352" hidden="1">
              <a:extLst>
                <a:ext uri="{63B3BB69-23CF-44E3-9099-C40C66FF867C}">
                  <a14:compatExt spid="_x0000_s53600"/>
                </a:ext>
                <a:ext uri="{FF2B5EF4-FFF2-40B4-BE49-F238E27FC236}">
                  <a16:creationId xmlns:a16="http://schemas.microsoft.com/office/drawing/2014/main" id="{00000000-0008-0000-0600-000060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128</xdr:row>
          <xdr:rowOff>46264</xdr:rowOff>
        </xdr:from>
        <xdr:to>
          <xdr:col>4</xdr:col>
          <xdr:colOff>81643</xdr:colOff>
          <xdr:row>130</xdr:row>
          <xdr:rowOff>46264</xdr:rowOff>
        </xdr:to>
        <xdr:sp macro="" textlink="">
          <xdr:nvSpPr>
            <xdr:cNvPr id="53601" name="Check Box 353" hidden="1">
              <a:extLst>
                <a:ext uri="{63B3BB69-23CF-44E3-9099-C40C66FF867C}">
                  <a14:compatExt spid="_x0000_s53601"/>
                </a:ext>
                <a:ext uri="{FF2B5EF4-FFF2-40B4-BE49-F238E27FC236}">
                  <a16:creationId xmlns:a16="http://schemas.microsoft.com/office/drawing/2014/main" id="{00000000-0008-0000-0600-000061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130</xdr:row>
          <xdr:rowOff>46264</xdr:rowOff>
        </xdr:from>
        <xdr:to>
          <xdr:col>2</xdr:col>
          <xdr:colOff>59871</xdr:colOff>
          <xdr:row>132</xdr:row>
          <xdr:rowOff>46264</xdr:rowOff>
        </xdr:to>
        <xdr:sp macro="" textlink="">
          <xdr:nvSpPr>
            <xdr:cNvPr id="53602" name="Check Box 354" hidden="1">
              <a:extLst>
                <a:ext uri="{63B3BB69-23CF-44E3-9099-C40C66FF867C}">
                  <a14:compatExt spid="_x0000_s53602"/>
                </a:ext>
                <a:ext uri="{FF2B5EF4-FFF2-40B4-BE49-F238E27FC236}">
                  <a16:creationId xmlns:a16="http://schemas.microsoft.com/office/drawing/2014/main" id="{00000000-0008-0000-0600-000062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130</xdr:row>
          <xdr:rowOff>46264</xdr:rowOff>
        </xdr:from>
        <xdr:to>
          <xdr:col>3</xdr:col>
          <xdr:colOff>59871</xdr:colOff>
          <xdr:row>132</xdr:row>
          <xdr:rowOff>46264</xdr:rowOff>
        </xdr:to>
        <xdr:sp macro="" textlink="">
          <xdr:nvSpPr>
            <xdr:cNvPr id="53603" name="Check Box 355" hidden="1">
              <a:extLst>
                <a:ext uri="{63B3BB69-23CF-44E3-9099-C40C66FF867C}">
                  <a14:compatExt spid="_x0000_s53603"/>
                </a:ext>
                <a:ext uri="{FF2B5EF4-FFF2-40B4-BE49-F238E27FC236}">
                  <a16:creationId xmlns:a16="http://schemas.microsoft.com/office/drawing/2014/main" id="{00000000-0008-0000-0600-000063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130</xdr:row>
          <xdr:rowOff>46264</xdr:rowOff>
        </xdr:from>
        <xdr:to>
          <xdr:col>4</xdr:col>
          <xdr:colOff>81643</xdr:colOff>
          <xdr:row>132</xdr:row>
          <xdr:rowOff>46264</xdr:rowOff>
        </xdr:to>
        <xdr:sp macro="" textlink="">
          <xdr:nvSpPr>
            <xdr:cNvPr id="53604" name="Check Box 356" hidden="1">
              <a:extLst>
                <a:ext uri="{63B3BB69-23CF-44E3-9099-C40C66FF867C}">
                  <a14:compatExt spid="_x0000_s53604"/>
                </a:ext>
                <a:ext uri="{FF2B5EF4-FFF2-40B4-BE49-F238E27FC236}">
                  <a16:creationId xmlns:a16="http://schemas.microsoft.com/office/drawing/2014/main" id="{00000000-0008-0000-0600-000064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132</xdr:row>
          <xdr:rowOff>46264</xdr:rowOff>
        </xdr:from>
        <xdr:to>
          <xdr:col>2</xdr:col>
          <xdr:colOff>59871</xdr:colOff>
          <xdr:row>134</xdr:row>
          <xdr:rowOff>46264</xdr:rowOff>
        </xdr:to>
        <xdr:sp macro="" textlink="">
          <xdr:nvSpPr>
            <xdr:cNvPr id="53605" name="Check Box 357" hidden="1">
              <a:extLst>
                <a:ext uri="{63B3BB69-23CF-44E3-9099-C40C66FF867C}">
                  <a14:compatExt spid="_x0000_s53605"/>
                </a:ext>
                <a:ext uri="{FF2B5EF4-FFF2-40B4-BE49-F238E27FC236}">
                  <a16:creationId xmlns:a16="http://schemas.microsoft.com/office/drawing/2014/main" id="{00000000-0008-0000-0600-000065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132</xdr:row>
          <xdr:rowOff>46264</xdr:rowOff>
        </xdr:from>
        <xdr:to>
          <xdr:col>3</xdr:col>
          <xdr:colOff>59871</xdr:colOff>
          <xdr:row>134</xdr:row>
          <xdr:rowOff>46264</xdr:rowOff>
        </xdr:to>
        <xdr:sp macro="" textlink="">
          <xdr:nvSpPr>
            <xdr:cNvPr id="53606" name="Check Box 358" hidden="1">
              <a:extLst>
                <a:ext uri="{63B3BB69-23CF-44E3-9099-C40C66FF867C}">
                  <a14:compatExt spid="_x0000_s53606"/>
                </a:ext>
                <a:ext uri="{FF2B5EF4-FFF2-40B4-BE49-F238E27FC236}">
                  <a16:creationId xmlns:a16="http://schemas.microsoft.com/office/drawing/2014/main" id="{00000000-0008-0000-0600-000066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132</xdr:row>
          <xdr:rowOff>46264</xdr:rowOff>
        </xdr:from>
        <xdr:to>
          <xdr:col>4</xdr:col>
          <xdr:colOff>81643</xdr:colOff>
          <xdr:row>134</xdr:row>
          <xdr:rowOff>46264</xdr:rowOff>
        </xdr:to>
        <xdr:sp macro="" textlink="">
          <xdr:nvSpPr>
            <xdr:cNvPr id="53607" name="Check Box 359" hidden="1">
              <a:extLst>
                <a:ext uri="{63B3BB69-23CF-44E3-9099-C40C66FF867C}">
                  <a14:compatExt spid="_x0000_s53607"/>
                </a:ext>
                <a:ext uri="{FF2B5EF4-FFF2-40B4-BE49-F238E27FC236}">
                  <a16:creationId xmlns:a16="http://schemas.microsoft.com/office/drawing/2014/main" id="{00000000-0008-0000-0600-000067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136</xdr:row>
          <xdr:rowOff>46264</xdr:rowOff>
        </xdr:from>
        <xdr:to>
          <xdr:col>2</xdr:col>
          <xdr:colOff>59871</xdr:colOff>
          <xdr:row>138</xdr:row>
          <xdr:rowOff>46264</xdr:rowOff>
        </xdr:to>
        <xdr:sp macro="" textlink="">
          <xdr:nvSpPr>
            <xdr:cNvPr id="53608" name="Check Box 360" hidden="1">
              <a:extLst>
                <a:ext uri="{63B3BB69-23CF-44E3-9099-C40C66FF867C}">
                  <a14:compatExt spid="_x0000_s53608"/>
                </a:ext>
                <a:ext uri="{FF2B5EF4-FFF2-40B4-BE49-F238E27FC236}">
                  <a16:creationId xmlns:a16="http://schemas.microsoft.com/office/drawing/2014/main" id="{00000000-0008-0000-0600-000068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136</xdr:row>
          <xdr:rowOff>46264</xdr:rowOff>
        </xdr:from>
        <xdr:to>
          <xdr:col>3</xdr:col>
          <xdr:colOff>59871</xdr:colOff>
          <xdr:row>138</xdr:row>
          <xdr:rowOff>46264</xdr:rowOff>
        </xdr:to>
        <xdr:sp macro="" textlink="">
          <xdr:nvSpPr>
            <xdr:cNvPr id="53609" name="Check Box 361" hidden="1">
              <a:extLst>
                <a:ext uri="{63B3BB69-23CF-44E3-9099-C40C66FF867C}">
                  <a14:compatExt spid="_x0000_s53609"/>
                </a:ext>
                <a:ext uri="{FF2B5EF4-FFF2-40B4-BE49-F238E27FC236}">
                  <a16:creationId xmlns:a16="http://schemas.microsoft.com/office/drawing/2014/main" id="{00000000-0008-0000-0600-000069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136</xdr:row>
          <xdr:rowOff>46264</xdr:rowOff>
        </xdr:from>
        <xdr:to>
          <xdr:col>4</xdr:col>
          <xdr:colOff>81643</xdr:colOff>
          <xdr:row>138</xdr:row>
          <xdr:rowOff>46264</xdr:rowOff>
        </xdr:to>
        <xdr:sp macro="" textlink="">
          <xdr:nvSpPr>
            <xdr:cNvPr id="53610" name="Check Box 362" hidden="1">
              <a:extLst>
                <a:ext uri="{63B3BB69-23CF-44E3-9099-C40C66FF867C}">
                  <a14:compatExt spid="_x0000_s53610"/>
                </a:ext>
                <a:ext uri="{FF2B5EF4-FFF2-40B4-BE49-F238E27FC236}">
                  <a16:creationId xmlns:a16="http://schemas.microsoft.com/office/drawing/2014/main" id="{00000000-0008-0000-0600-00006A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138</xdr:row>
          <xdr:rowOff>46264</xdr:rowOff>
        </xdr:from>
        <xdr:to>
          <xdr:col>2</xdr:col>
          <xdr:colOff>59871</xdr:colOff>
          <xdr:row>140</xdr:row>
          <xdr:rowOff>46264</xdr:rowOff>
        </xdr:to>
        <xdr:sp macro="" textlink="">
          <xdr:nvSpPr>
            <xdr:cNvPr id="53611" name="Check Box 363" hidden="1">
              <a:extLst>
                <a:ext uri="{63B3BB69-23CF-44E3-9099-C40C66FF867C}">
                  <a14:compatExt spid="_x0000_s53611"/>
                </a:ext>
                <a:ext uri="{FF2B5EF4-FFF2-40B4-BE49-F238E27FC236}">
                  <a16:creationId xmlns:a16="http://schemas.microsoft.com/office/drawing/2014/main" id="{00000000-0008-0000-0600-00006B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138</xdr:row>
          <xdr:rowOff>46264</xdr:rowOff>
        </xdr:from>
        <xdr:to>
          <xdr:col>3</xdr:col>
          <xdr:colOff>59871</xdr:colOff>
          <xdr:row>140</xdr:row>
          <xdr:rowOff>46264</xdr:rowOff>
        </xdr:to>
        <xdr:sp macro="" textlink="">
          <xdr:nvSpPr>
            <xdr:cNvPr id="53612" name="Check Box 364" hidden="1">
              <a:extLst>
                <a:ext uri="{63B3BB69-23CF-44E3-9099-C40C66FF867C}">
                  <a14:compatExt spid="_x0000_s53612"/>
                </a:ext>
                <a:ext uri="{FF2B5EF4-FFF2-40B4-BE49-F238E27FC236}">
                  <a16:creationId xmlns:a16="http://schemas.microsoft.com/office/drawing/2014/main" id="{00000000-0008-0000-0600-00006C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138</xdr:row>
          <xdr:rowOff>46264</xdr:rowOff>
        </xdr:from>
        <xdr:to>
          <xdr:col>4</xdr:col>
          <xdr:colOff>81643</xdr:colOff>
          <xdr:row>140</xdr:row>
          <xdr:rowOff>46264</xdr:rowOff>
        </xdr:to>
        <xdr:sp macro="" textlink="">
          <xdr:nvSpPr>
            <xdr:cNvPr id="53613" name="Check Box 365" hidden="1">
              <a:extLst>
                <a:ext uri="{63B3BB69-23CF-44E3-9099-C40C66FF867C}">
                  <a14:compatExt spid="_x0000_s53613"/>
                </a:ext>
                <a:ext uri="{FF2B5EF4-FFF2-40B4-BE49-F238E27FC236}">
                  <a16:creationId xmlns:a16="http://schemas.microsoft.com/office/drawing/2014/main" id="{00000000-0008-0000-0600-00006D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140</xdr:row>
          <xdr:rowOff>46264</xdr:rowOff>
        </xdr:from>
        <xdr:to>
          <xdr:col>2</xdr:col>
          <xdr:colOff>59871</xdr:colOff>
          <xdr:row>142</xdr:row>
          <xdr:rowOff>46264</xdr:rowOff>
        </xdr:to>
        <xdr:sp macro="" textlink="">
          <xdr:nvSpPr>
            <xdr:cNvPr id="53614" name="Check Box 366" hidden="1">
              <a:extLst>
                <a:ext uri="{63B3BB69-23CF-44E3-9099-C40C66FF867C}">
                  <a14:compatExt spid="_x0000_s53614"/>
                </a:ext>
                <a:ext uri="{FF2B5EF4-FFF2-40B4-BE49-F238E27FC236}">
                  <a16:creationId xmlns:a16="http://schemas.microsoft.com/office/drawing/2014/main" id="{00000000-0008-0000-0600-00006E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140</xdr:row>
          <xdr:rowOff>46264</xdr:rowOff>
        </xdr:from>
        <xdr:to>
          <xdr:col>3</xdr:col>
          <xdr:colOff>59871</xdr:colOff>
          <xdr:row>142</xdr:row>
          <xdr:rowOff>46264</xdr:rowOff>
        </xdr:to>
        <xdr:sp macro="" textlink="">
          <xdr:nvSpPr>
            <xdr:cNvPr id="53615" name="Check Box 367" hidden="1">
              <a:extLst>
                <a:ext uri="{63B3BB69-23CF-44E3-9099-C40C66FF867C}">
                  <a14:compatExt spid="_x0000_s53615"/>
                </a:ext>
                <a:ext uri="{FF2B5EF4-FFF2-40B4-BE49-F238E27FC236}">
                  <a16:creationId xmlns:a16="http://schemas.microsoft.com/office/drawing/2014/main" id="{00000000-0008-0000-0600-00006F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10886</xdr:colOff>
          <xdr:row>140</xdr:row>
          <xdr:rowOff>46264</xdr:rowOff>
        </xdr:from>
        <xdr:to>
          <xdr:col>4</xdr:col>
          <xdr:colOff>81643</xdr:colOff>
          <xdr:row>142</xdr:row>
          <xdr:rowOff>46264</xdr:rowOff>
        </xdr:to>
        <xdr:sp macro="" textlink="">
          <xdr:nvSpPr>
            <xdr:cNvPr id="53616" name="Check Box 368" hidden="1">
              <a:extLst>
                <a:ext uri="{63B3BB69-23CF-44E3-9099-C40C66FF867C}">
                  <a14:compatExt spid="_x0000_s53616"/>
                </a:ext>
                <a:ext uri="{FF2B5EF4-FFF2-40B4-BE49-F238E27FC236}">
                  <a16:creationId xmlns:a16="http://schemas.microsoft.com/office/drawing/2014/main" id="{00000000-0008-0000-0600-000070D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3</xdr:col>
          <xdr:colOff>130629</xdr:colOff>
          <xdr:row>1</xdr:row>
          <xdr:rowOff>114300</xdr:rowOff>
        </xdr:to>
        <xdr:sp macro="" textlink="">
          <xdr:nvSpPr>
            <xdr:cNvPr id="53618" name="Button 370" hidden="1">
              <a:extLst>
                <a:ext uri="{63B3BB69-23CF-44E3-9099-C40C66FF867C}">
                  <a14:compatExt spid="_x0000_s53618"/>
                </a:ext>
                <a:ext uri="{FF2B5EF4-FFF2-40B4-BE49-F238E27FC236}">
                  <a16:creationId xmlns:a16="http://schemas.microsoft.com/office/drawing/2014/main" id="{00000000-0008-0000-0600-000072D100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29936</xdr:colOff>
      <xdr:row>1</xdr:row>
      <xdr:rowOff>0</xdr:rowOff>
    </xdr:from>
    <xdr:to>
      <xdr:col>10</xdr:col>
      <xdr:colOff>601436</xdr:colOff>
      <xdr:row>9</xdr:row>
      <xdr:rowOff>19050</xdr:rowOff>
    </xdr:to>
    <xdr:pic>
      <xdr:nvPicPr>
        <xdr:cNvPr id="66576" name="Picture 1" descr="OCG Fax IN 1">
          <a:extLst>
            <a:ext uri="{FF2B5EF4-FFF2-40B4-BE49-F238E27FC236}">
              <a16:creationId xmlns:a16="http://schemas.microsoft.com/office/drawing/2014/main" id="{7B29D6F8-8D4D-1E51-521A-4A82913A40C3}"/>
            </a:ext>
          </a:extLst>
        </xdr:cNvPr>
        <xdr:cNvPicPr>
          <a:picLocks noChangeAspect="1" noChangeArrowheads="1"/>
        </xdr:cNvPicPr>
      </xdr:nvPicPr>
      <xdr:blipFill>
        <a:blip xmlns:r="http://schemas.openxmlformats.org/officeDocument/2006/relationships" r:embed="rId1">
          <a:lum bright="-24000" contrast="48000"/>
          <a:extLst>
            <a:ext uri="{28A0092B-C50C-407E-A947-70E740481C1C}">
              <a14:useLocalDpi xmlns:a14="http://schemas.microsoft.com/office/drawing/2010/main" val="0"/>
            </a:ext>
          </a:extLst>
        </a:blip>
        <a:srcRect/>
        <a:stretch>
          <a:fillRect/>
        </a:stretch>
      </xdr:blipFill>
      <xdr:spPr bwMode="auto">
        <a:xfrm>
          <a:off x="29936" y="163286"/>
          <a:ext cx="7032171" cy="1325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29936</xdr:colOff>
      <xdr:row>43</xdr:row>
      <xdr:rowOff>87086</xdr:rowOff>
    </xdr:from>
    <xdr:to>
      <xdr:col>10</xdr:col>
      <xdr:colOff>612321</xdr:colOff>
      <xdr:row>53</xdr:row>
      <xdr:rowOff>133350</xdr:rowOff>
    </xdr:to>
    <xdr:pic>
      <xdr:nvPicPr>
        <xdr:cNvPr id="66577" name="Picture 2" descr="OCG Fax IN 2">
          <a:extLst>
            <a:ext uri="{FF2B5EF4-FFF2-40B4-BE49-F238E27FC236}">
              <a16:creationId xmlns:a16="http://schemas.microsoft.com/office/drawing/2014/main" id="{5764ED64-8E7A-6414-39BB-952CD8240134}"/>
            </a:ext>
          </a:extLst>
        </xdr:cNvPr>
        <xdr:cNvPicPr>
          <a:picLocks noChangeAspect="1" noChangeArrowheads="1"/>
        </xdr:cNvPicPr>
      </xdr:nvPicPr>
      <xdr:blipFill>
        <a:blip xmlns:r="http://schemas.openxmlformats.org/officeDocument/2006/relationships" r:embed="rId2">
          <a:lum bright="-36000" contrast="100000"/>
          <a:extLst>
            <a:ext uri="{28A0092B-C50C-407E-A947-70E740481C1C}">
              <a14:useLocalDpi xmlns:a14="http://schemas.microsoft.com/office/drawing/2010/main" val="0"/>
            </a:ext>
          </a:extLst>
        </a:blip>
        <a:srcRect/>
        <a:stretch>
          <a:fillRect/>
        </a:stretch>
      </xdr:blipFill>
      <xdr:spPr bwMode="auto">
        <a:xfrm>
          <a:off x="29936" y="7187293"/>
          <a:ext cx="7043057" cy="1679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326571</xdr:colOff>
          <xdr:row>20</xdr:row>
          <xdr:rowOff>146957</xdr:rowOff>
        </xdr:from>
        <xdr:to>
          <xdr:col>4</xdr:col>
          <xdr:colOff>10886</xdr:colOff>
          <xdr:row>22</xdr:row>
          <xdr:rowOff>38100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0700-000003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334736</xdr:colOff>
          <xdr:row>22</xdr:row>
          <xdr:rowOff>146957</xdr:rowOff>
        </xdr:from>
        <xdr:to>
          <xdr:col>4</xdr:col>
          <xdr:colOff>19050</xdr:colOff>
          <xdr:row>24</xdr:row>
          <xdr:rowOff>38100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0700-000004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20</xdr:row>
          <xdr:rowOff>146957</xdr:rowOff>
        </xdr:from>
        <xdr:to>
          <xdr:col>5</xdr:col>
          <xdr:colOff>620486</xdr:colOff>
          <xdr:row>22</xdr:row>
          <xdr:rowOff>38100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0700-000005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315686</xdr:colOff>
          <xdr:row>22</xdr:row>
          <xdr:rowOff>146957</xdr:rowOff>
        </xdr:from>
        <xdr:to>
          <xdr:col>6</xdr:col>
          <xdr:colOff>0</xdr:colOff>
          <xdr:row>24</xdr:row>
          <xdr:rowOff>38100</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0700-000006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315686</xdr:colOff>
          <xdr:row>24</xdr:row>
          <xdr:rowOff>146957</xdr:rowOff>
        </xdr:from>
        <xdr:to>
          <xdr:col>6</xdr:col>
          <xdr:colOff>0</xdr:colOff>
          <xdr:row>26</xdr:row>
          <xdr:rowOff>38100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0700-000007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334736</xdr:colOff>
          <xdr:row>24</xdr:row>
          <xdr:rowOff>108857</xdr:rowOff>
        </xdr:from>
        <xdr:to>
          <xdr:col>4</xdr:col>
          <xdr:colOff>19050</xdr:colOff>
          <xdr:row>26</xdr:row>
          <xdr:rowOff>87086</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0700-000008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20</xdr:row>
          <xdr:rowOff>146957</xdr:rowOff>
        </xdr:from>
        <xdr:to>
          <xdr:col>7</xdr:col>
          <xdr:colOff>620486</xdr:colOff>
          <xdr:row>22</xdr:row>
          <xdr:rowOff>38100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0700-000009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315686</xdr:colOff>
          <xdr:row>24</xdr:row>
          <xdr:rowOff>136071</xdr:rowOff>
        </xdr:from>
        <xdr:to>
          <xdr:col>8</xdr:col>
          <xdr:colOff>0</xdr:colOff>
          <xdr:row>26</xdr:row>
          <xdr:rowOff>29936</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0700-00000A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296636</xdr:colOff>
          <xdr:row>1</xdr:row>
          <xdr:rowOff>114300</xdr:rowOff>
        </xdr:from>
        <xdr:to>
          <xdr:col>12</xdr:col>
          <xdr:colOff>198664</xdr:colOff>
          <xdr:row>3</xdr:row>
          <xdr:rowOff>0</xdr:rowOff>
        </xdr:to>
        <xdr:sp macro="" textlink="">
          <xdr:nvSpPr>
            <xdr:cNvPr id="66571" name="Button 11" hidden="1">
              <a:extLst>
                <a:ext uri="{63B3BB69-23CF-44E3-9099-C40C66FF867C}">
                  <a14:compatExt spid="_x0000_s66571"/>
                </a:ext>
                <a:ext uri="{FF2B5EF4-FFF2-40B4-BE49-F238E27FC236}">
                  <a16:creationId xmlns:a16="http://schemas.microsoft.com/office/drawing/2014/main" id="{00000000-0008-0000-0700-00000B04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435429</xdr:colOff>
          <xdr:row>1</xdr:row>
          <xdr:rowOff>114300</xdr:rowOff>
        </xdr:from>
        <xdr:to>
          <xdr:col>3</xdr:col>
          <xdr:colOff>326571</xdr:colOff>
          <xdr:row>3</xdr:row>
          <xdr:rowOff>0</xdr:rowOff>
        </xdr:to>
        <xdr:sp macro="" textlink="">
          <xdr:nvSpPr>
            <xdr:cNvPr id="69633" name="Button 1" hidden="1">
              <a:extLst>
                <a:ext uri="{63B3BB69-23CF-44E3-9099-C40C66FF867C}">
                  <a14:compatExt spid="_x0000_s69633"/>
                </a:ext>
                <a:ext uri="{FF2B5EF4-FFF2-40B4-BE49-F238E27FC236}">
                  <a16:creationId xmlns:a16="http://schemas.microsoft.com/office/drawing/2014/main" id="{00000000-0008-0000-0800-000001100100}"/>
                </a:ext>
              </a:extLst>
            </xdr:cNvPr>
            <xdr:cNvSpPr/>
          </xdr:nvSpPr>
          <xdr:spPr bwMode="auto">
            <a:xfrm>
              <a:off x="0" y="0"/>
              <a:ext cx="0" cy="0"/>
            </a:xfrm>
            <a:prstGeom prst="rect">
              <a:avLst/>
            </a:prstGeom>
            <a:noFill/>
            <a:ln w="9525">
              <a:miter lim="800000"/>
              <a:headEnd/>
              <a:tailEnd/>
            </a:ln>
          </xdr:spPr>
          <xdr:txBody>
            <a:bodyPr vertOverflow="clip" wrap="square" lIns="73152" tIns="54864" rIns="73152" bIns="54864" anchor="ctr" upright="1"/>
            <a:lstStyle/>
            <a:p>
              <a:pPr algn="ctr" rtl="0">
                <a:defRPr sz="1000"/>
              </a:pPr>
              <a:r>
                <a:rPr lang="en-US" sz="1000" b="0" i="0" u="none" strike="noStrike" baseline="0">
                  <a:solidFill>
                    <a:srgbClr val="000000"/>
                  </a:solidFill>
                  <a:latin typeface="Arial"/>
                  <a:cs typeface="Arial"/>
                </a:rPr>
                <a:t>MENU</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GULF\AMIGO\16111190\16-11WB.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Misc/Kereco/CopyofMASTERKERECOAFETemplate/CopyofMASTERKERECOAFETemplate.xls" TargetMode="External"/><Relationship Id="rId1" Type="http://schemas.openxmlformats.org/officeDocument/2006/relationships/externalLinkPath" Target="/Old%20HP%20Laptop%20Files/Work%20Files/Website%20Files%20for%20Download/Misc/Kereco/CopyofMASTERKERECOAFETemplate/CopyofMASTERKERECOAFETemplate.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Operations/AFE's/3_Drilling/30394_10-34-48-23%20W4.xls" TargetMode="External"/><Relationship Id="rId1" Type="http://schemas.openxmlformats.org/officeDocument/2006/relationships/externalLinkPath" Target="/Old%20HP%20Laptop%20Files/Work%20Files/Website%20Files%20for%20Download/Operations/AFE's/3_Drilling/30394_10-34-48-23%20W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le Volumes"/>
      <sheetName val="Fluid sum"/>
      <sheetName val="Rentals"/>
      <sheetName val="Field Work"/>
      <sheetName val="Pipe tally"/>
      <sheetName val="tankgaug"/>
      <sheetName val="Well proposed"/>
      <sheetName val="Well existing"/>
      <sheetName val="Cost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rocedure"/>
      <sheetName val="Routing Slip"/>
      <sheetName val="Front Page"/>
      <sheetName val="Drill Detail"/>
      <sheetName val="Completion &amp; Workover Detail"/>
      <sheetName val="Equip_Gath_Tie-in Detail"/>
      <sheetName val="Facilities Detail"/>
      <sheetName val="Seismic Detail"/>
      <sheetName val="Misc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rocedure"/>
      <sheetName val="Routing Slip"/>
      <sheetName val="Front Page"/>
      <sheetName val="Drill Detail"/>
      <sheetName val="Completion &amp; Workover Detail"/>
      <sheetName val="Equip_Gath_Tie-in Detail"/>
      <sheetName val="Facilities Detail"/>
      <sheetName val="Seismic Detail"/>
      <sheetName val="Misc Detail"/>
    </sheetNames>
    <sheetDataSet>
      <sheetData sheetId="0" refreshError="1"/>
      <sheetData sheetId="1" refreshError="1"/>
      <sheetData sheetId="2" refreshError="1"/>
      <sheetData sheetId="3" refreshError="1">
        <row r="12">
          <cell r="F12">
            <v>0</v>
          </cell>
          <cell r="G12">
            <v>0</v>
          </cell>
        </row>
        <row r="13">
          <cell r="F13">
            <v>14000</v>
          </cell>
          <cell r="G13">
            <v>14000</v>
          </cell>
        </row>
        <row r="14">
          <cell r="F14">
            <v>5500</v>
          </cell>
          <cell r="G14">
            <v>5500</v>
          </cell>
        </row>
        <row r="15">
          <cell r="F15">
            <v>2500</v>
          </cell>
          <cell r="G15">
            <v>2500</v>
          </cell>
        </row>
        <row r="16">
          <cell r="F16">
            <v>7500</v>
          </cell>
          <cell r="G16">
            <v>7500</v>
          </cell>
        </row>
        <row r="17">
          <cell r="F17">
            <v>5000</v>
          </cell>
          <cell r="G17">
            <v>5000</v>
          </cell>
        </row>
        <row r="18">
          <cell r="F18">
            <v>5000</v>
          </cell>
          <cell r="G18">
            <v>5000</v>
          </cell>
        </row>
        <row r="21">
          <cell r="F21">
            <v>23000</v>
          </cell>
          <cell r="G21">
            <v>23000</v>
          </cell>
        </row>
        <row r="22">
          <cell r="F22">
            <v>5000</v>
          </cell>
          <cell r="G22">
            <v>5000</v>
          </cell>
        </row>
        <row r="23">
          <cell r="F23">
            <v>0</v>
          </cell>
          <cell r="G23">
            <v>0</v>
          </cell>
        </row>
        <row r="24">
          <cell r="F24">
            <v>64000</v>
          </cell>
          <cell r="G24">
            <v>64000</v>
          </cell>
        </row>
        <row r="25">
          <cell r="F25">
            <v>6600</v>
          </cell>
          <cell r="G25">
            <v>6600</v>
          </cell>
        </row>
        <row r="26">
          <cell r="F26">
            <v>0</v>
          </cell>
          <cell r="G26">
            <v>0</v>
          </cell>
        </row>
        <row r="27">
          <cell r="F27">
            <v>0</v>
          </cell>
          <cell r="G27">
            <v>0</v>
          </cell>
        </row>
        <row r="28">
          <cell r="F28">
            <v>7600</v>
          </cell>
          <cell r="G28">
            <v>7600</v>
          </cell>
        </row>
        <row r="29">
          <cell r="F29">
            <v>8500</v>
          </cell>
          <cell r="G29">
            <v>8500</v>
          </cell>
        </row>
        <row r="30">
          <cell r="F30">
            <v>2500</v>
          </cell>
          <cell r="G30">
            <v>2500</v>
          </cell>
        </row>
        <row r="31">
          <cell r="F31">
            <v>14500</v>
          </cell>
          <cell r="G31">
            <v>14500</v>
          </cell>
        </row>
        <row r="32">
          <cell r="F32">
            <v>42750</v>
          </cell>
          <cell r="G32">
            <v>42750</v>
          </cell>
        </row>
        <row r="33">
          <cell r="F33">
            <v>1750</v>
          </cell>
          <cell r="G33">
            <v>1750</v>
          </cell>
        </row>
        <row r="34">
          <cell r="F34">
            <v>0</v>
          </cell>
          <cell r="G34">
            <v>0</v>
          </cell>
        </row>
        <row r="35">
          <cell r="F35">
            <v>6500</v>
          </cell>
          <cell r="G35">
            <v>6500</v>
          </cell>
        </row>
        <row r="36">
          <cell r="F36">
            <v>3000</v>
          </cell>
          <cell r="G36">
            <v>3000</v>
          </cell>
        </row>
        <row r="37">
          <cell r="F37">
            <v>2250</v>
          </cell>
          <cell r="G37">
            <v>2250</v>
          </cell>
        </row>
        <row r="38">
          <cell r="F38">
            <v>6300</v>
          </cell>
          <cell r="G38">
            <v>6800</v>
          </cell>
        </row>
        <row r="39">
          <cell r="F39">
            <v>11000</v>
          </cell>
          <cell r="G39">
            <v>11000</v>
          </cell>
        </row>
        <row r="40">
          <cell r="F40">
            <v>0</v>
          </cell>
          <cell r="G40">
            <v>0</v>
          </cell>
        </row>
        <row r="41">
          <cell r="F41">
            <v>500</v>
          </cell>
          <cell r="G41">
            <v>500</v>
          </cell>
        </row>
        <row r="42">
          <cell r="F42">
            <v>0</v>
          </cell>
          <cell r="G42">
            <v>0</v>
          </cell>
        </row>
        <row r="43">
          <cell r="F43">
            <v>0</v>
          </cell>
          <cell r="G43">
            <v>0</v>
          </cell>
        </row>
        <row r="44">
          <cell r="F44">
            <v>7500</v>
          </cell>
          <cell r="G44">
            <v>0</v>
          </cell>
        </row>
        <row r="45">
          <cell r="F45">
            <v>1750</v>
          </cell>
          <cell r="G45">
            <v>1750</v>
          </cell>
        </row>
        <row r="46">
          <cell r="F46">
            <v>1500</v>
          </cell>
          <cell r="G46">
            <v>1500</v>
          </cell>
        </row>
        <row r="47">
          <cell r="F47">
            <v>0</v>
          </cell>
          <cell r="G47">
            <v>500</v>
          </cell>
        </row>
        <row r="50">
          <cell r="F50">
            <v>0</v>
          </cell>
          <cell r="G50">
            <v>0</v>
          </cell>
        </row>
        <row r="51">
          <cell r="F51">
            <v>0</v>
          </cell>
          <cell r="G51">
            <v>0</v>
          </cell>
        </row>
        <row r="52">
          <cell r="F52">
            <v>8500</v>
          </cell>
          <cell r="G52">
            <v>8500</v>
          </cell>
        </row>
        <row r="53">
          <cell r="F53">
            <v>0</v>
          </cell>
          <cell r="G53">
            <v>0</v>
          </cell>
        </row>
        <row r="54">
          <cell r="F54">
            <v>6000</v>
          </cell>
          <cell r="G54">
            <v>0</v>
          </cell>
        </row>
        <row r="57">
          <cell r="F57">
            <v>9000</v>
          </cell>
          <cell r="G57">
            <v>9000</v>
          </cell>
        </row>
        <row r="58">
          <cell r="F58">
            <v>1500</v>
          </cell>
          <cell r="G58">
            <v>1500</v>
          </cell>
        </row>
        <row r="59">
          <cell r="F59">
            <v>4500</v>
          </cell>
          <cell r="G59">
            <v>4500</v>
          </cell>
        </row>
        <row r="60">
          <cell r="F60">
            <v>1500</v>
          </cell>
          <cell r="G60">
            <v>1500</v>
          </cell>
        </row>
        <row r="61">
          <cell r="F61">
            <v>0</v>
          </cell>
          <cell r="G61">
            <v>0</v>
          </cell>
        </row>
        <row r="62">
          <cell r="F62">
            <v>0</v>
          </cell>
          <cell r="G62">
            <v>0</v>
          </cell>
        </row>
        <row r="63">
          <cell r="F63">
            <v>0</v>
          </cell>
          <cell r="G63">
            <v>0</v>
          </cell>
        </row>
        <row r="64">
          <cell r="F64">
            <v>0</v>
          </cell>
          <cell r="G64">
            <v>17290</v>
          </cell>
        </row>
        <row r="65">
          <cell r="F65">
            <v>0</v>
          </cell>
          <cell r="G65">
            <v>1300</v>
          </cell>
        </row>
        <row r="66">
          <cell r="F66">
            <v>0</v>
          </cell>
          <cell r="G66">
            <v>8500</v>
          </cell>
        </row>
        <row r="67">
          <cell r="F67">
            <v>1000</v>
          </cell>
          <cell r="G67">
            <v>3000</v>
          </cell>
        </row>
        <row r="68">
          <cell r="F68">
            <v>0</v>
          </cell>
          <cell r="G68">
            <v>0</v>
          </cell>
        </row>
        <row r="70">
          <cell r="F70">
            <v>14400</v>
          </cell>
          <cell r="G70">
            <v>15229.5</v>
          </cell>
        </row>
        <row r="72">
          <cell r="F72">
            <v>3000</v>
          </cell>
          <cell r="G72">
            <v>3000</v>
          </cell>
        </row>
      </sheetData>
      <sheetData sheetId="4" refreshError="1"/>
      <sheetData sheetId="5" refreshError="1"/>
      <sheetData sheetId="6" refreshError="1"/>
      <sheetData sheetId="7" refreshError="1"/>
      <sheetData sheetId="8" refreshError="1"/>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mailto:skiman8639@aol.com" TargetMode="External"/><Relationship Id="rId5" Type="http://schemas.openxmlformats.org/officeDocument/2006/relationships/ctrlProp" Target="../ctrlProps/ctrlProp593.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trlProp" Target="../ctrlProps/ctrlProp59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99.xml"/><Relationship Id="rId13" Type="http://schemas.openxmlformats.org/officeDocument/2006/relationships/ctrlProp" Target="../ctrlProps/ctrlProp604.xml"/><Relationship Id="rId18" Type="http://schemas.openxmlformats.org/officeDocument/2006/relationships/ctrlProp" Target="../ctrlProps/ctrlProp609.xml"/><Relationship Id="rId3" Type="http://schemas.openxmlformats.org/officeDocument/2006/relationships/vmlDrawing" Target="../drawings/vmlDrawing11.vml"/><Relationship Id="rId7" Type="http://schemas.openxmlformats.org/officeDocument/2006/relationships/ctrlProp" Target="../ctrlProps/ctrlProp598.xml"/><Relationship Id="rId12" Type="http://schemas.openxmlformats.org/officeDocument/2006/relationships/ctrlProp" Target="../ctrlProps/ctrlProp603.xml"/><Relationship Id="rId17" Type="http://schemas.openxmlformats.org/officeDocument/2006/relationships/ctrlProp" Target="../ctrlProps/ctrlProp608.xml"/><Relationship Id="rId2" Type="http://schemas.openxmlformats.org/officeDocument/2006/relationships/drawing" Target="../drawings/drawing12.xml"/><Relationship Id="rId16" Type="http://schemas.openxmlformats.org/officeDocument/2006/relationships/ctrlProp" Target="../ctrlProps/ctrlProp607.xml"/><Relationship Id="rId1" Type="http://schemas.openxmlformats.org/officeDocument/2006/relationships/printerSettings" Target="../printerSettings/printerSettings11.bin"/><Relationship Id="rId6" Type="http://schemas.openxmlformats.org/officeDocument/2006/relationships/ctrlProp" Target="../ctrlProps/ctrlProp597.xml"/><Relationship Id="rId11" Type="http://schemas.openxmlformats.org/officeDocument/2006/relationships/ctrlProp" Target="../ctrlProps/ctrlProp602.xml"/><Relationship Id="rId5" Type="http://schemas.openxmlformats.org/officeDocument/2006/relationships/ctrlProp" Target="../ctrlProps/ctrlProp596.xml"/><Relationship Id="rId15" Type="http://schemas.openxmlformats.org/officeDocument/2006/relationships/ctrlProp" Target="../ctrlProps/ctrlProp606.xml"/><Relationship Id="rId10" Type="http://schemas.openxmlformats.org/officeDocument/2006/relationships/ctrlProp" Target="../ctrlProps/ctrlProp601.xml"/><Relationship Id="rId19" Type="http://schemas.openxmlformats.org/officeDocument/2006/relationships/ctrlProp" Target="../ctrlProps/ctrlProp610.xml"/><Relationship Id="rId4" Type="http://schemas.openxmlformats.org/officeDocument/2006/relationships/ctrlProp" Target="../ctrlProps/ctrlProp595.xml"/><Relationship Id="rId9" Type="http://schemas.openxmlformats.org/officeDocument/2006/relationships/ctrlProp" Target="../ctrlProps/ctrlProp600.xml"/><Relationship Id="rId14" Type="http://schemas.openxmlformats.org/officeDocument/2006/relationships/ctrlProp" Target="../ctrlProps/ctrlProp60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trlProp" Target="../ctrlProps/ctrlProp6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612.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4.bin"/><Relationship Id="rId5" Type="http://schemas.openxmlformats.org/officeDocument/2006/relationships/ctrlProp" Target="../ctrlProps/ctrlProp614.xml"/><Relationship Id="rId4" Type="http://schemas.openxmlformats.org/officeDocument/2006/relationships/ctrlProp" Target="../ctrlProps/ctrlProp6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trlProp" Target="../ctrlProps/ctrlProp615.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616.xml"/><Relationship Id="rId2" Type="http://schemas.openxmlformats.org/officeDocument/2006/relationships/vmlDrawing" Target="../drawings/vmlDrawing16.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21.xml"/><Relationship Id="rId3" Type="http://schemas.openxmlformats.org/officeDocument/2006/relationships/vmlDrawing" Target="../drawings/vmlDrawing17.vml"/><Relationship Id="rId7" Type="http://schemas.openxmlformats.org/officeDocument/2006/relationships/ctrlProp" Target="../ctrlProps/ctrlProp620.xml"/><Relationship Id="rId2" Type="http://schemas.openxmlformats.org/officeDocument/2006/relationships/drawing" Target="../drawings/drawing19.xml"/><Relationship Id="rId1" Type="http://schemas.openxmlformats.org/officeDocument/2006/relationships/printerSettings" Target="../printerSettings/printerSettings16.bin"/><Relationship Id="rId6" Type="http://schemas.openxmlformats.org/officeDocument/2006/relationships/ctrlProp" Target="../ctrlProps/ctrlProp619.xml"/><Relationship Id="rId11" Type="http://schemas.openxmlformats.org/officeDocument/2006/relationships/comments" Target="../comments1.xml"/><Relationship Id="rId5" Type="http://schemas.openxmlformats.org/officeDocument/2006/relationships/ctrlProp" Target="../ctrlProps/ctrlProp618.xml"/><Relationship Id="rId10" Type="http://schemas.openxmlformats.org/officeDocument/2006/relationships/ctrlProp" Target="../ctrlProps/ctrlProp623.xml"/><Relationship Id="rId4" Type="http://schemas.openxmlformats.org/officeDocument/2006/relationships/ctrlProp" Target="../ctrlProps/ctrlProp617.xml"/><Relationship Id="rId9" Type="http://schemas.openxmlformats.org/officeDocument/2006/relationships/ctrlProp" Target="../ctrlProps/ctrlProp62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drawing" Target="../drawings/drawing2.xm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1" Type="http://schemas.openxmlformats.org/officeDocument/2006/relationships/printerSettings" Target="../printerSettings/printerSettings2.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17.bin"/><Relationship Id="rId5" Type="http://schemas.openxmlformats.org/officeDocument/2006/relationships/ctrlProp" Target="../ctrlProps/ctrlProp625.xml"/><Relationship Id="rId4" Type="http://schemas.openxmlformats.org/officeDocument/2006/relationships/ctrlProp" Target="../ctrlProps/ctrlProp62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18.bin"/><Relationship Id="rId4" Type="http://schemas.openxmlformats.org/officeDocument/2006/relationships/ctrlProp" Target="../ctrlProps/ctrlProp62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19.bin"/><Relationship Id="rId6" Type="http://schemas.openxmlformats.org/officeDocument/2006/relationships/comments" Target="../comments2.xml"/><Relationship Id="rId5" Type="http://schemas.openxmlformats.org/officeDocument/2006/relationships/ctrlProp" Target="../ctrlProps/ctrlProp628.xml"/><Relationship Id="rId4" Type="http://schemas.openxmlformats.org/officeDocument/2006/relationships/ctrlProp" Target="../ctrlProps/ctrlProp62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0.bin"/><Relationship Id="rId4" Type="http://schemas.openxmlformats.org/officeDocument/2006/relationships/ctrlProp" Target="../ctrlProps/ctrlProp62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1.bin"/><Relationship Id="rId4" Type="http://schemas.openxmlformats.org/officeDocument/2006/relationships/ctrlProp" Target="../ctrlProps/ctrlProp63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ctrlProp" Target="../ctrlProps/ctrlProp634.xml"/><Relationship Id="rId2" Type="http://schemas.openxmlformats.org/officeDocument/2006/relationships/drawing" Target="../drawings/drawing25.xml"/><Relationship Id="rId1" Type="http://schemas.openxmlformats.org/officeDocument/2006/relationships/printerSettings" Target="../printerSettings/printerSettings22.bin"/><Relationship Id="rId6" Type="http://schemas.openxmlformats.org/officeDocument/2006/relationships/ctrlProp" Target="../ctrlProps/ctrlProp633.xml"/><Relationship Id="rId5" Type="http://schemas.openxmlformats.org/officeDocument/2006/relationships/ctrlProp" Target="../ctrlProps/ctrlProp632.xml"/><Relationship Id="rId4" Type="http://schemas.openxmlformats.org/officeDocument/2006/relationships/ctrlProp" Target="../ctrlProps/ctrlProp63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3.bin"/><Relationship Id="rId6" Type="http://schemas.openxmlformats.org/officeDocument/2006/relationships/ctrlProp" Target="../ctrlProps/ctrlProp637.xml"/><Relationship Id="rId5" Type="http://schemas.openxmlformats.org/officeDocument/2006/relationships/ctrlProp" Target="../ctrlProps/ctrlProp636.xml"/><Relationship Id="rId4" Type="http://schemas.openxmlformats.org/officeDocument/2006/relationships/ctrlProp" Target="../ctrlProps/ctrlProp635.xml"/></Relationships>
</file>

<file path=xl/worksheets/_rels/sheet28.xml.rels><?xml version="1.0" encoding="UTF-8" standalone="yes"?>
<Relationships xmlns="http://schemas.openxmlformats.org/package/2006/relationships"><Relationship Id="rId3" Type="http://schemas.openxmlformats.org/officeDocument/2006/relationships/ctrlProp" Target="../ctrlProps/ctrlProp638.xml"/><Relationship Id="rId2" Type="http://schemas.openxmlformats.org/officeDocument/2006/relationships/vmlDrawing" Target="../drawings/vmlDrawing25.vml"/><Relationship Id="rId1" Type="http://schemas.openxmlformats.org/officeDocument/2006/relationships/drawing" Target="../drawings/drawing27.xml"/><Relationship Id="rId4" Type="http://schemas.openxmlformats.org/officeDocument/2006/relationships/ctrlProp" Target="../ctrlProps/ctrlProp63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24.bin"/><Relationship Id="rId4" Type="http://schemas.openxmlformats.org/officeDocument/2006/relationships/ctrlProp" Target="../ctrlProps/ctrlProp64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50.xml"/><Relationship Id="rId18" Type="http://schemas.openxmlformats.org/officeDocument/2006/relationships/ctrlProp" Target="../ctrlProps/ctrlProp655.xml"/><Relationship Id="rId26" Type="http://schemas.openxmlformats.org/officeDocument/2006/relationships/ctrlProp" Target="../ctrlProps/ctrlProp663.xml"/><Relationship Id="rId39" Type="http://schemas.openxmlformats.org/officeDocument/2006/relationships/ctrlProp" Target="../ctrlProps/ctrlProp676.xml"/><Relationship Id="rId21" Type="http://schemas.openxmlformats.org/officeDocument/2006/relationships/ctrlProp" Target="../ctrlProps/ctrlProp658.xml"/><Relationship Id="rId34" Type="http://schemas.openxmlformats.org/officeDocument/2006/relationships/ctrlProp" Target="../ctrlProps/ctrlProp671.xml"/><Relationship Id="rId42" Type="http://schemas.openxmlformats.org/officeDocument/2006/relationships/ctrlProp" Target="../ctrlProps/ctrlProp679.xml"/><Relationship Id="rId47" Type="http://schemas.openxmlformats.org/officeDocument/2006/relationships/ctrlProp" Target="../ctrlProps/ctrlProp684.xml"/><Relationship Id="rId50" Type="http://schemas.openxmlformats.org/officeDocument/2006/relationships/ctrlProp" Target="../ctrlProps/ctrlProp687.xml"/><Relationship Id="rId55" Type="http://schemas.openxmlformats.org/officeDocument/2006/relationships/ctrlProp" Target="../ctrlProps/ctrlProp692.xml"/><Relationship Id="rId63" Type="http://schemas.openxmlformats.org/officeDocument/2006/relationships/ctrlProp" Target="../ctrlProps/ctrlProp700.xml"/><Relationship Id="rId7" Type="http://schemas.openxmlformats.org/officeDocument/2006/relationships/ctrlProp" Target="../ctrlProps/ctrlProp644.xml"/><Relationship Id="rId2" Type="http://schemas.openxmlformats.org/officeDocument/2006/relationships/drawing" Target="../drawings/drawing29.xml"/><Relationship Id="rId16" Type="http://schemas.openxmlformats.org/officeDocument/2006/relationships/ctrlProp" Target="../ctrlProps/ctrlProp653.xml"/><Relationship Id="rId29" Type="http://schemas.openxmlformats.org/officeDocument/2006/relationships/ctrlProp" Target="../ctrlProps/ctrlProp666.xml"/><Relationship Id="rId11" Type="http://schemas.openxmlformats.org/officeDocument/2006/relationships/ctrlProp" Target="../ctrlProps/ctrlProp648.xml"/><Relationship Id="rId24" Type="http://schemas.openxmlformats.org/officeDocument/2006/relationships/ctrlProp" Target="../ctrlProps/ctrlProp661.xml"/><Relationship Id="rId32" Type="http://schemas.openxmlformats.org/officeDocument/2006/relationships/ctrlProp" Target="../ctrlProps/ctrlProp669.xml"/><Relationship Id="rId37" Type="http://schemas.openxmlformats.org/officeDocument/2006/relationships/ctrlProp" Target="../ctrlProps/ctrlProp674.xml"/><Relationship Id="rId40" Type="http://schemas.openxmlformats.org/officeDocument/2006/relationships/ctrlProp" Target="../ctrlProps/ctrlProp677.xml"/><Relationship Id="rId45" Type="http://schemas.openxmlformats.org/officeDocument/2006/relationships/ctrlProp" Target="../ctrlProps/ctrlProp682.xml"/><Relationship Id="rId53" Type="http://schemas.openxmlformats.org/officeDocument/2006/relationships/ctrlProp" Target="../ctrlProps/ctrlProp690.xml"/><Relationship Id="rId58" Type="http://schemas.openxmlformats.org/officeDocument/2006/relationships/ctrlProp" Target="../ctrlProps/ctrlProp695.xml"/><Relationship Id="rId5" Type="http://schemas.openxmlformats.org/officeDocument/2006/relationships/ctrlProp" Target="../ctrlProps/ctrlProp642.xml"/><Relationship Id="rId61" Type="http://schemas.openxmlformats.org/officeDocument/2006/relationships/ctrlProp" Target="../ctrlProps/ctrlProp698.xml"/><Relationship Id="rId19" Type="http://schemas.openxmlformats.org/officeDocument/2006/relationships/ctrlProp" Target="../ctrlProps/ctrlProp656.xml"/><Relationship Id="rId14" Type="http://schemas.openxmlformats.org/officeDocument/2006/relationships/ctrlProp" Target="../ctrlProps/ctrlProp651.xml"/><Relationship Id="rId22" Type="http://schemas.openxmlformats.org/officeDocument/2006/relationships/ctrlProp" Target="../ctrlProps/ctrlProp659.xml"/><Relationship Id="rId27" Type="http://schemas.openxmlformats.org/officeDocument/2006/relationships/ctrlProp" Target="../ctrlProps/ctrlProp664.xml"/><Relationship Id="rId30" Type="http://schemas.openxmlformats.org/officeDocument/2006/relationships/ctrlProp" Target="../ctrlProps/ctrlProp667.xml"/><Relationship Id="rId35" Type="http://schemas.openxmlformats.org/officeDocument/2006/relationships/ctrlProp" Target="../ctrlProps/ctrlProp672.xml"/><Relationship Id="rId43" Type="http://schemas.openxmlformats.org/officeDocument/2006/relationships/ctrlProp" Target="../ctrlProps/ctrlProp680.xml"/><Relationship Id="rId48" Type="http://schemas.openxmlformats.org/officeDocument/2006/relationships/ctrlProp" Target="../ctrlProps/ctrlProp685.xml"/><Relationship Id="rId56" Type="http://schemas.openxmlformats.org/officeDocument/2006/relationships/ctrlProp" Target="../ctrlProps/ctrlProp693.xml"/><Relationship Id="rId64" Type="http://schemas.openxmlformats.org/officeDocument/2006/relationships/comments" Target="../comments3.xml"/><Relationship Id="rId8" Type="http://schemas.openxmlformats.org/officeDocument/2006/relationships/ctrlProp" Target="../ctrlProps/ctrlProp645.xml"/><Relationship Id="rId51" Type="http://schemas.openxmlformats.org/officeDocument/2006/relationships/ctrlProp" Target="../ctrlProps/ctrlProp688.xml"/><Relationship Id="rId3" Type="http://schemas.openxmlformats.org/officeDocument/2006/relationships/vmlDrawing" Target="../drawings/vmlDrawing27.vml"/><Relationship Id="rId12" Type="http://schemas.openxmlformats.org/officeDocument/2006/relationships/ctrlProp" Target="../ctrlProps/ctrlProp649.xml"/><Relationship Id="rId17" Type="http://schemas.openxmlformats.org/officeDocument/2006/relationships/ctrlProp" Target="../ctrlProps/ctrlProp654.xml"/><Relationship Id="rId25" Type="http://schemas.openxmlformats.org/officeDocument/2006/relationships/ctrlProp" Target="../ctrlProps/ctrlProp662.xml"/><Relationship Id="rId33" Type="http://schemas.openxmlformats.org/officeDocument/2006/relationships/ctrlProp" Target="../ctrlProps/ctrlProp670.xml"/><Relationship Id="rId38" Type="http://schemas.openxmlformats.org/officeDocument/2006/relationships/ctrlProp" Target="../ctrlProps/ctrlProp675.xml"/><Relationship Id="rId46" Type="http://schemas.openxmlformats.org/officeDocument/2006/relationships/ctrlProp" Target="../ctrlProps/ctrlProp683.xml"/><Relationship Id="rId59" Type="http://schemas.openxmlformats.org/officeDocument/2006/relationships/ctrlProp" Target="../ctrlProps/ctrlProp696.xml"/><Relationship Id="rId20" Type="http://schemas.openxmlformats.org/officeDocument/2006/relationships/ctrlProp" Target="../ctrlProps/ctrlProp657.xml"/><Relationship Id="rId41" Type="http://schemas.openxmlformats.org/officeDocument/2006/relationships/ctrlProp" Target="../ctrlProps/ctrlProp678.xml"/><Relationship Id="rId54" Type="http://schemas.openxmlformats.org/officeDocument/2006/relationships/ctrlProp" Target="../ctrlProps/ctrlProp691.xml"/><Relationship Id="rId62" Type="http://schemas.openxmlformats.org/officeDocument/2006/relationships/ctrlProp" Target="../ctrlProps/ctrlProp699.xml"/><Relationship Id="rId1" Type="http://schemas.openxmlformats.org/officeDocument/2006/relationships/printerSettings" Target="../printerSettings/printerSettings25.bin"/><Relationship Id="rId6" Type="http://schemas.openxmlformats.org/officeDocument/2006/relationships/ctrlProp" Target="../ctrlProps/ctrlProp643.xml"/><Relationship Id="rId15" Type="http://schemas.openxmlformats.org/officeDocument/2006/relationships/ctrlProp" Target="../ctrlProps/ctrlProp652.xml"/><Relationship Id="rId23" Type="http://schemas.openxmlformats.org/officeDocument/2006/relationships/ctrlProp" Target="../ctrlProps/ctrlProp660.xml"/><Relationship Id="rId28" Type="http://schemas.openxmlformats.org/officeDocument/2006/relationships/ctrlProp" Target="../ctrlProps/ctrlProp665.xml"/><Relationship Id="rId36" Type="http://schemas.openxmlformats.org/officeDocument/2006/relationships/ctrlProp" Target="../ctrlProps/ctrlProp673.xml"/><Relationship Id="rId49" Type="http://schemas.openxmlformats.org/officeDocument/2006/relationships/ctrlProp" Target="../ctrlProps/ctrlProp686.xml"/><Relationship Id="rId57" Type="http://schemas.openxmlformats.org/officeDocument/2006/relationships/ctrlProp" Target="../ctrlProps/ctrlProp694.xml"/><Relationship Id="rId10" Type="http://schemas.openxmlformats.org/officeDocument/2006/relationships/ctrlProp" Target="../ctrlProps/ctrlProp647.xml"/><Relationship Id="rId31" Type="http://schemas.openxmlformats.org/officeDocument/2006/relationships/ctrlProp" Target="../ctrlProps/ctrlProp668.xml"/><Relationship Id="rId44" Type="http://schemas.openxmlformats.org/officeDocument/2006/relationships/ctrlProp" Target="../ctrlProps/ctrlProp681.xml"/><Relationship Id="rId52" Type="http://schemas.openxmlformats.org/officeDocument/2006/relationships/ctrlProp" Target="../ctrlProps/ctrlProp689.xml"/><Relationship Id="rId60" Type="http://schemas.openxmlformats.org/officeDocument/2006/relationships/ctrlProp" Target="../ctrlProps/ctrlProp697.xml"/><Relationship Id="rId4" Type="http://schemas.openxmlformats.org/officeDocument/2006/relationships/ctrlProp" Target="../ctrlProps/ctrlProp641.xml"/><Relationship Id="rId9" Type="http://schemas.openxmlformats.org/officeDocument/2006/relationships/ctrlProp" Target="../ctrlProps/ctrlProp64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0.xml"/><Relationship Id="rId1" Type="http://schemas.openxmlformats.org/officeDocument/2006/relationships/printerSettings" Target="../printerSettings/printerSettings26.bin"/><Relationship Id="rId5" Type="http://schemas.openxmlformats.org/officeDocument/2006/relationships/ctrlProp" Target="../ctrlProps/ctrlProp702.xml"/><Relationship Id="rId4" Type="http://schemas.openxmlformats.org/officeDocument/2006/relationships/ctrlProp" Target="../ctrlProps/ctrlProp70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1.xml"/><Relationship Id="rId1" Type="http://schemas.openxmlformats.org/officeDocument/2006/relationships/printerSettings" Target="../printerSettings/printerSettings27.bin"/><Relationship Id="rId6" Type="http://schemas.openxmlformats.org/officeDocument/2006/relationships/ctrlProp" Target="../ctrlProps/ctrlProp705.xml"/><Relationship Id="rId5" Type="http://schemas.openxmlformats.org/officeDocument/2006/relationships/ctrlProp" Target="../ctrlProps/ctrlProp704.xml"/><Relationship Id="rId4" Type="http://schemas.openxmlformats.org/officeDocument/2006/relationships/ctrlProp" Target="../ctrlProps/ctrlProp70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ctrlProp" Target="../ctrlProps/ctrlProp709.xml"/><Relationship Id="rId2" Type="http://schemas.openxmlformats.org/officeDocument/2006/relationships/drawing" Target="../drawings/drawing32.xml"/><Relationship Id="rId1" Type="http://schemas.openxmlformats.org/officeDocument/2006/relationships/printerSettings" Target="../printerSettings/printerSettings28.bin"/><Relationship Id="rId6" Type="http://schemas.openxmlformats.org/officeDocument/2006/relationships/ctrlProp" Target="../ctrlProps/ctrlProp708.xml"/><Relationship Id="rId5" Type="http://schemas.openxmlformats.org/officeDocument/2006/relationships/ctrlProp" Target="../ctrlProps/ctrlProp707.xml"/><Relationship Id="rId4" Type="http://schemas.openxmlformats.org/officeDocument/2006/relationships/ctrlProp" Target="../ctrlProps/ctrlProp70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3.xml"/><Relationship Id="rId1" Type="http://schemas.openxmlformats.org/officeDocument/2006/relationships/printerSettings" Target="../printerSettings/printerSettings29.bin"/><Relationship Id="rId4" Type="http://schemas.openxmlformats.org/officeDocument/2006/relationships/ctrlProp" Target="../ctrlProps/ctrlProp71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4.xml"/><Relationship Id="rId1" Type="http://schemas.openxmlformats.org/officeDocument/2006/relationships/printerSettings" Target="../printerSettings/printerSettings30.bin"/><Relationship Id="rId6" Type="http://schemas.openxmlformats.org/officeDocument/2006/relationships/ctrlProp" Target="../ctrlProps/ctrlProp713.xml"/><Relationship Id="rId5" Type="http://schemas.openxmlformats.org/officeDocument/2006/relationships/ctrlProp" Target="../ctrlProps/ctrlProp712.xml"/><Relationship Id="rId4" Type="http://schemas.openxmlformats.org/officeDocument/2006/relationships/ctrlProp" Target="../ctrlProps/ctrlProp71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5.xml"/><Relationship Id="rId1" Type="http://schemas.openxmlformats.org/officeDocument/2006/relationships/printerSettings" Target="../printerSettings/printerSettings31.bin"/><Relationship Id="rId6" Type="http://schemas.openxmlformats.org/officeDocument/2006/relationships/ctrlProp" Target="../ctrlProps/ctrlProp716.xml"/><Relationship Id="rId5" Type="http://schemas.openxmlformats.org/officeDocument/2006/relationships/ctrlProp" Target="../ctrlProps/ctrlProp715.xml"/><Relationship Id="rId4" Type="http://schemas.openxmlformats.org/officeDocument/2006/relationships/ctrlProp" Target="../ctrlProps/ctrlProp7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6.xml"/><Relationship Id="rId1" Type="http://schemas.openxmlformats.org/officeDocument/2006/relationships/printerSettings" Target="../printerSettings/printerSettings32.bin"/><Relationship Id="rId4" Type="http://schemas.openxmlformats.org/officeDocument/2006/relationships/ctrlProp" Target="../ctrlProps/ctrlProp71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7.xml"/><Relationship Id="rId1" Type="http://schemas.openxmlformats.org/officeDocument/2006/relationships/printerSettings" Target="../printerSettings/printerSettings33.bin"/><Relationship Id="rId4" Type="http://schemas.openxmlformats.org/officeDocument/2006/relationships/ctrlProp" Target="../ctrlProps/ctrlProp71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8.xml"/><Relationship Id="rId1" Type="http://schemas.openxmlformats.org/officeDocument/2006/relationships/printerSettings" Target="../printerSettings/printerSettings34.bin"/><Relationship Id="rId4" Type="http://schemas.openxmlformats.org/officeDocument/2006/relationships/ctrlProp" Target="../ctrlProps/ctrlProp71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28.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9.xml"/><Relationship Id="rId1" Type="http://schemas.openxmlformats.org/officeDocument/2006/relationships/printerSettings" Target="../printerSettings/printerSettings35.bin"/><Relationship Id="rId4" Type="http://schemas.openxmlformats.org/officeDocument/2006/relationships/ctrlProp" Target="../ctrlProps/ctrlProp72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0.xml"/><Relationship Id="rId1" Type="http://schemas.openxmlformats.org/officeDocument/2006/relationships/printerSettings" Target="../printerSettings/printerSettings36.bin"/><Relationship Id="rId5" Type="http://schemas.openxmlformats.org/officeDocument/2006/relationships/ctrlProp" Target="../ctrlProps/ctrlProp722.xml"/><Relationship Id="rId4" Type="http://schemas.openxmlformats.org/officeDocument/2006/relationships/ctrlProp" Target="../ctrlProps/ctrlProp72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1.xml"/><Relationship Id="rId1" Type="http://schemas.openxmlformats.org/officeDocument/2006/relationships/printerSettings" Target="../printerSettings/printerSettings37.bin"/><Relationship Id="rId4" Type="http://schemas.openxmlformats.org/officeDocument/2006/relationships/ctrlProp" Target="../ctrlProps/ctrlProp72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2.xml"/><Relationship Id="rId1" Type="http://schemas.openxmlformats.org/officeDocument/2006/relationships/printerSettings" Target="../printerSettings/printerSettings38.bin"/><Relationship Id="rId4" Type="http://schemas.openxmlformats.org/officeDocument/2006/relationships/ctrlProp" Target="../ctrlProps/ctrlProp724.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729.xml"/><Relationship Id="rId3" Type="http://schemas.openxmlformats.org/officeDocument/2006/relationships/vmlDrawing" Target="../drawings/vmlDrawing41.vml"/><Relationship Id="rId7" Type="http://schemas.openxmlformats.org/officeDocument/2006/relationships/ctrlProp" Target="../ctrlProps/ctrlProp728.xml"/><Relationship Id="rId2" Type="http://schemas.openxmlformats.org/officeDocument/2006/relationships/drawing" Target="../drawings/drawing43.xml"/><Relationship Id="rId1" Type="http://schemas.openxmlformats.org/officeDocument/2006/relationships/printerSettings" Target="../printerSettings/printerSettings39.bin"/><Relationship Id="rId6" Type="http://schemas.openxmlformats.org/officeDocument/2006/relationships/ctrlProp" Target="../ctrlProps/ctrlProp727.xml"/><Relationship Id="rId5" Type="http://schemas.openxmlformats.org/officeDocument/2006/relationships/ctrlProp" Target="../ctrlProps/ctrlProp726.xml"/><Relationship Id="rId10" Type="http://schemas.openxmlformats.org/officeDocument/2006/relationships/ctrlProp" Target="../ctrlProps/ctrlProp731.xml"/><Relationship Id="rId4" Type="http://schemas.openxmlformats.org/officeDocument/2006/relationships/ctrlProp" Target="../ctrlProps/ctrlProp725.xml"/><Relationship Id="rId9" Type="http://schemas.openxmlformats.org/officeDocument/2006/relationships/ctrlProp" Target="../ctrlProps/ctrlProp730.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736.xml"/><Relationship Id="rId3" Type="http://schemas.openxmlformats.org/officeDocument/2006/relationships/vmlDrawing" Target="../drawings/vmlDrawing42.vml"/><Relationship Id="rId7" Type="http://schemas.openxmlformats.org/officeDocument/2006/relationships/ctrlProp" Target="../ctrlProps/ctrlProp735.xml"/><Relationship Id="rId2" Type="http://schemas.openxmlformats.org/officeDocument/2006/relationships/drawing" Target="../drawings/drawing44.xml"/><Relationship Id="rId1" Type="http://schemas.openxmlformats.org/officeDocument/2006/relationships/printerSettings" Target="../printerSettings/printerSettings40.bin"/><Relationship Id="rId6" Type="http://schemas.openxmlformats.org/officeDocument/2006/relationships/ctrlProp" Target="../ctrlProps/ctrlProp734.xml"/><Relationship Id="rId5" Type="http://schemas.openxmlformats.org/officeDocument/2006/relationships/ctrlProp" Target="../ctrlProps/ctrlProp733.xml"/><Relationship Id="rId10" Type="http://schemas.openxmlformats.org/officeDocument/2006/relationships/ctrlProp" Target="../ctrlProps/ctrlProp738.xml"/><Relationship Id="rId4" Type="http://schemas.openxmlformats.org/officeDocument/2006/relationships/ctrlProp" Target="../ctrlProps/ctrlProp732.xml"/><Relationship Id="rId9" Type="http://schemas.openxmlformats.org/officeDocument/2006/relationships/ctrlProp" Target="../ctrlProps/ctrlProp737.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743.xml"/><Relationship Id="rId3" Type="http://schemas.openxmlformats.org/officeDocument/2006/relationships/vmlDrawing" Target="../drawings/vmlDrawing43.vml"/><Relationship Id="rId7" Type="http://schemas.openxmlformats.org/officeDocument/2006/relationships/ctrlProp" Target="../ctrlProps/ctrlProp742.xml"/><Relationship Id="rId2" Type="http://schemas.openxmlformats.org/officeDocument/2006/relationships/drawing" Target="../drawings/drawing45.xml"/><Relationship Id="rId1" Type="http://schemas.openxmlformats.org/officeDocument/2006/relationships/printerSettings" Target="../printerSettings/printerSettings41.bin"/><Relationship Id="rId6" Type="http://schemas.openxmlformats.org/officeDocument/2006/relationships/ctrlProp" Target="../ctrlProps/ctrlProp741.xml"/><Relationship Id="rId5" Type="http://schemas.openxmlformats.org/officeDocument/2006/relationships/ctrlProp" Target="../ctrlProps/ctrlProp740.xml"/><Relationship Id="rId10" Type="http://schemas.openxmlformats.org/officeDocument/2006/relationships/ctrlProp" Target="../ctrlProps/ctrlProp745.xml"/><Relationship Id="rId4" Type="http://schemas.openxmlformats.org/officeDocument/2006/relationships/ctrlProp" Target="../ctrlProps/ctrlProp739.xml"/><Relationship Id="rId9" Type="http://schemas.openxmlformats.org/officeDocument/2006/relationships/ctrlProp" Target="../ctrlProps/ctrlProp74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6.xml"/><Relationship Id="rId1" Type="http://schemas.openxmlformats.org/officeDocument/2006/relationships/printerSettings" Target="../printerSettings/printerSettings42.bin"/><Relationship Id="rId4" Type="http://schemas.openxmlformats.org/officeDocument/2006/relationships/ctrlProp" Target="../ctrlProps/ctrlProp74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7.xml"/><Relationship Id="rId1" Type="http://schemas.openxmlformats.org/officeDocument/2006/relationships/printerSettings" Target="../printerSettings/printerSettings43.bin"/><Relationship Id="rId4" Type="http://schemas.openxmlformats.org/officeDocument/2006/relationships/ctrlProp" Target="../ctrlProps/ctrlProp7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8.xml"/><Relationship Id="rId1" Type="http://schemas.openxmlformats.org/officeDocument/2006/relationships/printerSettings" Target="../printerSettings/printerSettings44.bin"/><Relationship Id="rId5" Type="http://schemas.openxmlformats.org/officeDocument/2006/relationships/ctrlProp" Target="../ctrlProps/ctrlProp749.xml"/><Relationship Id="rId4" Type="http://schemas.openxmlformats.org/officeDocument/2006/relationships/ctrlProp" Target="../ctrlProps/ctrlProp748.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43.xml"/><Relationship Id="rId21" Type="http://schemas.openxmlformats.org/officeDocument/2006/relationships/ctrlProp" Target="../ctrlProps/ctrlProp47.xml"/><Relationship Id="rId42" Type="http://schemas.openxmlformats.org/officeDocument/2006/relationships/ctrlProp" Target="../ctrlProps/ctrlProp68.xml"/><Relationship Id="rId47" Type="http://schemas.openxmlformats.org/officeDocument/2006/relationships/ctrlProp" Target="../ctrlProps/ctrlProp73.xml"/><Relationship Id="rId63" Type="http://schemas.openxmlformats.org/officeDocument/2006/relationships/ctrlProp" Target="../ctrlProps/ctrlProp89.xml"/><Relationship Id="rId68" Type="http://schemas.openxmlformats.org/officeDocument/2006/relationships/ctrlProp" Target="../ctrlProps/ctrlProp94.xml"/><Relationship Id="rId84" Type="http://schemas.openxmlformats.org/officeDocument/2006/relationships/ctrlProp" Target="../ctrlProps/ctrlProp110.xml"/><Relationship Id="rId89" Type="http://schemas.openxmlformats.org/officeDocument/2006/relationships/ctrlProp" Target="../ctrlProps/ctrlProp115.xml"/><Relationship Id="rId112" Type="http://schemas.openxmlformats.org/officeDocument/2006/relationships/ctrlProp" Target="../ctrlProps/ctrlProp138.xml"/><Relationship Id="rId16" Type="http://schemas.openxmlformats.org/officeDocument/2006/relationships/ctrlProp" Target="../ctrlProps/ctrlProp42.xml"/><Relationship Id="rId107" Type="http://schemas.openxmlformats.org/officeDocument/2006/relationships/ctrlProp" Target="../ctrlProps/ctrlProp133.xml"/><Relationship Id="rId11" Type="http://schemas.openxmlformats.org/officeDocument/2006/relationships/ctrlProp" Target="../ctrlProps/ctrlProp37.xml"/><Relationship Id="rId32" Type="http://schemas.openxmlformats.org/officeDocument/2006/relationships/ctrlProp" Target="../ctrlProps/ctrlProp58.xml"/><Relationship Id="rId37" Type="http://schemas.openxmlformats.org/officeDocument/2006/relationships/ctrlProp" Target="../ctrlProps/ctrlProp63.xml"/><Relationship Id="rId53" Type="http://schemas.openxmlformats.org/officeDocument/2006/relationships/ctrlProp" Target="../ctrlProps/ctrlProp79.xml"/><Relationship Id="rId58" Type="http://schemas.openxmlformats.org/officeDocument/2006/relationships/ctrlProp" Target="../ctrlProps/ctrlProp84.xml"/><Relationship Id="rId74" Type="http://schemas.openxmlformats.org/officeDocument/2006/relationships/ctrlProp" Target="../ctrlProps/ctrlProp100.xml"/><Relationship Id="rId79" Type="http://schemas.openxmlformats.org/officeDocument/2006/relationships/ctrlProp" Target="../ctrlProps/ctrlProp105.xml"/><Relationship Id="rId102" Type="http://schemas.openxmlformats.org/officeDocument/2006/relationships/ctrlProp" Target="../ctrlProps/ctrlProp128.xml"/><Relationship Id="rId123" Type="http://schemas.openxmlformats.org/officeDocument/2006/relationships/ctrlProp" Target="../ctrlProps/ctrlProp149.xml"/><Relationship Id="rId128" Type="http://schemas.openxmlformats.org/officeDocument/2006/relationships/ctrlProp" Target="../ctrlProps/ctrlProp154.xml"/><Relationship Id="rId5" Type="http://schemas.openxmlformats.org/officeDocument/2006/relationships/ctrlProp" Target="../ctrlProps/ctrlProp31.xml"/><Relationship Id="rId90" Type="http://schemas.openxmlformats.org/officeDocument/2006/relationships/ctrlProp" Target="../ctrlProps/ctrlProp116.xml"/><Relationship Id="rId95" Type="http://schemas.openxmlformats.org/officeDocument/2006/relationships/ctrlProp" Target="../ctrlProps/ctrlProp121.xml"/><Relationship Id="rId22" Type="http://schemas.openxmlformats.org/officeDocument/2006/relationships/ctrlProp" Target="../ctrlProps/ctrlProp48.xml"/><Relationship Id="rId27" Type="http://schemas.openxmlformats.org/officeDocument/2006/relationships/ctrlProp" Target="../ctrlProps/ctrlProp53.xml"/><Relationship Id="rId43" Type="http://schemas.openxmlformats.org/officeDocument/2006/relationships/ctrlProp" Target="../ctrlProps/ctrlProp69.xml"/><Relationship Id="rId48" Type="http://schemas.openxmlformats.org/officeDocument/2006/relationships/ctrlProp" Target="../ctrlProps/ctrlProp74.xml"/><Relationship Id="rId64" Type="http://schemas.openxmlformats.org/officeDocument/2006/relationships/ctrlProp" Target="../ctrlProps/ctrlProp90.xml"/><Relationship Id="rId69" Type="http://schemas.openxmlformats.org/officeDocument/2006/relationships/ctrlProp" Target="../ctrlProps/ctrlProp95.xml"/><Relationship Id="rId113" Type="http://schemas.openxmlformats.org/officeDocument/2006/relationships/ctrlProp" Target="../ctrlProps/ctrlProp139.xml"/><Relationship Id="rId118" Type="http://schemas.openxmlformats.org/officeDocument/2006/relationships/ctrlProp" Target="../ctrlProps/ctrlProp144.xml"/><Relationship Id="rId80" Type="http://schemas.openxmlformats.org/officeDocument/2006/relationships/ctrlProp" Target="../ctrlProps/ctrlProp106.xml"/><Relationship Id="rId85" Type="http://schemas.openxmlformats.org/officeDocument/2006/relationships/ctrlProp" Target="../ctrlProps/ctrlProp111.xml"/><Relationship Id="rId12" Type="http://schemas.openxmlformats.org/officeDocument/2006/relationships/ctrlProp" Target="../ctrlProps/ctrlProp38.xml"/><Relationship Id="rId17" Type="http://schemas.openxmlformats.org/officeDocument/2006/relationships/ctrlProp" Target="../ctrlProps/ctrlProp43.xml"/><Relationship Id="rId33" Type="http://schemas.openxmlformats.org/officeDocument/2006/relationships/ctrlProp" Target="../ctrlProps/ctrlProp59.xml"/><Relationship Id="rId38" Type="http://schemas.openxmlformats.org/officeDocument/2006/relationships/ctrlProp" Target="../ctrlProps/ctrlProp64.xml"/><Relationship Id="rId59" Type="http://schemas.openxmlformats.org/officeDocument/2006/relationships/ctrlProp" Target="../ctrlProps/ctrlProp85.xml"/><Relationship Id="rId103" Type="http://schemas.openxmlformats.org/officeDocument/2006/relationships/ctrlProp" Target="../ctrlProps/ctrlProp129.xml"/><Relationship Id="rId108" Type="http://schemas.openxmlformats.org/officeDocument/2006/relationships/ctrlProp" Target="../ctrlProps/ctrlProp134.xml"/><Relationship Id="rId124" Type="http://schemas.openxmlformats.org/officeDocument/2006/relationships/ctrlProp" Target="../ctrlProps/ctrlProp150.xml"/><Relationship Id="rId129" Type="http://schemas.openxmlformats.org/officeDocument/2006/relationships/ctrlProp" Target="../ctrlProps/ctrlProp155.xml"/><Relationship Id="rId54" Type="http://schemas.openxmlformats.org/officeDocument/2006/relationships/ctrlProp" Target="../ctrlProps/ctrlProp80.xml"/><Relationship Id="rId70" Type="http://schemas.openxmlformats.org/officeDocument/2006/relationships/ctrlProp" Target="../ctrlProps/ctrlProp96.xml"/><Relationship Id="rId75" Type="http://schemas.openxmlformats.org/officeDocument/2006/relationships/ctrlProp" Target="../ctrlProps/ctrlProp101.xml"/><Relationship Id="rId91" Type="http://schemas.openxmlformats.org/officeDocument/2006/relationships/ctrlProp" Target="../ctrlProps/ctrlProp117.xml"/><Relationship Id="rId96" Type="http://schemas.openxmlformats.org/officeDocument/2006/relationships/ctrlProp" Target="../ctrlProps/ctrlProp122.xml"/><Relationship Id="rId1" Type="http://schemas.openxmlformats.org/officeDocument/2006/relationships/drawing" Target="../drawings/drawing5.xml"/><Relationship Id="rId6" Type="http://schemas.openxmlformats.org/officeDocument/2006/relationships/ctrlProp" Target="../ctrlProps/ctrlProp32.xml"/><Relationship Id="rId23" Type="http://schemas.openxmlformats.org/officeDocument/2006/relationships/ctrlProp" Target="../ctrlProps/ctrlProp49.xml"/><Relationship Id="rId28" Type="http://schemas.openxmlformats.org/officeDocument/2006/relationships/ctrlProp" Target="../ctrlProps/ctrlProp54.xml"/><Relationship Id="rId49" Type="http://schemas.openxmlformats.org/officeDocument/2006/relationships/ctrlProp" Target="../ctrlProps/ctrlProp75.xml"/><Relationship Id="rId114" Type="http://schemas.openxmlformats.org/officeDocument/2006/relationships/ctrlProp" Target="../ctrlProps/ctrlProp140.xml"/><Relationship Id="rId119" Type="http://schemas.openxmlformats.org/officeDocument/2006/relationships/ctrlProp" Target="../ctrlProps/ctrlProp145.xml"/><Relationship Id="rId44" Type="http://schemas.openxmlformats.org/officeDocument/2006/relationships/ctrlProp" Target="../ctrlProps/ctrlProp70.xml"/><Relationship Id="rId60" Type="http://schemas.openxmlformats.org/officeDocument/2006/relationships/ctrlProp" Target="../ctrlProps/ctrlProp86.xml"/><Relationship Id="rId65" Type="http://schemas.openxmlformats.org/officeDocument/2006/relationships/ctrlProp" Target="../ctrlProps/ctrlProp91.xml"/><Relationship Id="rId81" Type="http://schemas.openxmlformats.org/officeDocument/2006/relationships/ctrlProp" Target="../ctrlProps/ctrlProp107.xml"/><Relationship Id="rId86" Type="http://schemas.openxmlformats.org/officeDocument/2006/relationships/ctrlProp" Target="../ctrlProps/ctrlProp112.xml"/><Relationship Id="rId13" Type="http://schemas.openxmlformats.org/officeDocument/2006/relationships/ctrlProp" Target="../ctrlProps/ctrlProp39.xml"/><Relationship Id="rId18" Type="http://schemas.openxmlformats.org/officeDocument/2006/relationships/ctrlProp" Target="../ctrlProps/ctrlProp44.xml"/><Relationship Id="rId39" Type="http://schemas.openxmlformats.org/officeDocument/2006/relationships/ctrlProp" Target="../ctrlProps/ctrlProp65.xml"/><Relationship Id="rId109" Type="http://schemas.openxmlformats.org/officeDocument/2006/relationships/ctrlProp" Target="../ctrlProps/ctrlProp135.xml"/><Relationship Id="rId34" Type="http://schemas.openxmlformats.org/officeDocument/2006/relationships/ctrlProp" Target="../ctrlProps/ctrlProp60.xml"/><Relationship Id="rId50" Type="http://schemas.openxmlformats.org/officeDocument/2006/relationships/ctrlProp" Target="../ctrlProps/ctrlProp76.xml"/><Relationship Id="rId55" Type="http://schemas.openxmlformats.org/officeDocument/2006/relationships/ctrlProp" Target="../ctrlProps/ctrlProp81.xml"/><Relationship Id="rId76" Type="http://schemas.openxmlformats.org/officeDocument/2006/relationships/ctrlProp" Target="../ctrlProps/ctrlProp102.xml"/><Relationship Id="rId97" Type="http://schemas.openxmlformats.org/officeDocument/2006/relationships/ctrlProp" Target="../ctrlProps/ctrlProp123.xml"/><Relationship Id="rId104" Type="http://schemas.openxmlformats.org/officeDocument/2006/relationships/ctrlProp" Target="../ctrlProps/ctrlProp130.xml"/><Relationship Id="rId120" Type="http://schemas.openxmlformats.org/officeDocument/2006/relationships/ctrlProp" Target="../ctrlProps/ctrlProp146.xml"/><Relationship Id="rId125" Type="http://schemas.openxmlformats.org/officeDocument/2006/relationships/ctrlProp" Target="../ctrlProps/ctrlProp151.xml"/><Relationship Id="rId7" Type="http://schemas.openxmlformats.org/officeDocument/2006/relationships/ctrlProp" Target="../ctrlProps/ctrlProp33.xml"/><Relationship Id="rId71" Type="http://schemas.openxmlformats.org/officeDocument/2006/relationships/ctrlProp" Target="../ctrlProps/ctrlProp97.xml"/><Relationship Id="rId92" Type="http://schemas.openxmlformats.org/officeDocument/2006/relationships/ctrlProp" Target="../ctrlProps/ctrlProp118.xml"/><Relationship Id="rId2" Type="http://schemas.openxmlformats.org/officeDocument/2006/relationships/vmlDrawing" Target="../drawings/vmlDrawing4.vml"/><Relationship Id="rId29" Type="http://schemas.openxmlformats.org/officeDocument/2006/relationships/ctrlProp" Target="../ctrlProps/ctrlProp55.xml"/><Relationship Id="rId24" Type="http://schemas.openxmlformats.org/officeDocument/2006/relationships/ctrlProp" Target="../ctrlProps/ctrlProp50.xml"/><Relationship Id="rId40" Type="http://schemas.openxmlformats.org/officeDocument/2006/relationships/ctrlProp" Target="../ctrlProps/ctrlProp66.xml"/><Relationship Id="rId45" Type="http://schemas.openxmlformats.org/officeDocument/2006/relationships/ctrlProp" Target="../ctrlProps/ctrlProp71.xml"/><Relationship Id="rId66" Type="http://schemas.openxmlformats.org/officeDocument/2006/relationships/ctrlProp" Target="../ctrlProps/ctrlProp92.xml"/><Relationship Id="rId87" Type="http://schemas.openxmlformats.org/officeDocument/2006/relationships/ctrlProp" Target="../ctrlProps/ctrlProp113.xml"/><Relationship Id="rId110" Type="http://schemas.openxmlformats.org/officeDocument/2006/relationships/ctrlProp" Target="../ctrlProps/ctrlProp136.xml"/><Relationship Id="rId115" Type="http://schemas.openxmlformats.org/officeDocument/2006/relationships/ctrlProp" Target="../ctrlProps/ctrlProp141.xml"/><Relationship Id="rId61" Type="http://schemas.openxmlformats.org/officeDocument/2006/relationships/ctrlProp" Target="../ctrlProps/ctrlProp87.xml"/><Relationship Id="rId82" Type="http://schemas.openxmlformats.org/officeDocument/2006/relationships/ctrlProp" Target="../ctrlProps/ctrlProp108.xml"/><Relationship Id="rId19" Type="http://schemas.openxmlformats.org/officeDocument/2006/relationships/ctrlProp" Target="../ctrlProps/ctrlProp45.xml"/><Relationship Id="rId14" Type="http://schemas.openxmlformats.org/officeDocument/2006/relationships/ctrlProp" Target="../ctrlProps/ctrlProp40.xml"/><Relationship Id="rId30" Type="http://schemas.openxmlformats.org/officeDocument/2006/relationships/ctrlProp" Target="../ctrlProps/ctrlProp56.xml"/><Relationship Id="rId35" Type="http://schemas.openxmlformats.org/officeDocument/2006/relationships/ctrlProp" Target="../ctrlProps/ctrlProp61.xml"/><Relationship Id="rId56" Type="http://schemas.openxmlformats.org/officeDocument/2006/relationships/ctrlProp" Target="../ctrlProps/ctrlProp82.xml"/><Relationship Id="rId77" Type="http://schemas.openxmlformats.org/officeDocument/2006/relationships/ctrlProp" Target="../ctrlProps/ctrlProp103.xml"/><Relationship Id="rId100" Type="http://schemas.openxmlformats.org/officeDocument/2006/relationships/ctrlProp" Target="../ctrlProps/ctrlProp126.xml"/><Relationship Id="rId105" Type="http://schemas.openxmlformats.org/officeDocument/2006/relationships/ctrlProp" Target="../ctrlProps/ctrlProp131.xml"/><Relationship Id="rId126" Type="http://schemas.openxmlformats.org/officeDocument/2006/relationships/ctrlProp" Target="../ctrlProps/ctrlProp152.xml"/><Relationship Id="rId8" Type="http://schemas.openxmlformats.org/officeDocument/2006/relationships/ctrlProp" Target="../ctrlProps/ctrlProp34.xml"/><Relationship Id="rId51" Type="http://schemas.openxmlformats.org/officeDocument/2006/relationships/ctrlProp" Target="../ctrlProps/ctrlProp77.xml"/><Relationship Id="rId72" Type="http://schemas.openxmlformats.org/officeDocument/2006/relationships/ctrlProp" Target="../ctrlProps/ctrlProp98.xml"/><Relationship Id="rId93" Type="http://schemas.openxmlformats.org/officeDocument/2006/relationships/ctrlProp" Target="../ctrlProps/ctrlProp119.xml"/><Relationship Id="rId98" Type="http://schemas.openxmlformats.org/officeDocument/2006/relationships/ctrlProp" Target="../ctrlProps/ctrlProp124.xml"/><Relationship Id="rId121" Type="http://schemas.openxmlformats.org/officeDocument/2006/relationships/ctrlProp" Target="../ctrlProps/ctrlProp147.xml"/><Relationship Id="rId3" Type="http://schemas.openxmlformats.org/officeDocument/2006/relationships/ctrlProp" Target="../ctrlProps/ctrlProp29.xml"/><Relationship Id="rId25" Type="http://schemas.openxmlformats.org/officeDocument/2006/relationships/ctrlProp" Target="../ctrlProps/ctrlProp51.xml"/><Relationship Id="rId46" Type="http://schemas.openxmlformats.org/officeDocument/2006/relationships/ctrlProp" Target="../ctrlProps/ctrlProp72.xml"/><Relationship Id="rId67" Type="http://schemas.openxmlformats.org/officeDocument/2006/relationships/ctrlProp" Target="../ctrlProps/ctrlProp93.xml"/><Relationship Id="rId116" Type="http://schemas.openxmlformats.org/officeDocument/2006/relationships/ctrlProp" Target="../ctrlProps/ctrlProp142.xml"/><Relationship Id="rId20" Type="http://schemas.openxmlformats.org/officeDocument/2006/relationships/ctrlProp" Target="../ctrlProps/ctrlProp46.xml"/><Relationship Id="rId41" Type="http://schemas.openxmlformats.org/officeDocument/2006/relationships/ctrlProp" Target="../ctrlProps/ctrlProp67.xml"/><Relationship Id="rId62" Type="http://schemas.openxmlformats.org/officeDocument/2006/relationships/ctrlProp" Target="../ctrlProps/ctrlProp88.xml"/><Relationship Id="rId83" Type="http://schemas.openxmlformats.org/officeDocument/2006/relationships/ctrlProp" Target="../ctrlProps/ctrlProp109.xml"/><Relationship Id="rId88" Type="http://schemas.openxmlformats.org/officeDocument/2006/relationships/ctrlProp" Target="../ctrlProps/ctrlProp114.xml"/><Relationship Id="rId111" Type="http://schemas.openxmlformats.org/officeDocument/2006/relationships/ctrlProp" Target="../ctrlProps/ctrlProp137.xml"/><Relationship Id="rId15" Type="http://schemas.openxmlformats.org/officeDocument/2006/relationships/ctrlProp" Target="../ctrlProps/ctrlProp41.xml"/><Relationship Id="rId36" Type="http://schemas.openxmlformats.org/officeDocument/2006/relationships/ctrlProp" Target="../ctrlProps/ctrlProp62.xml"/><Relationship Id="rId57" Type="http://schemas.openxmlformats.org/officeDocument/2006/relationships/ctrlProp" Target="../ctrlProps/ctrlProp83.xml"/><Relationship Id="rId106" Type="http://schemas.openxmlformats.org/officeDocument/2006/relationships/ctrlProp" Target="../ctrlProps/ctrlProp132.xml"/><Relationship Id="rId127" Type="http://schemas.openxmlformats.org/officeDocument/2006/relationships/ctrlProp" Target="../ctrlProps/ctrlProp153.xml"/><Relationship Id="rId10" Type="http://schemas.openxmlformats.org/officeDocument/2006/relationships/ctrlProp" Target="../ctrlProps/ctrlProp36.xml"/><Relationship Id="rId31" Type="http://schemas.openxmlformats.org/officeDocument/2006/relationships/ctrlProp" Target="../ctrlProps/ctrlProp57.xml"/><Relationship Id="rId52" Type="http://schemas.openxmlformats.org/officeDocument/2006/relationships/ctrlProp" Target="../ctrlProps/ctrlProp78.xml"/><Relationship Id="rId73" Type="http://schemas.openxmlformats.org/officeDocument/2006/relationships/ctrlProp" Target="../ctrlProps/ctrlProp99.xml"/><Relationship Id="rId78" Type="http://schemas.openxmlformats.org/officeDocument/2006/relationships/ctrlProp" Target="../ctrlProps/ctrlProp104.xml"/><Relationship Id="rId94" Type="http://schemas.openxmlformats.org/officeDocument/2006/relationships/ctrlProp" Target="../ctrlProps/ctrlProp120.xml"/><Relationship Id="rId99" Type="http://schemas.openxmlformats.org/officeDocument/2006/relationships/ctrlProp" Target="../ctrlProps/ctrlProp125.xml"/><Relationship Id="rId101" Type="http://schemas.openxmlformats.org/officeDocument/2006/relationships/ctrlProp" Target="../ctrlProps/ctrlProp127.xml"/><Relationship Id="rId122" Type="http://schemas.openxmlformats.org/officeDocument/2006/relationships/ctrlProp" Target="../ctrlProps/ctrlProp148.xml"/><Relationship Id="rId4" Type="http://schemas.openxmlformats.org/officeDocument/2006/relationships/ctrlProp" Target="../ctrlProps/ctrlProp30.xml"/><Relationship Id="rId9" Type="http://schemas.openxmlformats.org/officeDocument/2006/relationships/ctrlProp" Target="../ctrlProps/ctrlProp35.xml"/><Relationship Id="rId26" Type="http://schemas.openxmlformats.org/officeDocument/2006/relationships/ctrlProp" Target="../ctrlProps/ctrlProp5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9.xml"/><Relationship Id="rId1" Type="http://schemas.openxmlformats.org/officeDocument/2006/relationships/printerSettings" Target="../printerSettings/printerSettings45.bin"/><Relationship Id="rId4" Type="http://schemas.openxmlformats.org/officeDocument/2006/relationships/ctrlProp" Target="../ctrlProps/ctrlProp75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0.xml"/><Relationship Id="rId1" Type="http://schemas.openxmlformats.org/officeDocument/2006/relationships/printerSettings" Target="../printerSettings/printerSettings46.bin"/><Relationship Id="rId4" Type="http://schemas.openxmlformats.org/officeDocument/2006/relationships/ctrlProp" Target="../ctrlProps/ctrlProp751.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78.xml"/><Relationship Id="rId21" Type="http://schemas.openxmlformats.org/officeDocument/2006/relationships/ctrlProp" Target="../ctrlProps/ctrlProp173.xml"/><Relationship Id="rId42" Type="http://schemas.openxmlformats.org/officeDocument/2006/relationships/ctrlProp" Target="../ctrlProps/ctrlProp194.xml"/><Relationship Id="rId47" Type="http://schemas.openxmlformats.org/officeDocument/2006/relationships/ctrlProp" Target="../ctrlProps/ctrlProp199.xml"/><Relationship Id="rId63" Type="http://schemas.openxmlformats.org/officeDocument/2006/relationships/ctrlProp" Target="../ctrlProps/ctrlProp215.xml"/><Relationship Id="rId68" Type="http://schemas.openxmlformats.org/officeDocument/2006/relationships/ctrlProp" Target="../ctrlProps/ctrlProp220.xml"/><Relationship Id="rId84" Type="http://schemas.openxmlformats.org/officeDocument/2006/relationships/ctrlProp" Target="../ctrlProps/ctrlProp236.xml"/><Relationship Id="rId16" Type="http://schemas.openxmlformats.org/officeDocument/2006/relationships/ctrlProp" Target="../ctrlProps/ctrlProp168.xml"/><Relationship Id="rId11" Type="http://schemas.openxmlformats.org/officeDocument/2006/relationships/ctrlProp" Target="../ctrlProps/ctrlProp163.xml"/><Relationship Id="rId32" Type="http://schemas.openxmlformats.org/officeDocument/2006/relationships/ctrlProp" Target="../ctrlProps/ctrlProp184.xml"/><Relationship Id="rId37" Type="http://schemas.openxmlformats.org/officeDocument/2006/relationships/ctrlProp" Target="../ctrlProps/ctrlProp189.xml"/><Relationship Id="rId53" Type="http://schemas.openxmlformats.org/officeDocument/2006/relationships/ctrlProp" Target="../ctrlProps/ctrlProp205.xml"/><Relationship Id="rId58" Type="http://schemas.openxmlformats.org/officeDocument/2006/relationships/ctrlProp" Target="../ctrlProps/ctrlProp210.xml"/><Relationship Id="rId74" Type="http://schemas.openxmlformats.org/officeDocument/2006/relationships/ctrlProp" Target="../ctrlProps/ctrlProp226.xml"/><Relationship Id="rId79" Type="http://schemas.openxmlformats.org/officeDocument/2006/relationships/ctrlProp" Target="../ctrlProps/ctrlProp231.xml"/><Relationship Id="rId5" Type="http://schemas.openxmlformats.org/officeDocument/2006/relationships/ctrlProp" Target="../ctrlProps/ctrlProp157.xml"/><Relationship Id="rId61" Type="http://schemas.openxmlformats.org/officeDocument/2006/relationships/ctrlProp" Target="../ctrlProps/ctrlProp213.xml"/><Relationship Id="rId82" Type="http://schemas.openxmlformats.org/officeDocument/2006/relationships/ctrlProp" Target="../ctrlProps/ctrlProp234.xml"/><Relationship Id="rId19" Type="http://schemas.openxmlformats.org/officeDocument/2006/relationships/ctrlProp" Target="../ctrlProps/ctrlProp171.xml"/><Relationship Id="rId14" Type="http://schemas.openxmlformats.org/officeDocument/2006/relationships/ctrlProp" Target="../ctrlProps/ctrlProp166.xml"/><Relationship Id="rId22" Type="http://schemas.openxmlformats.org/officeDocument/2006/relationships/ctrlProp" Target="../ctrlProps/ctrlProp174.xml"/><Relationship Id="rId27" Type="http://schemas.openxmlformats.org/officeDocument/2006/relationships/ctrlProp" Target="../ctrlProps/ctrlProp179.xml"/><Relationship Id="rId30" Type="http://schemas.openxmlformats.org/officeDocument/2006/relationships/ctrlProp" Target="../ctrlProps/ctrlProp182.xml"/><Relationship Id="rId35" Type="http://schemas.openxmlformats.org/officeDocument/2006/relationships/ctrlProp" Target="../ctrlProps/ctrlProp187.xml"/><Relationship Id="rId43" Type="http://schemas.openxmlformats.org/officeDocument/2006/relationships/ctrlProp" Target="../ctrlProps/ctrlProp195.xml"/><Relationship Id="rId48" Type="http://schemas.openxmlformats.org/officeDocument/2006/relationships/ctrlProp" Target="../ctrlProps/ctrlProp200.xml"/><Relationship Id="rId56" Type="http://schemas.openxmlformats.org/officeDocument/2006/relationships/ctrlProp" Target="../ctrlProps/ctrlProp208.xml"/><Relationship Id="rId64" Type="http://schemas.openxmlformats.org/officeDocument/2006/relationships/ctrlProp" Target="../ctrlProps/ctrlProp216.xml"/><Relationship Id="rId69" Type="http://schemas.openxmlformats.org/officeDocument/2006/relationships/ctrlProp" Target="../ctrlProps/ctrlProp221.xml"/><Relationship Id="rId77" Type="http://schemas.openxmlformats.org/officeDocument/2006/relationships/ctrlProp" Target="../ctrlProps/ctrlProp229.xml"/><Relationship Id="rId8" Type="http://schemas.openxmlformats.org/officeDocument/2006/relationships/ctrlProp" Target="../ctrlProps/ctrlProp160.xml"/><Relationship Id="rId51" Type="http://schemas.openxmlformats.org/officeDocument/2006/relationships/ctrlProp" Target="../ctrlProps/ctrlProp203.xml"/><Relationship Id="rId72" Type="http://schemas.openxmlformats.org/officeDocument/2006/relationships/ctrlProp" Target="../ctrlProps/ctrlProp224.xml"/><Relationship Id="rId80" Type="http://schemas.openxmlformats.org/officeDocument/2006/relationships/ctrlProp" Target="../ctrlProps/ctrlProp232.xml"/><Relationship Id="rId3" Type="http://schemas.openxmlformats.org/officeDocument/2006/relationships/vmlDrawing" Target="../drawings/vmlDrawing5.vml"/><Relationship Id="rId12" Type="http://schemas.openxmlformats.org/officeDocument/2006/relationships/ctrlProp" Target="../ctrlProps/ctrlProp164.xml"/><Relationship Id="rId17" Type="http://schemas.openxmlformats.org/officeDocument/2006/relationships/ctrlProp" Target="../ctrlProps/ctrlProp169.xml"/><Relationship Id="rId25" Type="http://schemas.openxmlformats.org/officeDocument/2006/relationships/ctrlProp" Target="../ctrlProps/ctrlProp177.xml"/><Relationship Id="rId33" Type="http://schemas.openxmlformats.org/officeDocument/2006/relationships/ctrlProp" Target="../ctrlProps/ctrlProp185.xml"/><Relationship Id="rId38" Type="http://schemas.openxmlformats.org/officeDocument/2006/relationships/ctrlProp" Target="../ctrlProps/ctrlProp190.xml"/><Relationship Id="rId46" Type="http://schemas.openxmlformats.org/officeDocument/2006/relationships/ctrlProp" Target="../ctrlProps/ctrlProp198.xml"/><Relationship Id="rId59" Type="http://schemas.openxmlformats.org/officeDocument/2006/relationships/ctrlProp" Target="../ctrlProps/ctrlProp211.xml"/><Relationship Id="rId67" Type="http://schemas.openxmlformats.org/officeDocument/2006/relationships/ctrlProp" Target="../ctrlProps/ctrlProp219.xml"/><Relationship Id="rId20" Type="http://schemas.openxmlformats.org/officeDocument/2006/relationships/ctrlProp" Target="../ctrlProps/ctrlProp172.xml"/><Relationship Id="rId41" Type="http://schemas.openxmlformats.org/officeDocument/2006/relationships/ctrlProp" Target="../ctrlProps/ctrlProp193.xml"/><Relationship Id="rId54" Type="http://schemas.openxmlformats.org/officeDocument/2006/relationships/ctrlProp" Target="../ctrlProps/ctrlProp206.xml"/><Relationship Id="rId62" Type="http://schemas.openxmlformats.org/officeDocument/2006/relationships/ctrlProp" Target="../ctrlProps/ctrlProp214.xml"/><Relationship Id="rId70" Type="http://schemas.openxmlformats.org/officeDocument/2006/relationships/ctrlProp" Target="../ctrlProps/ctrlProp222.xml"/><Relationship Id="rId75" Type="http://schemas.openxmlformats.org/officeDocument/2006/relationships/ctrlProp" Target="../ctrlProps/ctrlProp227.xml"/><Relationship Id="rId83" Type="http://schemas.openxmlformats.org/officeDocument/2006/relationships/ctrlProp" Target="../ctrlProps/ctrlProp235.xml"/><Relationship Id="rId1" Type="http://schemas.openxmlformats.org/officeDocument/2006/relationships/printerSettings" Target="../printerSettings/printerSettings5.bin"/><Relationship Id="rId6" Type="http://schemas.openxmlformats.org/officeDocument/2006/relationships/ctrlProp" Target="../ctrlProps/ctrlProp158.xml"/><Relationship Id="rId15" Type="http://schemas.openxmlformats.org/officeDocument/2006/relationships/ctrlProp" Target="../ctrlProps/ctrlProp167.xml"/><Relationship Id="rId23" Type="http://schemas.openxmlformats.org/officeDocument/2006/relationships/ctrlProp" Target="../ctrlProps/ctrlProp175.xml"/><Relationship Id="rId28" Type="http://schemas.openxmlformats.org/officeDocument/2006/relationships/ctrlProp" Target="../ctrlProps/ctrlProp180.xml"/><Relationship Id="rId36" Type="http://schemas.openxmlformats.org/officeDocument/2006/relationships/ctrlProp" Target="../ctrlProps/ctrlProp188.xml"/><Relationship Id="rId49" Type="http://schemas.openxmlformats.org/officeDocument/2006/relationships/ctrlProp" Target="../ctrlProps/ctrlProp201.xml"/><Relationship Id="rId57" Type="http://schemas.openxmlformats.org/officeDocument/2006/relationships/ctrlProp" Target="../ctrlProps/ctrlProp209.xml"/><Relationship Id="rId10" Type="http://schemas.openxmlformats.org/officeDocument/2006/relationships/ctrlProp" Target="../ctrlProps/ctrlProp162.xml"/><Relationship Id="rId31" Type="http://schemas.openxmlformats.org/officeDocument/2006/relationships/ctrlProp" Target="../ctrlProps/ctrlProp183.xml"/><Relationship Id="rId44" Type="http://schemas.openxmlformats.org/officeDocument/2006/relationships/ctrlProp" Target="../ctrlProps/ctrlProp196.xml"/><Relationship Id="rId52" Type="http://schemas.openxmlformats.org/officeDocument/2006/relationships/ctrlProp" Target="../ctrlProps/ctrlProp204.xml"/><Relationship Id="rId60" Type="http://schemas.openxmlformats.org/officeDocument/2006/relationships/ctrlProp" Target="../ctrlProps/ctrlProp212.xml"/><Relationship Id="rId65" Type="http://schemas.openxmlformats.org/officeDocument/2006/relationships/ctrlProp" Target="../ctrlProps/ctrlProp217.xml"/><Relationship Id="rId73" Type="http://schemas.openxmlformats.org/officeDocument/2006/relationships/ctrlProp" Target="../ctrlProps/ctrlProp225.xml"/><Relationship Id="rId78" Type="http://schemas.openxmlformats.org/officeDocument/2006/relationships/ctrlProp" Target="../ctrlProps/ctrlProp230.xml"/><Relationship Id="rId81" Type="http://schemas.openxmlformats.org/officeDocument/2006/relationships/ctrlProp" Target="../ctrlProps/ctrlProp233.xml"/><Relationship Id="rId4" Type="http://schemas.openxmlformats.org/officeDocument/2006/relationships/ctrlProp" Target="../ctrlProps/ctrlProp156.xml"/><Relationship Id="rId9" Type="http://schemas.openxmlformats.org/officeDocument/2006/relationships/ctrlProp" Target="../ctrlProps/ctrlProp161.xml"/><Relationship Id="rId13" Type="http://schemas.openxmlformats.org/officeDocument/2006/relationships/ctrlProp" Target="../ctrlProps/ctrlProp165.xml"/><Relationship Id="rId18" Type="http://schemas.openxmlformats.org/officeDocument/2006/relationships/ctrlProp" Target="../ctrlProps/ctrlProp170.xml"/><Relationship Id="rId39" Type="http://schemas.openxmlformats.org/officeDocument/2006/relationships/ctrlProp" Target="../ctrlProps/ctrlProp191.xml"/><Relationship Id="rId34" Type="http://schemas.openxmlformats.org/officeDocument/2006/relationships/ctrlProp" Target="../ctrlProps/ctrlProp186.xml"/><Relationship Id="rId50" Type="http://schemas.openxmlformats.org/officeDocument/2006/relationships/ctrlProp" Target="../ctrlProps/ctrlProp202.xml"/><Relationship Id="rId55" Type="http://schemas.openxmlformats.org/officeDocument/2006/relationships/ctrlProp" Target="../ctrlProps/ctrlProp207.xml"/><Relationship Id="rId76" Type="http://schemas.openxmlformats.org/officeDocument/2006/relationships/ctrlProp" Target="../ctrlProps/ctrlProp228.xml"/><Relationship Id="rId7" Type="http://schemas.openxmlformats.org/officeDocument/2006/relationships/ctrlProp" Target="../ctrlProps/ctrlProp159.xml"/><Relationship Id="rId71" Type="http://schemas.openxmlformats.org/officeDocument/2006/relationships/ctrlProp" Target="../ctrlProps/ctrlProp223.xml"/><Relationship Id="rId2" Type="http://schemas.openxmlformats.org/officeDocument/2006/relationships/drawing" Target="../drawings/drawing6.xml"/><Relationship Id="rId29" Type="http://schemas.openxmlformats.org/officeDocument/2006/relationships/ctrlProp" Target="../ctrlProps/ctrlProp181.xml"/><Relationship Id="rId24" Type="http://schemas.openxmlformats.org/officeDocument/2006/relationships/ctrlProp" Target="../ctrlProps/ctrlProp176.xml"/><Relationship Id="rId40" Type="http://schemas.openxmlformats.org/officeDocument/2006/relationships/ctrlProp" Target="../ctrlProps/ctrlProp192.xml"/><Relationship Id="rId45" Type="http://schemas.openxmlformats.org/officeDocument/2006/relationships/ctrlProp" Target="../ctrlProps/ctrlProp197.xml"/><Relationship Id="rId66" Type="http://schemas.openxmlformats.org/officeDocument/2006/relationships/ctrlProp" Target="../ctrlProps/ctrlProp218.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350.xml"/><Relationship Id="rId299" Type="http://schemas.openxmlformats.org/officeDocument/2006/relationships/ctrlProp" Target="../ctrlProps/ctrlProp532.xml"/><Relationship Id="rId21" Type="http://schemas.openxmlformats.org/officeDocument/2006/relationships/ctrlProp" Target="../ctrlProps/ctrlProp254.xml"/><Relationship Id="rId63" Type="http://schemas.openxmlformats.org/officeDocument/2006/relationships/ctrlProp" Target="../ctrlProps/ctrlProp296.xml"/><Relationship Id="rId159" Type="http://schemas.openxmlformats.org/officeDocument/2006/relationships/ctrlProp" Target="../ctrlProps/ctrlProp392.xml"/><Relationship Id="rId324" Type="http://schemas.openxmlformats.org/officeDocument/2006/relationships/ctrlProp" Target="../ctrlProps/ctrlProp557.xml"/><Relationship Id="rId170" Type="http://schemas.openxmlformats.org/officeDocument/2006/relationships/ctrlProp" Target="../ctrlProps/ctrlProp403.xml"/><Relationship Id="rId226" Type="http://schemas.openxmlformats.org/officeDocument/2006/relationships/ctrlProp" Target="../ctrlProps/ctrlProp459.xml"/><Relationship Id="rId268" Type="http://schemas.openxmlformats.org/officeDocument/2006/relationships/ctrlProp" Target="../ctrlProps/ctrlProp501.xml"/><Relationship Id="rId32" Type="http://schemas.openxmlformats.org/officeDocument/2006/relationships/ctrlProp" Target="../ctrlProps/ctrlProp265.xml"/><Relationship Id="rId74" Type="http://schemas.openxmlformats.org/officeDocument/2006/relationships/ctrlProp" Target="../ctrlProps/ctrlProp307.xml"/><Relationship Id="rId128" Type="http://schemas.openxmlformats.org/officeDocument/2006/relationships/ctrlProp" Target="../ctrlProps/ctrlProp361.xml"/><Relationship Id="rId335" Type="http://schemas.openxmlformats.org/officeDocument/2006/relationships/ctrlProp" Target="../ctrlProps/ctrlProp568.xml"/><Relationship Id="rId5" Type="http://schemas.openxmlformats.org/officeDocument/2006/relationships/ctrlProp" Target="../ctrlProps/ctrlProp238.xml"/><Relationship Id="rId181" Type="http://schemas.openxmlformats.org/officeDocument/2006/relationships/ctrlProp" Target="../ctrlProps/ctrlProp414.xml"/><Relationship Id="rId237" Type="http://schemas.openxmlformats.org/officeDocument/2006/relationships/ctrlProp" Target="../ctrlProps/ctrlProp470.xml"/><Relationship Id="rId279" Type="http://schemas.openxmlformats.org/officeDocument/2006/relationships/ctrlProp" Target="../ctrlProps/ctrlProp512.xml"/><Relationship Id="rId43" Type="http://schemas.openxmlformats.org/officeDocument/2006/relationships/ctrlProp" Target="../ctrlProps/ctrlProp276.xml"/><Relationship Id="rId139" Type="http://schemas.openxmlformats.org/officeDocument/2006/relationships/ctrlProp" Target="../ctrlProps/ctrlProp372.xml"/><Relationship Id="rId290" Type="http://schemas.openxmlformats.org/officeDocument/2006/relationships/ctrlProp" Target="../ctrlProps/ctrlProp523.xml"/><Relationship Id="rId304" Type="http://schemas.openxmlformats.org/officeDocument/2006/relationships/ctrlProp" Target="../ctrlProps/ctrlProp537.xml"/><Relationship Id="rId346" Type="http://schemas.openxmlformats.org/officeDocument/2006/relationships/ctrlProp" Target="../ctrlProps/ctrlProp579.xml"/><Relationship Id="rId85" Type="http://schemas.openxmlformats.org/officeDocument/2006/relationships/ctrlProp" Target="../ctrlProps/ctrlProp318.xml"/><Relationship Id="rId150" Type="http://schemas.openxmlformats.org/officeDocument/2006/relationships/ctrlProp" Target="../ctrlProps/ctrlProp383.xml"/><Relationship Id="rId192" Type="http://schemas.openxmlformats.org/officeDocument/2006/relationships/ctrlProp" Target="../ctrlProps/ctrlProp425.xml"/><Relationship Id="rId206" Type="http://schemas.openxmlformats.org/officeDocument/2006/relationships/ctrlProp" Target="../ctrlProps/ctrlProp439.xml"/><Relationship Id="rId248" Type="http://schemas.openxmlformats.org/officeDocument/2006/relationships/ctrlProp" Target="../ctrlProps/ctrlProp481.xml"/><Relationship Id="rId12" Type="http://schemas.openxmlformats.org/officeDocument/2006/relationships/ctrlProp" Target="../ctrlProps/ctrlProp245.xml"/><Relationship Id="rId108" Type="http://schemas.openxmlformats.org/officeDocument/2006/relationships/ctrlProp" Target="../ctrlProps/ctrlProp341.xml"/><Relationship Id="rId315" Type="http://schemas.openxmlformats.org/officeDocument/2006/relationships/ctrlProp" Target="../ctrlProps/ctrlProp548.xml"/><Relationship Id="rId54" Type="http://schemas.openxmlformats.org/officeDocument/2006/relationships/ctrlProp" Target="../ctrlProps/ctrlProp287.xml"/><Relationship Id="rId96" Type="http://schemas.openxmlformats.org/officeDocument/2006/relationships/ctrlProp" Target="../ctrlProps/ctrlProp329.xml"/><Relationship Id="rId161" Type="http://schemas.openxmlformats.org/officeDocument/2006/relationships/ctrlProp" Target="../ctrlProps/ctrlProp394.xml"/><Relationship Id="rId217" Type="http://schemas.openxmlformats.org/officeDocument/2006/relationships/ctrlProp" Target="../ctrlProps/ctrlProp450.xml"/><Relationship Id="rId259" Type="http://schemas.openxmlformats.org/officeDocument/2006/relationships/ctrlProp" Target="../ctrlProps/ctrlProp492.xml"/><Relationship Id="rId23" Type="http://schemas.openxmlformats.org/officeDocument/2006/relationships/ctrlProp" Target="../ctrlProps/ctrlProp256.xml"/><Relationship Id="rId119" Type="http://schemas.openxmlformats.org/officeDocument/2006/relationships/ctrlProp" Target="../ctrlProps/ctrlProp352.xml"/><Relationship Id="rId270" Type="http://schemas.openxmlformats.org/officeDocument/2006/relationships/ctrlProp" Target="../ctrlProps/ctrlProp503.xml"/><Relationship Id="rId326" Type="http://schemas.openxmlformats.org/officeDocument/2006/relationships/ctrlProp" Target="../ctrlProps/ctrlProp559.xml"/><Relationship Id="rId65" Type="http://schemas.openxmlformats.org/officeDocument/2006/relationships/ctrlProp" Target="../ctrlProps/ctrlProp298.xml"/><Relationship Id="rId130" Type="http://schemas.openxmlformats.org/officeDocument/2006/relationships/ctrlProp" Target="../ctrlProps/ctrlProp363.xml"/><Relationship Id="rId172" Type="http://schemas.openxmlformats.org/officeDocument/2006/relationships/ctrlProp" Target="../ctrlProps/ctrlProp405.xml"/><Relationship Id="rId228" Type="http://schemas.openxmlformats.org/officeDocument/2006/relationships/ctrlProp" Target="../ctrlProps/ctrlProp461.xml"/><Relationship Id="rId281" Type="http://schemas.openxmlformats.org/officeDocument/2006/relationships/ctrlProp" Target="../ctrlProps/ctrlProp514.xml"/><Relationship Id="rId337" Type="http://schemas.openxmlformats.org/officeDocument/2006/relationships/ctrlProp" Target="../ctrlProps/ctrlProp570.xml"/><Relationship Id="rId34" Type="http://schemas.openxmlformats.org/officeDocument/2006/relationships/ctrlProp" Target="../ctrlProps/ctrlProp267.xml"/><Relationship Id="rId76" Type="http://schemas.openxmlformats.org/officeDocument/2006/relationships/ctrlProp" Target="../ctrlProps/ctrlProp309.xml"/><Relationship Id="rId141" Type="http://schemas.openxmlformats.org/officeDocument/2006/relationships/ctrlProp" Target="../ctrlProps/ctrlProp374.xml"/><Relationship Id="rId7" Type="http://schemas.openxmlformats.org/officeDocument/2006/relationships/ctrlProp" Target="../ctrlProps/ctrlProp240.xml"/><Relationship Id="rId183" Type="http://schemas.openxmlformats.org/officeDocument/2006/relationships/ctrlProp" Target="../ctrlProps/ctrlProp416.xml"/><Relationship Id="rId239" Type="http://schemas.openxmlformats.org/officeDocument/2006/relationships/ctrlProp" Target="../ctrlProps/ctrlProp472.xml"/><Relationship Id="rId250" Type="http://schemas.openxmlformats.org/officeDocument/2006/relationships/ctrlProp" Target="../ctrlProps/ctrlProp483.xml"/><Relationship Id="rId292" Type="http://schemas.openxmlformats.org/officeDocument/2006/relationships/ctrlProp" Target="../ctrlProps/ctrlProp525.xml"/><Relationship Id="rId306" Type="http://schemas.openxmlformats.org/officeDocument/2006/relationships/ctrlProp" Target="../ctrlProps/ctrlProp539.xml"/><Relationship Id="rId45" Type="http://schemas.openxmlformats.org/officeDocument/2006/relationships/ctrlProp" Target="../ctrlProps/ctrlProp278.xml"/><Relationship Id="rId87" Type="http://schemas.openxmlformats.org/officeDocument/2006/relationships/ctrlProp" Target="../ctrlProps/ctrlProp320.xml"/><Relationship Id="rId110" Type="http://schemas.openxmlformats.org/officeDocument/2006/relationships/ctrlProp" Target="../ctrlProps/ctrlProp343.xml"/><Relationship Id="rId348" Type="http://schemas.openxmlformats.org/officeDocument/2006/relationships/ctrlProp" Target="../ctrlProps/ctrlProp581.xml"/><Relationship Id="rId152" Type="http://schemas.openxmlformats.org/officeDocument/2006/relationships/ctrlProp" Target="../ctrlProps/ctrlProp385.xml"/><Relationship Id="rId194" Type="http://schemas.openxmlformats.org/officeDocument/2006/relationships/ctrlProp" Target="../ctrlProps/ctrlProp427.xml"/><Relationship Id="rId208" Type="http://schemas.openxmlformats.org/officeDocument/2006/relationships/ctrlProp" Target="../ctrlProps/ctrlProp441.xml"/><Relationship Id="rId261" Type="http://schemas.openxmlformats.org/officeDocument/2006/relationships/ctrlProp" Target="../ctrlProps/ctrlProp494.xml"/><Relationship Id="rId14" Type="http://schemas.openxmlformats.org/officeDocument/2006/relationships/ctrlProp" Target="../ctrlProps/ctrlProp247.xml"/><Relationship Id="rId56" Type="http://schemas.openxmlformats.org/officeDocument/2006/relationships/ctrlProp" Target="../ctrlProps/ctrlProp289.xml"/><Relationship Id="rId317" Type="http://schemas.openxmlformats.org/officeDocument/2006/relationships/ctrlProp" Target="../ctrlProps/ctrlProp550.xml"/><Relationship Id="rId8" Type="http://schemas.openxmlformats.org/officeDocument/2006/relationships/ctrlProp" Target="../ctrlProps/ctrlProp241.xml"/><Relationship Id="rId98" Type="http://schemas.openxmlformats.org/officeDocument/2006/relationships/ctrlProp" Target="../ctrlProps/ctrlProp331.xml"/><Relationship Id="rId121" Type="http://schemas.openxmlformats.org/officeDocument/2006/relationships/ctrlProp" Target="../ctrlProps/ctrlProp354.xml"/><Relationship Id="rId142" Type="http://schemas.openxmlformats.org/officeDocument/2006/relationships/ctrlProp" Target="../ctrlProps/ctrlProp375.xml"/><Relationship Id="rId163" Type="http://schemas.openxmlformats.org/officeDocument/2006/relationships/ctrlProp" Target="../ctrlProps/ctrlProp396.xml"/><Relationship Id="rId184" Type="http://schemas.openxmlformats.org/officeDocument/2006/relationships/ctrlProp" Target="../ctrlProps/ctrlProp417.xml"/><Relationship Id="rId219" Type="http://schemas.openxmlformats.org/officeDocument/2006/relationships/ctrlProp" Target="../ctrlProps/ctrlProp452.xml"/><Relationship Id="rId230" Type="http://schemas.openxmlformats.org/officeDocument/2006/relationships/ctrlProp" Target="../ctrlProps/ctrlProp463.xml"/><Relationship Id="rId251" Type="http://schemas.openxmlformats.org/officeDocument/2006/relationships/ctrlProp" Target="../ctrlProps/ctrlProp484.xml"/><Relationship Id="rId25" Type="http://schemas.openxmlformats.org/officeDocument/2006/relationships/ctrlProp" Target="../ctrlProps/ctrlProp258.xml"/><Relationship Id="rId46" Type="http://schemas.openxmlformats.org/officeDocument/2006/relationships/ctrlProp" Target="../ctrlProps/ctrlProp279.xml"/><Relationship Id="rId67" Type="http://schemas.openxmlformats.org/officeDocument/2006/relationships/ctrlProp" Target="../ctrlProps/ctrlProp300.xml"/><Relationship Id="rId272" Type="http://schemas.openxmlformats.org/officeDocument/2006/relationships/ctrlProp" Target="../ctrlProps/ctrlProp505.xml"/><Relationship Id="rId293" Type="http://schemas.openxmlformats.org/officeDocument/2006/relationships/ctrlProp" Target="../ctrlProps/ctrlProp526.xml"/><Relationship Id="rId307" Type="http://schemas.openxmlformats.org/officeDocument/2006/relationships/ctrlProp" Target="../ctrlProps/ctrlProp540.xml"/><Relationship Id="rId328" Type="http://schemas.openxmlformats.org/officeDocument/2006/relationships/ctrlProp" Target="../ctrlProps/ctrlProp561.xml"/><Relationship Id="rId349" Type="http://schemas.openxmlformats.org/officeDocument/2006/relationships/ctrlProp" Target="../ctrlProps/ctrlProp582.xml"/><Relationship Id="rId88" Type="http://schemas.openxmlformats.org/officeDocument/2006/relationships/ctrlProp" Target="../ctrlProps/ctrlProp321.xml"/><Relationship Id="rId111" Type="http://schemas.openxmlformats.org/officeDocument/2006/relationships/ctrlProp" Target="../ctrlProps/ctrlProp344.xml"/><Relationship Id="rId132" Type="http://schemas.openxmlformats.org/officeDocument/2006/relationships/ctrlProp" Target="../ctrlProps/ctrlProp365.xml"/><Relationship Id="rId153" Type="http://schemas.openxmlformats.org/officeDocument/2006/relationships/ctrlProp" Target="../ctrlProps/ctrlProp386.xml"/><Relationship Id="rId174" Type="http://schemas.openxmlformats.org/officeDocument/2006/relationships/ctrlProp" Target="../ctrlProps/ctrlProp407.xml"/><Relationship Id="rId195" Type="http://schemas.openxmlformats.org/officeDocument/2006/relationships/ctrlProp" Target="../ctrlProps/ctrlProp428.xml"/><Relationship Id="rId209" Type="http://schemas.openxmlformats.org/officeDocument/2006/relationships/ctrlProp" Target="../ctrlProps/ctrlProp442.xml"/><Relationship Id="rId220" Type="http://schemas.openxmlformats.org/officeDocument/2006/relationships/ctrlProp" Target="../ctrlProps/ctrlProp453.xml"/><Relationship Id="rId241" Type="http://schemas.openxmlformats.org/officeDocument/2006/relationships/ctrlProp" Target="../ctrlProps/ctrlProp474.xml"/><Relationship Id="rId15" Type="http://schemas.openxmlformats.org/officeDocument/2006/relationships/ctrlProp" Target="../ctrlProps/ctrlProp248.xml"/><Relationship Id="rId36" Type="http://schemas.openxmlformats.org/officeDocument/2006/relationships/ctrlProp" Target="../ctrlProps/ctrlProp269.xml"/><Relationship Id="rId57" Type="http://schemas.openxmlformats.org/officeDocument/2006/relationships/ctrlProp" Target="../ctrlProps/ctrlProp290.xml"/><Relationship Id="rId262" Type="http://schemas.openxmlformats.org/officeDocument/2006/relationships/ctrlProp" Target="../ctrlProps/ctrlProp495.xml"/><Relationship Id="rId283" Type="http://schemas.openxmlformats.org/officeDocument/2006/relationships/ctrlProp" Target="../ctrlProps/ctrlProp516.xml"/><Relationship Id="rId318" Type="http://schemas.openxmlformats.org/officeDocument/2006/relationships/ctrlProp" Target="../ctrlProps/ctrlProp551.xml"/><Relationship Id="rId339" Type="http://schemas.openxmlformats.org/officeDocument/2006/relationships/ctrlProp" Target="../ctrlProps/ctrlProp572.xml"/><Relationship Id="rId78" Type="http://schemas.openxmlformats.org/officeDocument/2006/relationships/ctrlProp" Target="../ctrlProps/ctrlProp311.xml"/><Relationship Id="rId99" Type="http://schemas.openxmlformats.org/officeDocument/2006/relationships/ctrlProp" Target="../ctrlProps/ctrlProp332.xml"/><Relationship Id="rId101" Type="http://schemas.openxmlformats.org/officeDocument/2006/relationships/ctrlProp" Target="../ctrlProps/ctrlProp334.xml"/><Relationship Id="rId122" Type="http://schemas.openxmlformats.org/officeDocument/2006/relationships/ctrlProp" Target="../ctrlProps/ctrlProp355.xml"/><Relationship Id="rId143" Type="http://schemas.openxmlformats.org/officeDocument/2006/relationships/ctrlProp" Target="../ctrlProps/ctrlProp376.xml"/><Relationship Id="rId164" Type="http://schemas.openxmlformats.org/officeDocument/2006/relationships/ctrlProp" Target="../ctrlProps/ctrlProp397.xml"/><Relationship Id="rId185" Type="http://schemas.openxmlformats.org/officeDocument/2006/relationships/ctrlProp" Target="../ctrlProps/ctrlProp418.xml"/><Relationship Id="rId9" Type="http://schemas.openxmlformats.org/officeDocument/2006/relationships/ctrlProp" Target="../ctrlProps/ctrlProp242.xml"/><Relationship Id="rId210" Type="http://schemas.openxmlformats.org/officeDocument/2006/relationships/ctrlProp" Target="../ctrlProps/ctrlProp443.xml"/><Relationship Id="rId26" Type="http://schemas.openxmlformats.org/officeDocument/2006/relationships/ctrlProp" Target="../ctrlProps/ctrlProp259.xml"/><Relationship Id="rId231" Type="http://schemas.openxmlformats.org/officeDocument/2006/relationships/ctrlProp" Target="../ctrlProps/ctrlProp464.xml"/><Relationship Id="rId252" Type="http://schemas.openxmlformats.org/officeDocument/2006/relationships/ctrlProp" Target="../ctrlProps/ctrlProp485.xml"/><Relationship Id="rId273" Type="http://schemas.openxmlformats.org/officeDocument/2006/relationships/ctrlProp" Target="../ctrlProps/ctrlProp506.xml"/><Relationship Id="rId294" Type="http://schemas.openxmlformats.org/officeDocument/2006/relationships/ctrlProp" Target="../ctrlProps/ctrlProp527.xml"/><Relationship Id="rId308" Type="http://schemas.openxmlformats.org/officeDocument/2006/relationships/ctrlProp" Target="../ctrlProps/ctrlProp541.xml"/><Relationship Id="rId329" Type="http://schemas.openxmlformats.org/officeDocument/2006/relationships/ctrlProp" Target="../ctrlProps/ctrlProp562.xml"/><Relationship Id="rId47" Type="http://schemas.openxmlformats.org/officeDocument/2006/relationships/ctrlProp" Target="../ctrlProps/ctrlProp280.xml"/><Relationship Id="rId68" Type="http://schemas.openxmlformats.org/officeDocument/2006/relationships/ctrlProp" Target="../ctrlProps/ctrlProp301.xml"/><Relationship Id="rId89" Type="http://schemas.openxmlformats.org/officeDocument/2006/relationships/ctrlProp" Target="../ctrlProps/ctrlProp322.xml"/><Relationship Id="rId112" Type="http://schemas.openxmlformats.org/officeDocument/2006/relationships/ctrlProp" Target="../ctrlProps/ctrlProp345.xml"/><Relationship Id="rId133" Type="http://schemas.openxmlformats.org/officeDocument/2006/relationships/ctrlProp" Target="../ctrlProps/ctrlProp366.xml"/><Relationship Id="rId154" Type="http://schemas.openxmlformats.org/officeDocument/2006/relationships/ctrlProp" Target="../ctrlProps/ctrlProp387.xml"/><Relationship Id="rId175" Type="http://schemas.openxmlformats.org/officeDocument/2006/relationships/ctrlProp" Target="../ctrlProps/ctrlProp408.xml"/><Relationship Id="rId340" Type="http://schemas.openxmlformats.org/officeDocument/2006/relationships/ctrlProp" Target="../ctrlProps/ctrlProp573.xml"/><Relationship Id="rId196" Type="http://schemas.openxmlformats.org/officeDocument/2006/relationships/ctrlProp" Target="../ctrlProps/ctrlProp429.xml"/><Relationship Id="rId200" Type="http://schemas.openxmlformats.org/officeDocument/2006/relationships/ctrlProp" Target="../ctrlProps/ctrlProp433.xml"/><Relationship Id="rId16" Type="http://schemas.openxmlformats.org/officeDocument/2006/relationships/ctrlProp" Target="../ctrlProps/ctrlProp249.xml"/><Relationship Id="rId221" Type="http://schemas.openxmlformats.org/officeDocument/2006/relationships/ctrlProp" Target="../ctrlProps/ctrlProp454.xml"/><Relationship Id="rId242" Type="http://schemas.openxmlformats.org/officeDocument/2006/relationships/ctrlProp" Target="../ctrlProps/ctrlProp475.xml"/><Relationship Id="rId263" Type="http://schemas.openxmlformats.org/officeDocument/2006/relationships/ctrlProp" Target="../ctrlProps/ctrlProp496.xml"/><Relationship Id="rId284" Type="http://schemas.openxmlformats.org/officeDocument/2006/relationships/ctrlProp" Target="../ctrlProps/ctrlProp517.xml"/><Relationship Id="rId319" Type="http://schemas.openxmlformats.org/officeDocument/2006/relationships/ctrlProp" Target="../ctrlProps/ctrlProp552.xml"/><Relationship Id="rId37" Type="http://schemas.openxmlformats.org/officeDocument/2006/relationships/ctrlProp" Target="../ctrlProps/ctrlProp270.xml"/><Relationship Id="rId58" Type="http://schemas.openxmlformats.org/officeDocument/2006/relationships/ctrlProp" Target="../ctrlProps/ctrlProp291.xml"/><Relationship Id="rId79" Type="http://schemas.openxmlformats.org/officeDocument/2006/relationships/ctrlProp" Target="../ctrlProps/ctrlProp312.xml"/><Relationship Id="rId102" Type="http://schemas.openxmlformats.org/officeDocument/2006/relationships/ctrlProp" Target="../ctrlProps/ctrlProp335.xml"/><Relationship Id="rId123" Type="http://schemas.openxmlformats.org/officeDocument/2006/relationships/ctrlProp" Target="../ctrlProps/ctrlProp356.xml"/><Relationship Id="rId144" Type="http://schemas.openxmlformats.org/officeDocument/2006/relationships/ctrlProp" Target="../ctrlProps/ctrlProp377.xml"/><Relationship Id="rId330" Type="http://schemas.openxmlformats.org/officeDocument/2006/relationships/ctrlProp" Target="../ctrlProps/ctrlProp563.xml"/><Relationship Id="rId90" Type="http://schemas.openxmlformats.org/officeDocument/2006/relationships/ctrlProp" Target="../ctrlProps/ctrlProp323.xml"/><Relationship Id="rId165" Type="http://schemas.openxmlformats.org/officeDocument/2006/relationships/ctrlProp" Target="../ctrlProps/ctrlProp398.xml"/><Relationship Id="rId186" Type="http://schemas.openxmlformats.org/officeDocument/2006/relationships/ctrlProp" Target="../ctrlProps/ctrlProp419.xml"/><Relationship Id="rId211" Type="http://schemas.openxmlformats.org/officeDocument/2006/relationships/ctrlProp" Target="../ctrlProps/ctrlProp444.xml"/><Relationship Id="rId232" Type="http://schemas.openxmlformats.org/officeDocument/2006/relationships/ctrlProp" Target="../ctrlProps/ctrlProp465.xml"/><Relationship Id="rId253" Type="http://schemas.openxmlformats.org/officeDocument/2006/relationships/ctrlProp" Target="../ctrlProps/ctrlProp486.xml"/><Relationship Id="rId274" Type="http://schemas.openxmlformats.org/officeDocument/2006/relationships/ctrlProp" Target="../ctrlProps/ctrlProp507.xml"/><Relationship Id="rId295" Type="http://schemas.openxmlformats.org/officeDocument/2006/relationships/ctrlProp" Target="../ctrlProps/ctrlProp528.xml"/><Relationship Id="rId309" Type="http://schemas.openxmlformats.org/officeDocument/2006/relationships/ctrlProp" Target="../ctrlProps/ctrlProp542.xml"/><Relationship Id="rId27" Type="http://schemas.openxmlformats.org/officeDocument/2006/relationships/ctrlProp" Target="../ctrlProps/ctrlProp260.xml"/><Relationship Id="rId48" Type="http://schemas.openxmlformats.org/officeDocument/2006/relationships/ctrlProp" Target="../ctrlProps/ctrlProp281.xml"/><Relationship Id="rId69" Type="http://schemas.openxmlformats.org/officeDocument/2006/relationships/ctrlProp" Target="../ctrlProps/ctrlProp302.xml"/><Relationship Id="rId113" Type="http://schemas.openxmlformats.org/officeDocument/2006/relationships/ctrlProp" Target="../ctrlProps/ctrlProp346.xml"/><Relationship Id="rId134" Type="http://schemas.openxmlformats.org/officeDocument/2006/relationships/ctrlProp" Target="../ctrlProps/ctrlProp367.xml"/><Relationship Id="rId320" Type="http://schemas.openxmlformats.org/officeDocument/2006/relationships/ctrlProp" Target="../ctrlProps/ctrlProp553.xml"/><Relationship Id="rId80" Type="http://schemas.openxmlformats.org/officeDocument/2006/relationships/ctrlProp" Target="../ctrlProps/ctrlProp313.xml"/><Relationship Id="rId155" Type="http://schemas.openxmlformats.org/officeDocument/2006/relationships/ctrlProp" Target="../ctrlProps/ctrlProp388.xml"/><Relationship Id="rId176" Type="http://schemas.openxmlformats.org/officeDocument/2006/relationships/ctrlProp" Target="../ctrlProps/ctrlProp409.xml"/><Relationship Id="rId197" Type="http://schemas.openxmlformats.org/officeDocument/2006/relationships/ctrlProp" Target="../ctrlProps/ctrlProp430.xml"/><Relationship Id="rId341" Type="http://schemas.openxmlformats.org/officeDocument/2006/relationships/ctrlProp" Target="../ctrlProps/ctrlProp574.xml"/><Relationship Id="rId201" Type="http://schemas.openxmlformats.org/officeDocument/2006/relationships/ctrlProp" Target="../ctrlProps/ctrlProp434.xml"/><Relationship Id="rId222" Type="http://schemas.openxmlformats.org/officeDocument/2006/relationships/ctrlProp" Target="../ctrlProps/ctrlProp455.xml"/><Relationship Id="rId243" Type="http://schemas.openxmlformats.org/officeDocument/2006/relationships/ctrlProp" Target="../ctrlProps/ctrlProp476.xml"/><Relationship Id="rId264" Type="http://schemas.openxmlformats.org/officeDocument/2006/relationships/ctrlProp" Target="../ctrlProps/ctrlProp497.xml"/><Relationship Id="rId285" Type="http://schemas.openxmlformats.org/officeDocument/2006/relationships/ctrlProp" Target="../ctrlProps/ctrlProp518.xml"/><Relationship Id="rId17" Type="http://schemas.openxmlformats.org/officeDocument/2006/relationships/ctrlProp" Target="../ctrlProps/ctrlProp250.xml"/><Relationship Id="rId38" Type="http://schemas.openxmlformats.org/officeDocument/2006/relationships/ctrlProp" Target="../ctrlProps/ctrlProp271.xml"/><Relationship Id="rId59" Type="http://schemas.openxmlformats.org/officeDocument/2006/relationships/ctrlProp" Target="../ctrlProps/ctrlProp292.xml"/><Relationship Id="rId103" Type="http://schemas.openxmlformats.org/officeDocument/2006/relationships/ctrlProp" Target="../ctrlProps/ctrlProp336.xml"/><Relationship Id="rId124" Type="http://schemas.openxmlformats.org/officeDocument/2006/relationships/ctrlProp" Target="../ctrlProps/ctrlProp357.xml"/><Relationship Id="rId310" Type="http://schemas.openxmlformats.org/officeDocument/2006/relationships/ctrlProp" Target="../ctrlProps/ctrlProp543.xml"/><Relationship Id="rId70" Type="http://schemas.openxmlformats.org/officeDocument/2006/relationships/ctrlProp" Target="../ctrlProps/ctrlProp303.xml"/><Relationship Id="rId91" Type="http://schemas.openxmlformats.org/officeDocument/2006/relationships/ctrlProp" Target="../ctrlProps/ctrlProp324.xml"/><Relationship Id="rId145" Type="http://schemas.openxmlformats.org/officeDocument/2006/relationships/ctrlProp" Target="../ctrlProps/ctrlProp378.xml"/><Relationship Id="rId166" Type="http://schemas.openxmlformats.org/officeDocument/2006/relationships/ctrlProp" Target="../ctrlProps/ctrlProp399.xml"/><Relationship Id="rId187" Type="http://schemas.openxmlformats.org/officeDocument/2006/relationships/ctrlProp" Target="../ctrlProps/ctrlProp420.xml"/><Relationship Id="rId331" Type="http://schemas.openxmlformats.org/officeDocument/2006/relationships/ctrlProp" Target="../ctrlProps/ctrlProp564.xml"/><Relationship Id="rId1" Type="http://schemas.openxmlformats.org/officeDocument/2006/relationships/printerSettings" Target="../printerSettings/printerSettings6.bin"/><Relationship Id="rId212" Type="http://schemas.openxmlformats.org/officeDocument/2006/relationships/ctrlProp" Target="../ctrlProps/ctrlProp445.xml"/><Relationship Id="rId233" Type="http://schemas.openxmlformats.org/officeDocument/2006/relationships/ctrlProp" Target="../ctrlProps/ctrlProp466.xml"/><Relationship Id="rId254" Type="http://schemas.openxmlformats.org/officeDocument/2006/relationships/ctrlProp" Target="../ctrlProps/ctrlProp487.xml"/><Relationship Id="rId28" Type="http://schemas.openxmlformats.org/officeDocument/2006/relationships/ctrlProp" Target="../ctrlProps/ctrlProp261.xml"/><Relationship Id="rId49" Type="http://schemas.openxmlformats.org/officeDocument/2006/relationships/ctrlProp" Target="../ctrlProps/ctrlProp282.xml"/><Relationship Id="rId114" Type="http://schemas.openxmlformats.org/officeDocument/2006/relationships/ctrlProp" Target="../ctrlProps/ctrlProp347.xml"/><Relationship Id="rId275" Type="http://schemas.openxmlformats.org/officeDocument/2006/relationships/ctrlProp" Target="../ctrlProps/ctrlProp508.xml"/><Relationship Id="rId296" Type="http://schemas.openxmlformats.org/officeDocument/2006/relationships/ctrlProp" Target="../ctrlProps/ctrlProp529.xml"/><Relationship Id="rId300" Type="http://schemas.openxmlformats.org/officeDocument/2006/relationships/ctrlProp" Target="../ctrlProps/ctrlProp533.xml"/><Relationship Id="rId60" Type="http://schemas.openxmlformats.org/officeDocument/2006/relationships/ctrlProp" Target="../ctrlProps/ctrlProp293.xml"/><Relationship Id="rId81" Type="http://schemas.openxmlformats.org/officeDocument/2006/relationships/ctrlProp" Target="../ctrlProps/ctrlProp314.xml"/><Relationship Id="rId135" Type="http://schemas.openxmlformats.org/officeDocument/2006/relationships/ctrlProp" Target="../ctrlProps/ctrlProp368.xml"/><Relationship Id="rId156" Type="http://schemas.openxmlformats.org/officeDocument/2006/relationships/ctrlProp" Target="../ctrlProps/ctrlProp389.xml"/><Relationship Id="rId177" Type="http://schemas.openxmlformats.org/officeDocument/2006/relationships/ctrlProp" Target="../ctrlProps/ctrlProp410.xml"/><Relationship Id="rId198" Type="http://schemas.openxmlformats.org/officeDocument/2006/relationships/ctrlProp" Target="../ctrlProps/ctrlProp431.xml"/><Relationship Id="rId321" Type="http://schemas.openxmlformats.org/officeDocument/2006/relationships/ctrlProp" Target="../ctrlProps/ctrlProp554.xml"/><Relationship Id="rId342" Type="http://schemas.openxmlformats.org/officeDocument/2006/relationships/ctrlProp" Target="../ctrlProps/ctrlProp575.xml"/><Relationship Id="rId202" Type="http://schemas.openxmlformats.org/officeDocument/2006/relationships/ctrlProp" Target="../ctrlProps/ctrlProp435.xml"/><Relationship Id="rId223" Type="http://schemas.openxmlformats.org/officeDocument/2006/relationships/ctrlProp" Target="../ctrlProps/ctrlProp456.xml"/><Relationship Id="rId244" Type="http://schemas.openxmlformats.org/officeDocument/2006/relationships/ctrlProp" Target="../ctrlProps/ctrlProp477.xml"/><Relationship Id="rId18" Type="http://schemas.openxmlformats.org/officeDocument/2006/relationships/ctrlProp" Target="../ctrlProps/ctrlProp251.xml"/><Relationship Id="rId39" Type="http://schemas.openxmlformats.org/officeDocument/2006/relationships/ctrlProp" Target="../ctrlProps/ctrlProp272.xml"/><Relationship Id="rId265" Type="http://schemas.openxmlformats.org/officeDocument/2006/relationships/ctrlProp" Target="../ctrlProps/ctrlProp498.xml"/><Relationship Id="rId286" Type="http://schemas.openxmlformats.org/officeDocument/2006/relationships/ctrlProp" Target="../ctrlProps/ctrlProp519.xml"/><Relationship Id="rId50" Type="http://schemas.openxmlformats.org/officeDocument/2006/relationships/ctrlProp" Target="../ctrlProps/ctrlProp283.xml"/><Relationship Id="rId104" Type="http://schemas.openxmlformats.org/officeDocument/2006/relationships/ctrlProp" Target="../ctrlProps/ctrlProp337.xml"/><Relationship Id="rId125" Type="http://schemas.openxmlformats.org/officeDocument/2006/relationships/ctrlProp" Target="../ctrlProps/ctrlProp358.xml"/><Relationship Id="rId146" Type="http://schemas.openxmlformats.org/officeDocument/2006/relationships/ctrlProp" Target="../ctrlProps/ctrlProp379.xml"/><Relationship Id="rId167" Type="http://schemas.openxmlformats.org/officeDocument/2006/relationships/ctrlProp" Target="../ctrlProps/ctrlProp400.xml"/><Relationship Id="rId188" Type="http://schemas.openxmlformats.org/officeDocument/2006/relationships/ctrlProp" Target="../ctrlProps/ctrlProp421.xml"/><Relationship Id="rId311" Type="http://schemas.openxmlformats.org/officeDocument/2006/relationships/ctrlProp" Target="../ctrlProps/ctrlProp544.xml"/><Relationship Id="rId332" Type="http://schemas.openxmlformats.org/officeDocument/2006/relationships/ctrlProp" Target="../ctrlProps/ctrlProp565.xml"/><Relationship Id="rId71" Type="http://schemas.openxmlformats.org/officeDocument/2006/relationships/ctrlProp" Target="../ctrlProps/ctrlProp304.xml"/><Relationship Id="rId92" Type="http://schemas.openxmlformats.org/officeDocument/2006/relationships/ctrlProp" Target="../ctrlProps/ctrlProp325.xml"/><Relationship Id="rId213" Type="http://schemas.openxmlformats.org/officeDocument/2006/relationships/ctrlProp" Target="../ctrlProps/ctrlProp446.xml"/><Relationship Id="rId234" Type="http://schemas.openxmlformats.org/officeDocument/2006/relationships/ctrlProp" Target="../ctrlProps/ctrlProp467.xml"/><Relationship Id="rId2" Type="http://schemas.openxmlformats.org/officeDocument/2006/relationships/drawing" Target="../drawings/drawing7.xml"/><Relationship Id="rId29" Type="http://schemas.openxmlformats.org/officeDocument/2006/relationships/ctrlProp" Target="../ctrlProps/ctrlProp262.xml"/><Relationship Id="rId255" Type="http://schemas.openxmlformats.org/officeDocument/2006/relationships/ctrlProp" Target="../ctrlProps/ctrlProp488.xml"/><Relationship Id="rId276" Type="http://schemas.openxmlformats.org/officeDocument/2006/relationships/ctrlProp" Target="../ctrlProps/ctrlProp509.xml"/><Relationship Id="rId297" Type="http://schemas.openxmlformats.org/officeDocument/2006/relationships/ctrlProp" Target="../ctrlProps/ctrlProp530.xml"/><Relationship Id="rId40" Type="http://schemas.openxmlformats.org/officeDocument/2006/relationships/ctrlProp" Target="../ctrlProps/ctrlProp273.xml"/><Relationship Id="rId115" Type="http://schemas.openxmlformats.org/officeDocument/2006/relationships/ctrlProp" Target="../ctrlProps/ctrlProp348.xml"/><Relationship Id="rId136" Type="http://schemas.openxmlformats.org/officeDocument/2006/relationships/ctrlProp" Target="../ctrlProps/ctrlProp369.xml"/><Relationship Id="rId157" Type="http://schemas.openxmlformats.org/officeDocument/2006/relationships/ctrlProp" Target="../ctrlProps/ctrlProp390.xml"/><Relationship Id="rId178" Type="http://schemas.openxmlformats.org/officeDocument/2006/relationships/ctrlProp" Target="../ctrlProps/ctrlProp411.xml"/><Relationship Id="rId301" Type="http://schemas.openxmlformats.org/officeDocument/2006/relationships/ctrlProp" Target="../ctrlProps/ctrlProp534.xml"/><Relationship Id="rId322" Type="http://schemas.openxmlformats.org/officeDocument/2006/relationships/ctrlProp" Target="../ctrlProps/ctrlProp555.xml"/><Relationship Id="rId343" Type="http://schemas.openxmlformats.org/officeDocument/2006/relationships/ctrlProp" Target="../ctrlProps/ctrlProp576.xml"/><Relationship Id="rId61" Type="http://schemas.openxmlformats.org/officeDocument/2006/relationships/ctrlProp" Target="../ctrlProps/ctrlProp294.xml"/><Relationship Id="rId82" Type="http://schemas.openxmlformats.org/officeDocument/2006/relationships/ctrlProp" Target="../ctrlProps/ctrlProp315.xml"/><Relationship Id="rId199" Type="http://schemas.openxmlformats.org/officeDocument/2006/relationships/ctrlProp" Target="../ctrlProps/ctrlProp432.xml"/><Relationship Id="rId203" Type="http://schemas.openxmlformats.org/officeDocument/2006/relationships/ctrlProp" Target="../ctrlProps/ctrlProp436.xml"/><Relationship Id="rId19" Type="http://schemas.openxmlformats.org/officeDocument/2006/relationships/ctrlProp" Target="../ctrlProps/ctrlProp252.xml"/><Relationship Id="rId224" Type="http://schemas.openxmlformats.org/officeDocument/2006/relationships/ctrlProp" Target="../ctrlProps/ctrlProp457.xml"/><Relationship Id="rId245" Type="http://schemas.openxmlformats.org/officeDocument/2006/relationships/ctrlProp" Target="../ctrlProps/ctrlProp478.xml"/><Relationship Id="rId266" Type="http://schemas.openxmlformats.org/officeDocument/2006/relationships/ctrlProp" Target="../ctrlProps/ctrlProp499.xml"/><Relationship Id="rId287" Type="http://schemas.openxmlformats.org/officeDocument/2006/relationships/ctrlProp" Target="../ctrlProps/ctrlProp520.xml"/><Relationship Id="rId30" Type="http://schemas.openxmlformats.org/officeDocument/2006/relationships/ctrlProp" Target="../ctrlProps/ctrlProp263.xml"/><Relationship Id="rId105" Type="http://schemas.openxmlformats.org/officeDocument/2006/relationships/ctrlProp" Target="../ctrlProps/ctrlProp338.xml"/><Relationship Id="rId126" Type="http://schemas.openxmlformats.org/officeDocument/2006/relationships/ctrlProp" Target="../ctrlProps/ctrlProp359.xml"/><Relationship Id="rId147" Type="http://schemas.openxmlformats.org/officeDocument/2006/relationships/ctrlProp" Target="../ctrlProps/ctrlProp380.xml"/><Relationship Id="rId168" Type="http://schemas.openxmlformats.org/officeDocument/2006/relationships/ctrlProp" Target="../ctrlProps/ctrlProp401.xml"/><Relationship Id="rId312" Type="http://schemas.openxmlformats.org/officeDocument/2006/relationships/ctrlProp" Target="../ctrlProps/ctrlProp545.xml"/><Relationship Id="rId333" Type="http://schemas.openxmlformats.org/officeDocument/2006/relationships/ctrlProp" Target="../ctrlProps/ctrlProp566.xml"/><Relationship Id="rId51" Type="http://schemas.openxmlformats.org/officeDocument/2006/relationships/ctrlProp" Target="../ctrlProps/ctrlProp284.xml"/><Relationship Id="rId72" Type="http://schemas.openxmlformats.org/officeDocument/2006/relationships/ctrlProp" Target="../ctrlProps/ctrlProp305.xml"/><Relationship Id="rId93" Type="http://schemas.openxmlformats.org/officeDocument/2006/relationships/ctrlProp" Target="../ctrlProps/ctrlProp326.xml"/><Relationship Id="rId189" Type="http://schemas.openxmlformats.org/officeDocument/2006/relationships/ctrlProp" Target="../ctrlProps/ctrlProp422.xml"/><Relationship Id="rId3" Type="http://schemas.openxmlformats.org/officeDocument/2006/relationships/vmlDrawing" Target="../drawings/vmlDrawing6.vml"/><Relationship Id="rId214" Type="http://schemas.openxmlformats.org/officeDocument/2006/relationships/ctrlProp" Target="../ctrlProps/ctrlProp447.xml"/><Relationship Id="rId235" Type="http://schemas.openxmlformats.org/officeDocument/2006/relationships/ctrlProp" Target="../ctrlProps/ctrlProp468.xml"/><Relationship Id="rId256" Type="http://schemas.openxmlformats.org/officeDocument/2006/relationships/ctrlProp" Target="../ctrlProps/ctrlProp489.xml"/><Relationship Id="rId277" Type="http://schemas.openxmlformats.org/officeDocument/2006/relationships/ctrlProp" Target="../ctrlProps/ctrlProp510.xml"/><Relationship Id="rId298" Type="http://schemas.openxmlformats.org/officeDocument/2006/relationships/ctrlProp" Target="../ctrlProps/ctrlProp531.xml"/><Relationship Id="rId116" Type="http://schemas.openxmlformats.org/officeDocument/2006/relationships/ctrlProp" Target="../ctrlProps/ctrlProp349.xml"/><Relationship Id="rId137" Type="http://schemas.openxmlformats.org/officeDocument/2006/relationships/ctrlProp" Target="../ctrlProps/ctrlProp370.xml"/><Relationship Id="rId158" Type="http://schemas.openxmlformats.org/officeDocument/2006/relationships/ctrlProp" Target="../ctrlProps/ctrlProp391.xml"/><Relationship Id="rId302" Type="http://schemas.openxmlformats.org/officeDocument/2006/relationships/ctrlProp" Target="../ctrlProps/ctrlProp535.xml"/><Relationship Id="rId323" Type="http://schemas.openxmlformats.org/officeDocument/2006/relationships/ctrlProp" Target="../ctrlProps/ctrlProp556.xml"/><Relationship Id="rId344" Type="http://schemas.openxmlformats.org/officeDocument/2006/relationships/ctrlProp" Target="../ctrlProps/ctrlProp577.xml"/><Relationship Id="rId20" Type="http://schemas.openxmlformats.org/officeDocument/2006/relationships/ctrlProp" Target="../ctrlProps/ctrlProp253.xml"/><Relationship Id="rId41" Type="http://schemas.openxmlformats.org/officeDocument/2006/relationships/ctrlProp" Target="../ctrlProps/ctrlProp274.xml"/><Relationship Id="rId62" Type="http://schemas.openxmlformats.org/officeDocument/2006/relationships/ctrlProp" Target="../ctrlProps/ctrlProp295.xml"/><Relationship Id="rId83" Type="http://schemas.openxmlformats.org/officeDocument/2006/relationships/ctrlProp" Target="../ctrlProps/ctrlProp316.xml"/><Relationship Id="rId179" Type="http://schemas.openxmlformats.org/officeDocument/2006/relationships/ctrlProp" Target="../ctrlProps/ctrlProp412.xml"/><Relationship Id="rId190" Type="http://schemas.openxmlformats.org/officeDocument/2006/relationships/ctrlProp" Target="../ctrlProps/ctrlProp423.xml"/><Relationship Id="rId204" Type="http://schemas.openxmlformats.org/officeDocument/2006/relationships/ctrlProp" Target="../ctrlProps/ctrlProp437.xml"/><Relationship Id="rId225" Type="http://schemas.openxmlformats.org/officeDocument/2006/relationships/ctrlProp" Target="../ctrlProps/ctrlProp458.xml"/><Relationship Id="rId246" Type="http://schemas.openxmlformats.org/officeDocument/2006/relationships/ctrlProp" Target="../ctrlProps/ctrlProp479.xml"/><Relationship Id="rId267" Type="http://schemas.openxmlformats.org/officeDocument/2006/relationships/ctrlProp" Target="../ctrlProps/ctrlProp500.xml"/><Relationship Id="rId288" Type="http://schemas.openxmlformats.org/officeDocument/2006/relationships/ctrlProp" Target="../ctrlProps/ctrlProp521.xml"/><Relationship Id="rId106" Type="http://schemas.openxmlformats.org/officeDocument/2006/relationships/ctrlProp" Target="../ctrlProps/ctrlProp339.xml"/><Relationship Id="rId127" Type="http://schemas.openxmlformats.org/officeDocument/2006/relationships/ctrlProp" Target="../ctrlProps/ctrlProp360.xml"/><Relationship Id="rId313" Type="http://schemas.openxmlformats.org/officeDocument/2006/relationships/ctrlProp" Target="../ctrlProps/ctrlProp546.xml"/><Relationship Id="rId10" Type="http://schemas.openxmlformats.org/officeDocument/2006/relationships/ctrlProp" Target="../ctrlProps/ctrlProp243.xml"/><Relationship Id="rId31" Type="http://schemas.openxmlformats.org/officeDocument/2006/relationships/ctrlProp" Target="../ctrlProps/ctrlProp264.xml"/><Relationship Id="rId52" Type="http://schemas.openxmlformats.org/officeDocument/2006/relationships/ctrlProp" Target="../ctrlProps/ctrlProp285.xml"/><Relationship Id="rId73" Type="http://schemas.openxmlformats.org/officeDocument/2006/relationships/ctrlProp" Target="../ctrlProps/ctrlProp306.xml"/><Relationship Id="rId94" Type="http://schemas.openxmlformats.org/officeDocument/2006/relationships/ctrlProp" Target="../ctrlProps/ctrlProp327.xml"/><Relationship Id="rId148" Type="http://schemas.openxmlformats.org/officeDocument/2006/relationships/ctrlProp" Target="../ctrlProps/ctrlProp381.xml"/><Relationship Id="rId169" Type="http://schemas.openxmlformats.org/officeDocument/2006/relationships/ctrlProp" Target="../ctrlProps/ctrlProp402.xml"/><Relationship Id="rId334" Type="http://schemas.openxmlformats.org/officeDocument/2006/relationships/ctrlProp" Target="../ctrlProps/ctrlProp567.xml"/><Relationship Id="rId4" Type="http://schemas.openxmlformats.org/officeDocument/2006/relationships/ctrlProp" Target="../ctrlProps/ctrlProp237.xml"/><Relationship Id="rId180" Type="http://schemas.openxmlformats.org/officeDocument/2006/relationships/ctrlProp" Target="../ctrlProps/ctrlProp413.xml"/><Relationship Id="rId215" Type="http://schemas.openxmlformats.org/officeDocument/2006/relationships/ctrlProp" Target="../ctrlProps/ctrlProp448.xml"/><Relationship Id="rId236" Type="http://schemas.openxmlformats.org/officeDocument/2006/relationships/ctrlProp" Target="../ctrlProps/ctrlProp469.xml"/><Relationship Id="rId257" Type="http://schemas.openxmlformats.org/officeDocument/2006/relationships/ctrlProp" Target="../ctrlProps/ctrlProp490.xml"/><Relationship Id="rId278" Type="http://schemas.openxmlformats.org/officeDocument/2006/relationships/ctrlProp" Target="../ctrlProps/ctrlProp511.xml"/><Relationship Id="rId303" Type="http://schemas.openxmlformats.org/officeDocument/2006/relationships/ctrlProp" Target="../ctrlProps/ctrlProp536.xml"/><Relationship Id="rId42" Type="http://schemas.openxmlformats.org/officeDocument/2006/relationships/ctrlProp" Target="../ctrlProps/ctrlProp275.xml"/><Relationship Id="rId84" Type="http://schemas.openxmlformats.org/officeDocument/2006/relationships/ctrlProp" Target="../ctrlProps/ctrlProp317.xml"/><Relationship Id="rId138" Type="http://schemas.openxmlformats.org/officeDocument/2006/relationships/ctrlProp" Target="../ctrlProps/ctrlProp371.xml"/><Relationship Id="rId345" Type="http://schemas.openxmlformats.org/officeDocument/2006/relationships/ctrlProp" Target="../ctrlProps/ctrlProp578.xml"/><Relationship Id="rId191" Type="http://schemas.openxmlformats.org/officeDocument/2006/relationships/ctrlProp" Target="../ctrlProps/ctrlProp424.xml"/><Relationship Id="rId205" Type="http://schemas.openxmlformats.org/officeDocument/2006/relationships/ctrlProp" Target="../ctrlProps/ctrlProp438.xml"/><Relationship Id="rId247" Type="http://schemas.openxmlformats.org/officeDocument/2006/relationships/ctrlProp" Target="../ctrlProps/ctrlProp480.xml"/><Relationship Id="rId107" Type="http://schemas.openxmlformats.org/officeDocument/2006/relationships/ctrlProp" Target="../ctrlProps/ctrlProp340.xml"/><Relationship Id="rId289" Type="http://schemas.openxmlformats.org/officeDocument/2006/relationships/ctrlProp" Target="../ctrlProps/ctrlProp522.xml"/><Relationship Id="rId11" Type="http://schemas.openxmlformats.org/officeDocument/2006/relationships/ctrlProp" Target="../ctrlProps/ctrlProp244.xml"/><Relationship Id="rId53" Type="http://schemas.openxmlformats.org/officeDocument/2006/relationships/ctrlProp" Target="../ctrlProps/ctrlProp286.xml"/><Relationship Id="rId149" Type="http://schemas.openxmlformats.org/officeDocument/2006/relationships/ctrlProp" Target="../ctrlProps/ctrlProp382.xml"/><Relationship Id="rId314" Type="http://schemas.openxmlformats.org/officeDocument/2006/relationships/ctrlProp" Target="../ctrlProps/ctrlProp547.xml"/><Relationship Id="rId95" Type="http://schemas.openxmlformats.org/officeDocument/2006/relationships/ctrlProp" Target="../ctrlProps/ctrlProp328.xml"/><Relationship Id="rId160" Type="http://schemas.openxmlformats.org/officeDocument/2006/relationships/ctrlProp" Target="../ctrlProps/ctrlProp393.xml"/><Relationship Id="rId216" Type="http://schemas.openxmlformats.org/officeDocument/2006/relationships/ctrlProp" Target="../ctrlProps/ctrlProp449.xml"/><Relationship Id="rId258" Type="http://schemas.openxmlformats.org/officeDocument/2006/relationships/ctrlProp" Target="../ctrlProps/ctrlProp491.xml"/><Relationship Id="rId22" Type="http://schemas.openxmlformats.org/officeDocument/2006/relationships/ctrlProp" Target="../ctrlProps/ctrlProp255.xml"/><Relationship Id="rId64" Type="http://schemas.openxmlformats.org/officeDocument/2006/relationships/ctrlProp" Target="../ctrlProps/ctrlProp297.xml"/><Relationship Id="rId118" Type="http://schemas.openxmlformats.org/officeDocument/2006/relationships/ctrlProp" Target="../ctrlProps/ctrlProp351.xml"/><Relationship Id="rId325" Type="http://schemas.openxmlformats.org/officeDocument/2006/relationships/ctrlProp" Target="../ctrlProps/ctrlProp558.xml"/><Relationship Id="rId171" Type="http://schemas.openxmlformats.org/officeDocument/2006/relationships/ctrlProp" Target="../ctrlProps/ctrlProp404.xml"/><Relationship Id="rId227" Type="http://schemas.openxmlformats.org/officeDocument/2006/relationships/ctrlProp" Target="../ctrlProps/ctrlProp460.xml"/><Relationship Id="rId269" Type="http://schemas.openxmlformats.org/officeDocument/2006/relationships/ctrlProp" Target="../ctrlProps/ctrlProp502.xml"/><Relationship Id="rId33" Type="http://schemas.openxmlformats.org/officeDocument/2006/relationships/ctrlProp" Target="../ctrlProps/ctrlProp266.xml"/><Relationship Id="rId129" Type="http://schemas.openxmlformats.org/officeDocument/2006/relationships/ctrlProp" Target="../ctrlProps/ctrlProp362.xml"/><Relationship Id="rId280" Type="http://schemas.openxmlformats.org/officeDocument/2006/relationships/ctrlProp" Target="../ctrlProps/ctrlProp513.xml"/><Relationship Id="rId336" Type="http://schemas.openxmlformats.org/officeDocument/2006/relationships/ctrlProp" Target="../ctrlProps/ctrlProp569.xml"/><Relationship Id="rId75" Type="http://schemas.openxmlformats.org/officeDocument/2006/relationships/ctrlProp" Target="../ctrlProps/ctrlProp308.xml"/><Relationship Id="rId140" Type="http://schemas.openxmlformats.org/officeDocument/2006/relationships/ctrlProp" Target="../ctrlProps/ctrlProp373.xml"/><Relationship Id="rId182" Type="http://schemas.openxmlformats.org/officeDocument/2006/relationships/ctrlProp" Target="../ctrlProps/ctrlProp415.xml"/><Relationship Id="rId6" Type="http://schemas.openxmlformats.org/officeDocument/2006/relationships/ctrlProp" Target="../ctrlProps/ctrlProp239.xml"/><Relationship Id="rId238" Type="http://schemas.openxmlformats.org/officeDocument/2006/relationships/ctrlProp" Target="../ctrlProps/ctrlProp471.xml"/><Relationship Id="rId291" Type="http://schemas.openxmlformats.org/officeDocument/2006/relationships/ctrlProp" Target="../ctrlProps/ctrlProp524.xml"/><Relationship Id="rId305" Type="http://schemas.openxmlformats.org/officeDocument/2006/relationships/ctrlProp" Target="../ctrlProps/ctrlProp538.xml"/><Relationship Id="rId347" Type="http://schemas.openxmlformats.org/officeDocument/2006/relationships/ctrlProp" Target="../ctrlProps/ctrlProp580.xml"/><Relationship Id="rId44" Type="http://schemas.openxmlformats.org/officeDocument/2006/relationships/ctrlProp" Target="../ctrlProps/ctrlProp277.xml"/><Relationship Id="rId86" Type="http://schemas.openxmlformats.org/officeDocument/2006/relationships/ctrlProp" Target="../ctrlProps/ctrlProp319.xml"/><Relationship Id="rId151" Type="http://schemas.openxmlformats.org/officeDocument/2006/relationships/ctrlProp" Target="../ctrlProps/ctrlProp384.xml"/><Relationship Id="rId193" Type="http://schemas.openxmlformats.org/officeDocument/2006/relationships/ctrlProp" Target="../ctrlProps/ctrlProp426.xml"/><Relationship Id="rId207" Type="http://schemas.openxmlformats.org/officeDocument/2006/relationships/ctrlProp" Target="../ctrlProps/ctrlProp440.xml"/><Relationship Id="rId249" Type="http://schemas.openxmlformats.org/officeDocument/2006/relationships/ctrlProp" Target="../ctrlProps/ctrlProp482.xml"/><Relationship Id="rId13" Type="http://schemas.openxmlformats.org/officeDocument/2006/relationships/ctrlProp" Target="../ctrlProps/ctrlProp246.xml"/><Relationship Id="rId109" Type="http://schemas.openxmlformats.org/officeDocument/2006/relationships/ctrlProp" Target="../ctrlProps/ctrlProp342.xml"/><Relationship Id="rId260" Type="http://schemas.openxmlformats.org/officeDocument/2006/relationships/ctrlProp" Target="../ctrlProps/ctrlProp493.xml"/><Relationship Id="rId316" Type="http://schemas.openxmlformats.org/officeDocument/2006/relationships/ctrlProp" Target="../ctrlProps/ctrlProp549.xml"/><Relationship Id="rId55" Type="http://schemas.openxmlformats.org/officeDocument/2006/relationships/ctrlProp" Target="../ctrlProps/ctrlProp288.xml"/><Relationship Id="rId97" Type="http://schemas.openxmlformats.org/officeDocument/2006/relationships/ctrlProp" Target="../ctrlProps/ctrlProp330.xml"/><Relationship Id="rId120" Type="http://schemas.openxmlformats.org/officeDocument/2006/relationships/ctrlProp" Target="../ctrlProps/ctrlProp353.xml"/><Relationship Id="rId162" Type="http://schemas.openxmlformats.org/officeDocument/2006/relationships/ctrlProp" Target="../ctrlProps/ctrlProp395.xml"/><Relationship Id="rId218" Type="http://schemas.openxmlformats.org/officeDocument/2006/relationships/ctrlProp" Target="../ctrlProps/ctrlProp451.xml"/><Relationship Id="rId271" Type="http://schemas.openxmlformats.org/officeDocument/2006/relationships/ctrlProp" Target="../ctrlProps/ctrlProp504.xml"/><Relationship Id="rId24" Type="http://schemas.openxmlformats.org/officeDocument/2006/relationships/ctrlProp" Target="../ctrlProps/ctrlProp257.xml"/><Relationship Id="rId66" Type="http://schemas.openxmlformats.org/officeDocument/2006/relationships/ctrlProp" Target="../ctrlProps/ctrlProp299.xml"/><Relationship Id="rId131" Type="http://schemas.openxmlformats.org/officeDocument/2006/relationships/ctrlProp" Target="../ctrlProps/ctrlProp364.xml"/><Relationship Id="rId327" Type="http://schemas.openxmlformats.org/officeDocument/2006/relationships/ctrlProp" Target="../ctrlProps/ctrlProp560.xml"/><Relationship Id="rId173" Type="http://schemas.openxmlformats.org/officeDocument/2006/relationships/ctrlProp" Target="../ctrlProps/ctrlProp406.xml"/><Relationship Id="rId229" Type="http://schemas.openxmlformats.org/officeDocument/2006/relationships/ctrlProp" Target="../ctrlProps/ctrlProp462.xml"/><Relationship Id="rId240" Type="http://schemas.openxmlformats.org/officeDocument/2006/relationships/ctrlProp" Target="../ctrlProps/ctrlProp473.xml"/><Relationship Id="rId35" Type="http://schemas.openxmlformats.org/officeDocument/2006/relationships/ctrlProp" Target="../ctrlProps/ctrlProp268.xml"/><Relationship Id="rId77" Type="http://schemas.openxmlformats.org/officeDocument/2006/relationships/ctrlProp" Target="../ctrlProps/ctrlProp310.xml"/><Relationship Id="rId100" Type="http://schemas.openxmlformats.org/officeDocument/2006/relationships/ctrlProp" Target="../ctrlProps/ctrlProp333.xml"/><Relationship Id="rId282" Type="http://schemas.openxmlformats.org/officeDocument/2006/relationships/ctrlProp" Target="../ctrlProps/ctrlProp515.xml"/><Relationship Id="rId338" Type="http://schemas.openxmlformats.org/officeDocument/2006/relationships/ctrlProp" Target="../ctrlProps/ctrlProp57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87.xml"/><Relationship Id="rId3" Type="http://schemas.openxmlformats.org/officeDocument/2006/relationships/vmlDrawing" Target="../drawings/vmlDrawing7.vml"/><Relationship Id="rId7" Type="http://schemas.openxmlformats.org/officeDocument/2006/relationships/ctrlProp" Target="../ctrlProps/ctrlProp586.xml"/><Relationship Id="rId12" Type="http://schemas.openxmlformats.org/officeDocument/2006/relationships/ctrlProp" Target="../ctrlProps/ctrlProp591.x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trlProp" Target="../ctrlProps/ctrlProp585.xml"/><Relationship Id="rId11" Type="http://schemas.openxmlformats.org/officeDocument/2006/relationships/ctrlProp" Target="../ctrlProps/ctrlProp590.xml"/><Relationship Id="rId5" Type="http://schemas.openxmlformats.org/officeDocument/2006/relationships/ctrlProp" Target="../ctrlProps/ctrlProp584.xml"/><Relationship Id="rId10" Type="http://schemas.openxmlformats.org/officeDocument/2006/relationships/ctrlProp" Target="../ctrlProps/ctrlProp589.xml"/><Relationship Id="rId4" Type="http://schemas.openxmlformats.org/officeDocument/2006/relationships/ctrlProp" Target="../ctrlProps/ctrlProp583.xml"/><Relationship Id="rId9" Type="http://schemas.openxmlformats.org/officeDocument/2006/relationships/ctrlProp" Target="../ctrlProps/ctrlProp58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mailto:skiman8639@aol.com" TargetMode="External"/><Relationship Id="rId5" Type="http://schemas.openxmlformats.org/officeDocument/2006/relationships/ctrlProp" Target="../ctrlProps/ctrlProp592.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D147-387D-4718-811C-20464A350E40}">
  <sheetPr codeName="Sheet18"/>
  <dimension ref="A1:F15"/>
  <sheetViews>
    <sheetView topLeftCell="C1" workbookViewId="0">
      <selection activeCell="C2" sqref="A2:IV2"/>
    </sheetView>
  </sheetViews>
  <sheetFormatPr defaultColWidth="9.15234375" defaultRowHeight="13.1"/>
  <cols>
    <col min="1" max="1" width="27.265625" style="1127" customWidth="1"/>
    <col min="2" max="2" width="51.265625" style="1152" customWidth="1"/>
    <col min="3" max="4" width="18.265625" style="1152" customWidth="1"/>
    <col min="5" max="5" width="25.265625" style="1153" customWidth="1"/>
    <col min="6" max="6" width="27.57421875" style="1153" customWidth="1"/>
    <col min="7" max="16384" width="9.15234375" style="207"/>
  </cols>
  <sheetData>
    <row r="1" spans="1:6" s="129" customFormat="1">
      <c r="A1" s="1151" t="s">
        <v>1478</v>
      </c>
      <c r="B1" s="1152" t="s">
        <v>139</v>
      </c>
      <c r="C1" s="1152" t="s">
        <v>140</v>
      </c>
      <c r="D1" s="1152" t="s">
        <v>141</v>
      </c>
      <c r="E1" s="1153" t="s">
        <v>142</v>
      </c>
      <c r="F1" s="1153" t="s">
        <v>143</v>
      </c>
    </row>
    <row r="2" spans="1:6">
      <c r="F2" s="1392"/>
    </row>
    <row r="4" spans="1:6">
      <c r="B4" s="1154"/>
      <c r="C4" s="1155"/>
      <c r="D4" s="1155"/>
      <c r="E4" s="1155"/>
    </row>
    <row r="7" spans="1:6">
      <c r="B7" s="1155"/>
      <c r="D7" s="1155"/>
    </row>
    <row r="11" spans="1:6">
      <c r="B11" s="1155"/>
      <c r="C11" s="1155"/>
      <c r="D11" s="1155"/>
      <c r="E11" s="1155"/>
      <c r="F11" s="1157"/>
    </row>
    <row r="15" spans="1:6">
      <c r="F15" s="1181"/>
    </row>
  </sheetData>
  <phoneticPr fontId="118" type="noConversion"/>
  <pageMargins left="0.75" right="0.75" top="1" bottom="1" header="0.5" footer="0.5"/>
  <pageSetup orientation="portrait" horizontalDpi="4294967293"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609" r:id="rId4" name="Button 1">
              <controlPr defaultSize="0" print="0" autoFill="0" autoPict="0" macro="[0]!BACKTOMENU">
                <anchor moveWithCells="1">
                  <from>
                    <xdr:col>0</xdr:col>
                    <xdr:colOff>1921329</xdr:colOff>
                    <xdr:row>0</xdr:row>
                    <xdr:rowOff>0</xdr:rowOff>
                  </from>
                  <to>
                    <xdr:col>1</xdr:col>
                    <xdr:colOff>525236</xdr:colOff>
                    <xdr:row>1</xdr:row>
                    <xdr:rowOff>48986</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0023-7A5D-4FA8-80DA-084175BF43CE}">
  <sheetPr codeName="Sheet3"/>
  <dimension ref="A6:I545"/>
  <sheetViews>
    <sheetView showGridLines="0" showZeros="0" view="pageBreakPreview" topLeftCell="A66" zoomScaleNormal="100" workbookViewId="0"/>
  </sheetViews>
  <sheetFormatPr defaultRowHeight="12.9"/>
  <cols>
    <col min="1" max="1" width="9.15234375" style="637" customWidth="1"/>
    <col min="3" max="3" width="9.15234375" style="123" customWidth="1"/>
  </cols>
  <sheetData>
    <row r="6" spans="1:9">
      <c r="A6" s="1744" t="s">
        <v>1257</v>
      </c>
      <c r="B6" s="1744"/>
      <c r="C6" s="1744"/>
      <c r="D6" s="1744"/>
      <c r="E6" s="1744"/>
      <c r="F6" s="1744"/>
      <c r="G6" s="1744"/>
      <c r="H6" s="1744"/>
      <c r="I6" s="1744"/>
    </row>
    <row r="7" spans="1:9">
      <c r="A7" s="1744"/>
      <c r="B7" s="1744"/>
      <c r="C7" s="1744"/>
      <c r="D7" s="1744"/>
      <c r="E7" s="1744"/>
      <c r="F7" s="1744"/>
      <c r="G7" s="1744"/>
      <c r="H7" s="1744"/>
      <c r="I7" s="1744"/>
    </row>
    <row r="8" spans="1:9">
      <c r="A8" s="1744"/>
      <c r="B8" s="1744"/>
      <c r="C8" s="1744"/>
      <c r="D8" s="1744"/>
      <c r="E8" s="1744"/>
      <c r="F8" s="1744"/>
      <c r="G8" s="1744"/>
      <c r="H8" s="1744"/>
      <c r="I8" s="1744"/>
    </row>
    <row r="9" spans="1:9">
      <c r="A9" s="1745" t="s">
        <v>1258</v>
      </c>
      <c r="B9" s="1745"/>
    </row>
    <row r="10" spans="1:9">
      <c r="A10" s="1745"/>
      <c r="B10" s="1745"/>
    </row>
    <row r="11" spans="1:9">
      <c r="A11" s="1745"/>
      <c r="B11" s="1745"/>
      <c r="C11" s="1746">
        <f>Summary!C6</f>
        <v>0</v>
      </c>
      <c r="D11" s="1746"/>
      <c r="E11" s="1746"/>
      <c r="F11" s="1746"/>
      <c r="G11" s="1746"/>
      <c r="H11" s="1746"/>
      <c r="I11" s="1746"/>
    </row>
    <row r="12" spans="1:9" ht="13.1">
      <c r="A12" s="645"/>
      <c r="B12" s="37"/>
    </row>
    <row r="13" spans="1:9">
      <c r="A13" s="1745" t="s">
        <v>1259</v>
      </c>
      <c r="B13" s="1745"/>
    </row>
    <row r="14" spans="1:9">
      <c r="A14" s="1745"/>
      <c r="B14" s="1745"/>
    </row>
    <row r="15" spans="1:9">
      <c r="A15" s="1745"/>
      <c r="B15" s="1745"/>
      <c r="C15" s="1747">
        <f>Summary!C3</f>
        <v>0</v>
      </c>
      <c r="D15" s="1747"/>
      <c r="E15" s="1747"/>
      <c r="F15" s="1747"/>
      <c r="G15" s="1747"/>
      <c r="H15" s="1747"/>
      <c r="I15" s="1747"/>
    </row>
    <row r="53" spans="1:9" ht="13.1">
      <c r="A53" s="1644" t="s">
        <v>1005</v>
      </c>
      <c r="B53" s="1644"/>
      <c r="C53" s="1644"/>
      <c r="D53" s="1644"/>
      <c r="E53" s="1644"/>
      <c r="F53" s="1644"/>
      <c r="G53" s="1644"/>
      <c r="H53" s="1644"/>
      <c r="I53" s="1644"/>
    </row>
    <row r="56" spans="1:9">
      <c r="A56" s="637">
        <v>1</v>
      </c>
      <c r="B56" s="465" t="s">
        <v>1006</v>
      </c>
    </row>
    <row r="58" spans="1:9">
      <c r="B58">
        <v>1.1000000000000001</v>
      </c>
      <c r="C58" s="123" t="s">
        <v>1007</v>
      </c>
    </row>
    <row r="59" spans="1:9">
      <c r="B59">
        <v>1.2</v>
      </c>
      <c r="C59" s="123">
        <f>Summary!C5</f>
        <v>0</v>
      </c>
    </row>
    <row r="60" spans="1:9">
      <c r="B60">
        <v>1.3</v>
      </c>
      <c r="C60" s="123" t="s">
        <v>1008</v>
      </c>
    </row>
    <row r="61" spans="1:9">
      <c r="B61">
        <v>1.4</v>
      </c>
      <c r="C61" s="123" t="s">
        <v>1009</v>
      </c>
    </row>
    <row r="62" spans="1:9">
      <c r="B62">
        <v>1.5</v>
      </c>
      <c r="C62" s="123" t="s">
        <v>1010</v>
      </c>
    </row>
    <row r="63" spans="1:9">
      <c r="B63">
        <v>1.6</v>
      </c>
      <c r="C63" s="123" t="s">
        <v>1013</v>
      </c>
    </row>
    <row r="64" spans="1:9">
      <c r="B64">
        <v>1.7</v>
      </c>
      <c r="C64" s="123" t="s">
        <v>1014</v>
      </c>
    </row>
    <row r="66" spans="1:3">
      <c r="A66" s="637">
        <v>2</v>
      </c>
      <c r="B66" s="465" t="s">
        <v>1015</v>
      </c>
    </row>
    <row r="68" spans="1:3">
      <c r="B68">
        <v>2.1</v>
      </c>
      <c r="C68" s="123" t="s">
        <v>1016</v>
      </c>
    </row>
    <row r="69" spans="1:3">
      <c r="B69">
        <v>2.2000000000000002</v>
      </c>
      <c r="C69" s="123" t="s">
        <v>1017</v>
      </c>
    </row>
    <row r="70" spans="1:3">
      <c r="B70">
        <v>2.2999999999999998</v>
      </c>
      <c r="C70" s="123" t="s">
        <v>1018</v>
      </c>
    </row>
    <row r="72" spans="1:3">
      <c r="A72" s="637">
        <v>3</v>
      </c>
      <c r="B72" s="465" t="s">
        <v>1019</v>
      </c>
    </row>
    <row r="74" spans="1:3">
      <c r="B74">
        <v>3.1</v>
      </c>
      <c r="C74" s="123" t="s">
        <v>1020</v>
      </c>
    </row>
    <row r="75" spans="1:3">
      <c r="B75">
        <v>3.2</v>
      </c>
      <c r="C75" s="123" t="s">
        <v>1023</v>
      </c>
    </row>
    <row r="76" spans="1:3">
      <c r="B76">
        <v>3.3</v>
      </c>
      <c r="C76" s="123" t="s">
        <v>1024</v>
      </c>
    </row>
    <row r="77" spans="1:3">
      <c r="B77">
        <v>3.4</v>
      </c>
      <c r="C77" s="123" t="s">
        <v>1025</v>
      </c>
    </row>
    <row r="78" spans="1:3">
      <c r="B78">
        <v>3.5</v>
      </c>
      <c r="C78" s="123" t="s">
        <v>1026</v>
      </c>
    </row>
    <row r="79" spans="1:3">
      <c r="B79">
        <v>3.6</v>
      </c>
      <c r="C79" s="123" t="s">
        <v>1027</v>
      </c>
    </row>
    <row r="80" spans="1:3">
      <c r="B80">
        <v>3.7</v>
      </c>
      <c r="C80" s="123" t="s">
        <v>1028</v>
      </c>
    </row>
    <row r="81" spans="1:4">
      <c r="B81">
        <v>3.8</v>
      </c>
      <c r="C81" s="123" t="s">
        <v>1029</v>
      </c>
    </row>
    <row r="82" spans="1:4">
      <c r="B82">
        <v>3.9</v>
      </c>
      <c r="C82" s="123" t="s">
        <v>1030</v>
      </c>
    </row>
    <row r="84" spans="1:4">
      <c r="A84" s="637">
        <v>4</v>
      </c>
      <c r="B84" s="465" t="s">
        <v>1031</v>
      </c>
    </row>
    <row r="86" spans="1:4">
      <c r="B86">
        <v>4.0999999999999996</v>
      </c>
      <c r="C86" s="123" t="s">
        <v>1016</v>
      </c>
    </row>
    <row r="87" spans="1:4">
      <c r="B87">
        <v>4.2</v>
      </c>
      <c r="C87" s="123" t="s">
        <v>1032</v>
      </c>
    </row>
    <row r="88" spans="1:4">
      <c r="B88">
        <v>4.3</v>
      </c>
      <c r="C88" s="123" t="s">
        <v>1033</v>
      </c>
    </row>
    <row r="89" spans="1:4">
      <c r="B89">
        <v>4.4000000000000004</v>
      </c>
      <c r="C89" s="123" t="s">
        <v>1034</v>
      </c>
    </row>
    <row r="91" spans="1:4">
      <c r="A91" s="637">
        <v>5</v>
      </c>
      <c r="B91" s="465" t="s">
        <v>1035</v>
      </c>
    </row>
    <row r="93" spans="1:4">
      <c r="B93">
        <v>5.0999999999999996</v>
      </c>
      <c r="C93" s="123" t="s">
        <v>1016</v>
      </c>
    </row>
    <row r="94" spans="1:4">
      <c r="B94">
        <v>5.2</v>
      </c>
      <c r="C94" s="123" t="s">
        <v>1036</v>
      </c>
    </row>
    <row r="95" spans="1:4">
      <c r="B95">
        <v>5.3</v>
      </c>
      <c r="C95" s="123" t="s">
        <v>1037</v>
      </c>
    </row>
    <row r="96" spans="1:4">
      <c r="C96" s="123" t="s">
        <v>1038</v>
      </c>
      <c r="D96" t="s">
        <v>1039</v>
      </c>
    </row>
    <row r="97" spans="1:4">
      <c r="C97" s="123" t="s">
        <v>1040</v>
      </c>
      <c r="D97" t="s">
        <v>1041</v>
      </c>
    </row>
    <row r="98" spans="1:4">
      <c r="B98">
        <v>5.4</v>
      </c>
      <c r="C98" s="123" t="s">
        <v>1042</v>
      </c>
    </row>
    <row r="100" spans="1:4">
      <c r="A100" s="637">
        <v>6</v>
      </c>
      <c r="B100" s="465" t="s">
        <v>1043</v>
      </c>
    </row>
    <row r="102" spans="1:4">
      <c r="B102">
        <v>6.1</v>
      </c>
      <c r="C102" s="123" t="s">
        <v>1016</v>
      </c>
    </row>
    <row r="104" spans="1:4">
      <c r="B104">
        <v>6.2</v>
      </c>
      <c r="C104" s="123" t="s">
        <v>1007</v>
      </c>
    </row>
    <row r="105" spans="1:4">
      <c r="B105">
        <v>6.3</v>
      </c>
      <c r="C105" s="123" t="s">
        <v>1044</v>
      </c>
    </row>
    <row r="107" spans="1:4">
      <c r="A107" s="637">
        <v>7</v>
      </c>
      <c r="B107" s="465" t="s">
        <v>1045</v>
      </c>
    </row>
    <row r="109" spans="1:4">
      <c r="B109">
        <v>7.1</v>
      </c>
      <c r="C109" s="123" t="s">
        <v>1016</v>
      </c>
    </row>
    <row r="110" spans="1:4">
      <c r="B110">
        <v>7.2</v>
      </c>
      <c r="C110" s="123" t="s">
        <v>1046</v>
      </c>
    </row>
    <row r="111" spans="1:4">
      <c r="B111">
        <v>7.3</v>
      </c>
      <c r="C111" s="123" t="s">
        <v>1047</v>
      </c>
    </row>
    <row r="112" spans="1:4">
      <c r="C112" s="123" t="s">
        <v>1048</v>
      </c>
      <c r="D112" t="s">
        <v>1049</v>
      </c>
    </row>
    <row r="113" spans="1:4">
      <c r="C113" s="123" t="s">
        <v>1050</v>
      </c>
      <c r="D113" t="s">
        <v>1051</v>
      </c>
    </row>
    <row r="114" spans="1:4">
      <c r="B114">
        <v>7.4</v>
      </c>
      <c r="C114" s="123" t="s">
        <v>1052</v>
      </c>
    </row>
    <row r="115" spans="1:4">
      <c r="C115" s="123" t="s">
        <v>1053</v>
      </c>
      <c r="D115" t="s">
        <v>1054</v>
      </c>
    </row>
    <row r="116" spans="1:4">
      <c r="C116" s="123" t="s">
        <v>1055</v>
      </c>
      <c r="D116" t="s">
        <v>1056</v>
      </c>
    </row>
    <row r="117" spans="1:4">
      <c r="B117">
        <v>7.5</v>
      </c>
      <c r="C117" s="123" t="s">
        <v>1057</v>
      </c>
    </row>
    <row r="118" spans="1:4">
      <c r="B118">
        <v>7.6</v>
      </c>
      <c r="C118" s="123" t="s">
        <v>1058</v>
      </c>
    </row>
    <row r="120" spans="1:4">
      <c r="A120" s="637">
        <v>8</v>
      </c>
      <c r="B120" s="465" t="s">
        <v>1059</v>
      </c>
    </row>
    <row r="122" spans="1:4">
      <c r="B122">
        <v>8.1</v>
      </c>
      <c r="C122" s="123" t="s">
        <v>1016</v>
      </c>
    </row>
    <row r="123" spans="1:4">
      <c r="B123">
        <v>8.1999999999999993</v>
      </c>
      <c r="C123" s="123" t="s">
        <v>1007</v>
      </c>
    </row>
    <row r="124" spans="1:4">
      <c r="B124">
        <v>8.3000000000000007</v>
      </c>
      <c r="C124" s="123" t="s">
        <v>1027</v>
      </c>
    </row>
    <row r="126" spans="1:4">
      <c r="A126" s="637">
        <v>9</v>
      </c>
      <c r="B126" s="465" t="s">
        <v>1060</v>
      </c>
    </row>
    <row r="128" spans="1:4">
      <c r="B128">
        <v>9.1</v>
      </c>
      <c r="C128" s="123" t="s">
        <v>1016</v>
      </c>
    </row>
    <row r="129" spans="1:4">
      <c r="B129">
        <v>9.1999999999999993</v>
      </c>
      <c r="C129" s="123" t="s">
        <v>1061</v>
      </c>
    </row>
    <row r="130" spans="1:4">
      <c r="B130">
        <v>9.3000000000000007</v>
      </c>
      <c r="C130" s="123" t="s">
        <v>1062</v>
      </c>
    </row>
    <row r="131" spans="1:4">
      <c r="C131" s="123" t="s">
        <v>1063</v>
      </c>
      <c r="D131" t="s">
        <v>1064</v>
      </c>
    </row>
    <row r="132" spans="1:4">
      <c r="C132" s="123" t="s">
        <v>1065</v>
      </c>
      <c r="D132" t="s">
        <v>1066</v>
      </c>
    </row>
    <row r="134" spans="1:4">
      <c r="A134" s="637">
        <v>10</v>
      </c>
      <c r="B134" s="465" t="s">
        <v>1067</v>
      </c>
    </row>
    <row r="136" spans="1:4">
      <c r="B136">
        <v>10.1</v>
      </c>
      <c r="C136" s="123" t="s">
        <v>1016</v>
      </c>
    </row>
    <row r="137" spans="1:4">
      <c r="B137">
        <v>10.199999999999999</v>
      </c>
      <c r="C137" s="123" t="s">
        <v>1068</v>
      </c>
    </row>
    <row r="157" spans="1:9">
      <c r="A157" s="637">
        <v>1</v>
      </c>
      <c r="B157" s="1742" t="s">
        <v>1069</v>
      </c>
      <c r="C157" s="1742"/>
      <c r="D157" s="1742"/>
      <c r="E157" s="1742"/>
      <c r="F157" s="1742"/>
      <c r="G157" s="1742"/>
      <c r="H157" s="1742"/>
      <c r="I157" s="1742"/>
    </row>
    <row r="160" spans="1:9">
      <c r="C160" s="123" t="s">
        <v>1070</v>
      </c>
    </row>
    <row r="162" spans="3:3">
      <c r="C162" s="123" t="s">
        <v>1071</v>
      </c>
    </row>
    <row r="164" spans="3:3">
      <c r="C164" s="123" t="s">
        <v>1072</v>
      </c>
    </row>
    <row r="166" spans="3:3">
      <c r="C166" s="123" t="s">
        <v>1073</v>
      </c>
    </row>
    <row r="168" spans="3:3">
      <c r="C168" s="123" t="s">
        <v>1074</v>
      </c>
    </row>
    <row r="170" spans="3:3">
      <c r="C170" s="123" t="s">
        <v>1075</v>
      </c>
    </row>
    <row r="172" spans="3:3">
      <c r="C172" s="123" t="s">
        <v>1076</v>
      </c>
    </row>
    <row r="209" spans="2:9">
      <c r="B209" t="s">
        <v>1070</v>
      </c>
      <c r="G209" s="1743" t="s">
        <v>1078</v>
      </c>
      <c r="H209" s="1743"/>
      <c r="I209" s="1743"/>
    </row>
    <row r="211" spans="2:9">
      <c r="C211" s="123" t="s">
        <v>1077</v>
      </c>
    </row>
    <row r="212" spans="2:9">
      <c r="F212" t="s">
        <v>1079</v>
      </c>
      <c r="H212" s="643" t="s">
        <v>1089</v>
      </c>
      <c r="I212" s="19"/>
    </row>
    <row r="213" spans="2:9">
      <c r="C213" s="638">
        <f>Summary!C63</f>
        <v>0</v>
      </c>
      <c r="D213" s="19"/>
      <c r="E213" s="19"/>
      <c r="F213" t="s">
        <v>1080</v>
      </c>
      <c r="H213" s="18" t="s">
        <v>1090</v>
      </c>
      <c r="I213" s="18"/>
    </row>
    <row r="214" spans="2:9">
      <c r="F214" t="s">
        <v>1088</v>
      </c>
      <c r="H214" s="640" t="s">
        <v>1091</v>
      </c>
    </row>
    <row r="216" spans="2:9">
      <c r="C216" s="639"/>
      <c r="D216" s="465"/>
      <c r="E216" s="465"/>
    </row>
    <row r="217" spans="2:9">
      <c r="C217" s="123" t="s">
        <v>1092</v>
      </c>
    </row>
    <row r="218" spans="2:9">
      <c r="F218" t="s">
        <v>1079</v>
      </c>
      <c r="H218" s="19"/>
      <c r="I218" s="19"/>
    </row>
    <row r="219" spans="2:9">
      <c r="C219" s="641">
        <f>Summary!C15</f>
        <v>0</v>
      </c>
      <c r="D219" s="19"/>
      <c r="E219" s="19"/>
      <c r="F219" t="s">
        <v>1080</v>
      </c>
      <c r="H219" s="19"/>
      <c r="I219" s="19"/>
    </row>
    <row r="220" spans="2:9">
      <c r="F220" t="s">
        <v>1088</v>
      </c>
      <c r="H220" s="19"/>
      <c r="I220" s="19"/>
    </row>
    <row r="222" spans="2:9">
      <c r="C222" s="638"/>
      <c r="D222" s="19"/>
      <c r="E222" s="19"/>
      <c r="F222" t="s">
        <v>1079</v>
      </c>
      <c r="H222" s="19"/>
      <c r="I222" s="19"/>
    </row>
    <row r="223" spans="2:9">
      <c r="F223" t="s">
        <v>1080</v>
      </c>
      <c r="H223" s="18"/>
      <c r="I223" s="18"/>
    </row>
    <row r="224" spans="2:9">
      <c r="F224" t="s">
        <v>1088</v>
      </c>
      <c r="H224" s="19"/>
      <c r="I224" s="19"/>
    </row>
    <row r="226" spans="2:9">
      <c r="C226" s="123" t="s">
        <v>1093</v>
      </c>
      <c r="F226" t="s">
        <v>1080</v>
      </c>
      <c r="H226" s="19"/>
      <c r="I226" s="19"/>
    </row>
    <row r="227" spans="2:9">
      <c r="F227" t="s">
        <v>1080</v>
      </c>
      <c r="H227" s="19"/>
      <c r="I227" s="19"/>
    </row>
    <row r="228" spans="2:9">
      <c r="C228" s="638"/>
      <c r="D228" s="19"/>
      <c r="E228" s="19"/>
      <c r="F228" t="s">
        <v>1080</v>
      </c>
      <c r="H228" s="18"/>
      <c r="I228" s="18"/>
    </row>
    <row r="229" spans="2:9">
      <c r="F229" t="s">
        <v>1080</v>
      </c>
      <c r="H229" s="19"/>
      <c r="I229" s="19"/>
    </row>
    <row r="230" spans="2:9">
      <c r="F230" t="s">
        <v>1080</v>
      </c>
      <c r="H230" s="18"/>
      <c r="I230" s="18"/>
    </row>
    <row r="231" spans="2:9">
      <c r="C231" s="638"/>
      <c r="D231" s="19"/>
      <c r="E231" s="19"/>
      <c r="F231" t="s">
        <v>1080</v>
      </c>
      <c r="H231" s="19"/>
      <c r="I231" s="19"/>
    </row>
    <row r="234" spans="2:9">
      <c r="B234" s="642" t="s">
        <v>1094</v>
      </c>
      <c r="C234" s="123">
        <f>Summary!C5</f>
        <v>0</v>
      </c>
    </row>
    <row r="236" spans="2:9">
      <c r="C236" s="123" t="s">
        <v>1095</v>
      </c>
      <c r="G236" t="s">
        <v>565</v>
      </c>
      <c r="H236" s="18"/>
      <c r="I236" s="18"/>
    </row>
    <row r="237" spans="2:9">
      <c r="G237" t="s">
        <v>1097</v>
      </c>
      <c r="H237" s="19"/>
      <c r="I237" s="19"/>
    </row>
    <row r="238" spans="2:9">
      <c r="C238" s="123" t="s">
        <v>1096</v>
      </c>
      <c r="G238" t="s">
        <v>565</v>
      </c>
      <c r="H238" s="18"/>
      <c r="I238" s="18"/>
    </row>
    <row r="239" spans="2:9">
      <c r="G239" t="s">
        <v>1097</v>
      </c>
      <c r="H239" s="19"/>
      <c r="I239" s="19"/>
    </row>
    <row r="241" spans="2:9">
      <c r="C241" s="123" t="s">
        <v>1098</v>
      </c>
    </row>
    <row r="242" spans="2:9">
      <c r="G242" t="s">
        <v>565</v>
      </c>
      <c r="H242" s="18"/>
      <c r="I242" s="18"/>
    </row>
    <row r="243" spans="2:9">
      <c r="C243" s="638">
        <f>Summary!C62</f>
        <v>0</v>
      </c>
      <c r="D243" s="19"/>
      <c r="E243" s="19"/>
      <c r="G243" t="s">
        <v>564</v>
      </c>
      <c r="H243" s="19"/>
      <c r="I243" s="19"/>
    </row>
    <row r="244" spans="2:9">
      <c r="G244" t="s">
        <v>565</v>
      </c>
      <c r="H244" s="18"/>
      <c r="I244" s="18"/>
    </row>
    <row r="245" spans="2:9">
      <c r="C245" s="638"/>
      <c r="D245" s="19"/>
      <c r="E245" s="19"/>
      <c r="G245" t="s">
        <v>564</v>
      </c>
      <c r="H245" s="19"/>
      <c r="I245" s="19"/>
    </row>
    <row r="248" spans="2:9">
      <c r="B248" t="s">
        <v>1099</v>
      </c>
    </row>
    <row r="249" spans="2:9">
      <c r="B249" t="s">
        <v>1100</v>
      </c>
    </row>
    <row r="250" spans="2:9">
      <c r="C250" s="638"/>
      <c r="D250" s="19"/>
      <c r="E250" t="s">
        <v>1101</v>
      </c>
      <c r="G250" t="s">
        <v>1102</v>
      </c>
      <c r="H250" s="19"/>
      <c r="I250" s="19"/>
    </row>
    <row r="251" spans="2:9">
      <c r="B251" t="s">
        <v>1103</v>
      </c>
      <c r="G251" t="s">
        <v>1097</v>
      </c>
      <c r="H251" s="18"/>
      <c r="I251" s="18"/>
    </row>
    <row r="252" spans="2:9">
      <c r="C252" s="638"/>
      <c r="D252" s="19"/>
    </row>
    <row r="254" spans="2:9">
      <c r="B254" t="s">
        <v>1104</v>
      </c>
    </row>
    <row r="255" spans="2:9">
      <c r="C255" s="638"/>
      <c r="D255" s="19"/>
      <c r="E255" t="s">
        <v>1105</v>
      </c>
      <c r="G255" t="s">
        <v>1102</v>
      </c>
      <c r="H255" s="19"/>
      <c r="I255" s="19"/>
    </row>
    <row r="256" spans="2:9">
      <c r="C256" s="123" t="s">
        <v>1106</v>
      </c>
      <c r="G256" t="s">
        <v>565</v>
      </c>
      <c r="H256" s="18"/>
      <c r="I256" s="18"/>
    </row>
    <row r="257" spans="2:9">
      <c r="C257" s="638"/>
      <c r="D257" s="19"/>
    </row>
    <row r="261" spans="2:9">
      <c r="B261" t="s">
        <v>1107</v>
      </c>
      <c r="E261" s="19"/>
      <c r="F261" s="19"/>
      <c r="G261" s="19"/>
    </row>
    <row r="262" spans="2:9">
      <c r="C262" s="123" t="s">
        <v>1108</v>
      </c>
      <c r="G262" t="s">
        <v>565</v>
      </c>
      <c r="H262" s="19"/>
      <c r="I262" s="19"/>
    </row>
    <row r="263" spans="2:9">
      <c r="C263" s="638"/>
      <c r="D263" s="19"/>
      <c r="E263" s="19"/>
      <c r="G263" t="s">
        <v>564</v>
      </c>
      <c r="H263" s="18"/>
      <c r="I263" s="18"/>
    </row>
    <row r="266" spans="2:9">
      <c r="B266" t="s">
        <v>1109</v>
      </c>
      <c r="E266" s="19"/>
      <c r="F266" s="19"/>
      <c r="G266" s="19"/>
    </row>
    <row r="267" spans="2:9">
      <c r="C267" s="123" t="s">
        <v>1108</v>
      </c>
      <c r="G267" t="s">
        <v>565</v>
      </c>
      <c r="H267" s="19"/>
      <c r="I267" s="19"/>
    </row>
    <row r="268" spans="2:9">
      <c r="C268" s="638"/>
      <c r="D268" s="19"/>
      <c r="E268" s="19"/>
      <c r="G268" t="s">
        <v>564</v>
      </c>
      <c r="H268" s="18"/>
      <c r="I268" s="18"/>
    </row>
    <row r="269" spans="2:9">
      <c r="G269" s="335" t="s">
        <v>1110</v>
      </c>
      <c r="H269" s="18"/>
      <c r="I269" s="18"/>
    </row>
    <row r="271" spans="2:9">
      <c r="B271" t="s">
        <v>1111</v>
      </c>
      <c r="D271" s="19"/>
      <c r="E271" s="19"/>
      <c r="F271" s="19"/>
    </row>
    <row r="272" spans="2:9">
      <c r="C272" s="123" t="s">
        <v>1108</v>
      </c>
      <c r="G272" t="s">
        <v>565</v>
      </c>
      <c r="H272" s="19"/>
      <c r="I272" s="19"/>
    </row>
    <row r="273" spans="2:9">
      <c r="C273" s="638"/>
      <c r="D273" s="19"/>
      <c r="E273" s="19"/>
      <c r="G273" t="s">
        <v>564</v>
      </c>
      <c r="H273" s="18"/>
      <c r="I273" s="18"/>
    </row>
    <row r="274" spans="2:9">
      <c r="G274" s="335" t="s">
        <v>1110</v>
      </c>
      <c r="H274" s="18"/>
      <c r="I274" s="18"/>
    </row>
    <row r="277" spans="2:9">
      <c r="B277" t="s">
        <v>1113</v>
      </c>
    </row>
    <row r="278" spans="2:9">
      <c r="C278" s="123" t="s">
        <v>1114</v>
      </c>
      <c r="G278" t="s">
        <v>1102</v>
      </c>
      <c r="H278" s="19" t="s">
        <v>1117</v>
      </c>
      <c r="I278" s="19"/>
    </row>
    <row r="279" spans="2:9">
      <c r="C279" s="123" t="s">
        <v>1115</v>
      </c>
    </row>
    <row r="280" spans="2:9">
      <c r="C280" s="638" t="s">
        <v>1116</v>
      </c>
      <c r="D280" s="19"/>
      <c r="E280" s="19"/>
    </row>
    <row r="283" spans="2:9">
      <c r="B283" t="s">
        <v>1118</v>
      </c>
    </row>
    <row r="285" spans="2:9">
      <c r="B285" t="s">
        <v>1119</v>
      </c>
      <c r="G285" t="s">
        <v>565</v>
      </c>
      <c r="H285" s="19" t="s">
        <v>1122</v>
      </c>
      <c r="I285" s="19"/>
    </row>
    <row r="286" spans="2:9">
      <c r="B286" t="s">
        <v>1120</v>
      </c>
      <c r="G286" t="s">
        <v>1102</v>
      </c>
      <c r="H286" s="18" t="s">
        <v>1123</v>
      </c>
      <c r="I286" s="18"/>
    </row>
    <row r="287" spans="2:9">
      <c r="B287" t="s">
        <v>1121</v>
      </c>
    </row>
    <row r="289" spans="2:9">
      <c r="B289" t="s">
        <v>1124</v>
      </c>
    </row>
    <row r="290" spans="2:9">
      <c r="B290" t="s">
        <v>1125</v>
      </c>
      <c r="G290" t="s">
        <v>565</v>
      </c>
      <c r="H290" s="19" t="s">
        <v>1127</v>
      </c>
      <c r="I290" s="19"/>
    </row>
    <row r="293" spans="2:9">
      <c r="B293" t="s">
        <v>1128</v>
      </c>
    </row>
    <row r="294" spans="2:9">
      <c r="B294" t="s">
        <v>1129</v>
      </c>
    </row>
    <row r="295" spans="2:9">
      <c r="B295" s="19"/>
      <c r="C295" s="638"/>
      <c r="D295" s="19"/>
      <c r="G295" t="s">
        <v>1131</v>
      </c>
      <c r="H295" s="19"/>
      <c r="I295" s="19"/>
    </row>
    <row r="297" spans="2:9">
      <c r="B297" s="19"/>
      <c r="C297" s="638"/>
      <c r="D297" s="19"/>
      <c r="H297" s="19"/>
      <c r="I297" s="19"/>
    </row>
    <row r="299" spans="2:9">
      <c r="B299" t="s">
        <v>1130</v>
      </c>
      <c r="G299" t="s">
        <v>565</v>
      </c>
      <c r="H299" s="19"/>
      <c r="I299" s="19"/>
    </row>
    <row r="300" spans="2:9">
      <c r="B300" s="19"/>
      <c r="C300" s="638"/>
      <c r="D300" s="19"/>
    </row>
    <row r="302" spans="2:9">
      <c r="G302" t="s">
        <v>565</v>
      </c>
      <c r="H302" s="19"/>
      <c r="I302" s="19"/>
    </row>
    <row r="303" spans="2:9">
      <c r="B303" s="19"/>
      <c r="C303" s="638"/>
      <c r="D303" s="19"/>
    </row>
    <row r="306" spans="2:9">
      <c r="B306" t="s">
        <v>1132</v>
      </c>
    </row>
    <row r="307" spans="2:9">
      <c r="G307" t="s">
        <v>565</v>
      </c>
      <c r="H307" s="19"/>
      <c r="I307" s="19"/>
    </row>
    <row r="308" spans="2:9">
      <c r="B308" s="19"/>
      <c r="C308" s="638"/>
      <c r="D308" s="19"/>
    </row>
    <row r="313" spans="2:9">
      <c r="B313" t="s">
        <v>1133</v>
      </c>
    </row>
    <row r="314" spans="2:9">
      <c r="B314" t="s">
        <v>1134</v>
      </c>
    </row>
    <row r="315" spans="2:9">
      <c r="G315" t="s">
        <v>565</v>
      </c>
      <c r="H315" s="19"/>
      <c r="I315" s="19"/>
    </row>
    <row r="316" spans="2:9">
      <c r="B316" s="19"/>
      <c r="C316" s="638"/>
      <c r="D316" s="19"/>
      <c r="G316" t="s">
        <v>1131</v>
      </c>
      <c r="H316" s="18"/>
      <c r="I316" s="18"/>
    </row>
    <row r="319" spans="2:9">
      <c r="B319" t="s">
        <v>1135</v>
      </c>
      <c r="G319" t="s">
        <v>1102</v>
      </c>
      <c r="H319" s="19" t="s">
        <v>1136</v>
      </c>
      <c r="I319" s="19"/>
    </row>
    <row r="322" spans="2:9">
      <c r="B322" t="s">
        <v>1137</v>
      </c>
    </row>
    <row r="323" spans="2:9">
      <c r="B323" s="19"/>
      <c r="C323" s="638"/>
      <c r="D323" s="19"/>
      <c r="E323" t="s">
        <v>1140</v>
      </c>
      <c r="G323" t="s">
        <v>565</v>
      </c>
      <c r="H323" s="19"/>
      <c r="I323" s="19"/>
    </row>
    <row r="325" spans="2:9">
      <c r="B325" s="19"/>
      <c r="C325" s="638"/>
      <c r="D325" s="19"/>
      <c r="E325" t="s">
        <v>1138</v>
      </c>
      <c r="G325" t="s">
        <v>565</v>
      </c>
      <c r="H325" s="19"/>
      <c r="I325" s="19"/>
    </row>
    <row r="328" spans="2:9">
      <c r="B328" t="s">
        <v>1141</v>
      </c>
    </row>
    <row r="329" spans="2:9">
      <c r="G329" t="s">
        <v>1102</v>
      </c>
      <c r="H329" s="19"/>
      <c r="I329" s="19"/>
    </row>
    <row r="330" spans="2:9">
      <c r="G330" t="s">
        <v>565</v>
      </c>
      <c r="H330" s="18"/>
      <c r="I330" s="18"/>
    </row>
    <row r="331" spans="2:9">
      <c r="G331" t="s">
        <v>1080</v>
      </c>
      <c r="H331" s="18"/>
      <c r="I331" s="18"/>
    </row>
    <row r="332" spans="2:9">
      <c r="B332" s="19"/>
      <c r="C332" s="638"/>
      <c r="D332" s="19"/>
      <c r="G332" t="s">
        <v>1142</v>
      </c>
      <c r="H332" s="18"/>
      <c r="I332" s="18"/>
    </row>
    <row r="333" spans="2:9">
      <c r="G333" t="s">
        <v>1102</v>
      </c>
      <c r="H333" s="19"/>
      <c r="I333" s="19"/>
    </row>
    <row r="334" spans="2:9">
      <c r="G334" t="s">
        <v>565</v>
      </c>
      <c r="H334" s="18"/>
      <c r="I334" s="18"/>
    </row>
    <row r="335" spans="2:9">
      <c r="G335" t="s">
        <v>1080</v>
      </c>
      <c r="H335" s="18"/>
      <c r="I335" s="18"/>
    </row>
    <row r="336" spans="2:9">
      <c r="B336" s="19"/>
      <c r="C336" s="638"/>
      <c r="D336" s="19"/>
      <c r="G336" t="s">
        <v>1142</v>
      </c>
      <c r="H336" s="18"/>
      <c r="I336" s="18"/>
    </row>
    <row r="337" spans="2:9">
      <c r="G337" t="s">
        <v>1102</v>
      </c>
      <c r="H337" s="19"/>
      <c r="I337" s="19"/>
    </row>
    <row r="338" spans="2:9">
      <c r="G338" t="s">
        <v>565</v>
      </c>
      <c r="H338" s="18"/>
      <c r="I338" s="18"/>
    </row>
    <row r="339" spans="2:9">
      <c r="G339" t="s">
        <v>1080</v>
      </c>
      <c r="H339" s="18"/>
      <c r="I339" s="18"/>
    </row>
    <row r="340" spans="2:9">
      <c r="B340" s="19"/>
      <c r="C340" s="638"/>
      <c r="D340" s="19"/>
      <c r="G340" t="s">
        <v>1142</v>
      </c>
      <c r="H340" s="18"/>
      <c r="I340" s="18"/>
    </row>
    <row r="341" spans="2:9">
      <c r="G341" t="s">
        <v>1102</v>
      </c>
      <c r="H341" s="19"/>
      <c r="I341" s="19"/>
    </row>
    <row r="342" spans="2:9">
      <c r="G342" t="s">
        <v>565</v>
      </c>
      <c r="H342" s="18"/>
      <c r="I342" s="18"/>
    </row>
    <row r="343" spans="2:9">
      <c r="G343" t="s">
        <v>1080</v>
      </c>
      <c r="H343" s="18"/>
      <c r="I343" s="18"/>
    </row>
    <row r="344" spans="2:9">
      <c r="B344" s="19"/>
      <c r="C344" s="638"/>
      <c r="D344" s="19"/>
      <c r="G344" t="s">
        <v>1142</v>
      </c>
      <c r="H344" s="18"/>
      <c r="I344" s="18"/>
    </row>
    <row r="345" spans="2:9">
      <c r="G345" t="s">
        <v>1102</v>
      </c>
      <c r="H345" s="19"/>
      <c r="I345" s="19"/>
    </row>
    <row r="346" spans="2:9">
      <c r="G346" t="s">
        <v>565</v>
      </c>
      <c r="H346" s="18"/>
      <c r="I346" s="18"/>
    </row>
    <row r="347" spans="2:9">
      <c r="G347" t="s">
        <v>1080</v>
      </c>
      <c r="H347" s="18"/>
      <c r="I347" s="18"/>
    </row>
    <row r="348" spans="2:9">
      <c r="B348" s="19"/>
      <c r="C348" s="638"/>
      <c r="D348" s="19"/>
      <c r="G348" t="s">
        <v>1142</v>
      </c>
      <c r="H348" s="18"/>
      <c r="I348" s="18"/>
    </row>
    <row r="349" spans="2:9">
      <c r="G349" t="s">
        <v>1102</v>
      </c>
      <c r="H349" s="19"/>
      <c r="I349" s="19"/>
    </row>
    <row r="350" spans="2:9">
      <c r="G350" t="s">
        <v>565</v>
      </c>
      <c r="H350" s="18"/>
      <c r="I350" s="18"/>
    </row>
    <row r="351" spans="2:9">
      <c r="G351" t="s">
        <v>1080</v>
      </c>
      <c r="H351" s="18"/>
      <c r="I351" s="18"/>
    </row>
    <row r="352" spans="2:9">
      <c r="B352" s="19"/>
      <c r="C352" s="638"/>
      <c r="D352" s="19"/>
      <c r="G352" t="s">
        <v>1142</v>
      </c>
      <c r="H352" s="18"/>
      <c r="I352" s="18"/>
    </row>
    <row r="353" spans="2:9">
      <c r="G353" t="s">
        <v>1102</v>
      </c>
      <c r="H353" s="19"/>
      <c r="I353" s="19"/>
    </row>
    <row r="354" spans="2:9">
      <c r="G354" t="s">
        <v>565</v>
      </c>
      <c r="H354" s="18"/>
      <c r="I354" s="18"/>
    </row>
    <row r="355" spans="2:9">
      <c r="G355" t="s">
        <v>1080</v>
      </c>
      <c r="H355" s="18"/>
      <c r="I355" s="18"/>
    </row>
    <row r="356" spans="2:9">
      <c r="B356" s="19"/>
      <c r="C356" s="638"/>
      <c r="D356" s="19"/>
      <c r="G356" t="s">
        <v>1142</v>
      </c>
      <c r="H356" s="18"/>
      <c r="I356" s="18"/>
    </row>
    <row r="357" spans="2:9">
      <c r="G357" t="s">
        <v>1102</v>
      </c>
      <c r="H357" s="19"/>
      <c r="I357" s="19"/>
    </row>
    <row r="358" spans="2:9">
      <c r="G358" t="s">
        <v>565</v>
      </c>
      <c r="H358" s="18"/>
      <c r="I358" s="18"/>
    </row>
    <row r="359" spans="2:9">
      <c r="G359" t="s">
        <v>1080</v>
      </c>
      <c r="H359" s="18"/>
      <c r="I359" s="18"/>
    </row>
    <row r="360" spans="2:9">
      <c r="B360" s="19"/>
      <c r="C360" s="638"/>
      <c r="D360" s="19"/>
      <c r="G360" t="s">
        <v>1142</v>
      </c>
      <c r="H360" s="18"/>
      <c r="I360" s="18"/>
    </row>
    <row r="365" spans="2:9">
      <c r="B365" t="s">
        <v>1143</v>
      </c>
    </row>
    <row r="367" spans="2:9">
      <c r="B367" t="s">
        <v>1144</v>
      </c>
    </row>
    <row r="369" spans="2:9">
      <c r="B369" t="s">
        <v>1147</v>
      </c>
      <c r="C369" s="638"/>
      <c r="D369" s="19"/>
      <c r="E369" s="19"/>
      <c r="G369" t="s">
        <v>565</v>
      </c>
      <c r="H369" s="19"/>
      <c r="I369" s="19"/>
    </row>
    <row r="370" spans="2:9">
      <c r="G370" t="s">
        <v>1145</v>
      </c>
      <c r="H370" s="18"/>
      <c r="I370" s="18"/>
    </row>
    <row r="371" spans="2:9">
      <c r="G371" t="s">
        <v>1102</v>
      </c>
      <c r="H371" s="18"/>
      <c r="I371" s="18"/>
    </row>
    <row r="372" spans="2:9">
      <c r="G372" t="s">
        <v>564</v>
      </c>
      <c r="H372" s="18" t="s">
        <v>1146</v>
      </c>
      <c r="I372" s="18"/>
    </row>
    <row r="374" spans="2:9">
      <c r="B374" t="s">
        <v>1148</v>
      </c>
    </row>
    <row r="376" spans="2:9">
      <c r="B376" t="s">
        <v>1147</v>
      </c>
      <c r="C376" s="638"/>
      <c r="D376" s="19"/>
      <c r="E376" s="19"/>
      <c r="G376" t="s">
        <v>565</v>
      </c>
      <c r="H376" s="19"/>
      <c r="I376" s="19"/>
    </row>
    <row r="377" spans="2:9">
      <c r="G377" t="s">
        <v>565</v>
      </c>
      <c r="H377" s="18"/>
      <c r="I377" s="18"/>
    </row>
    <row r="379" spans="2:9">
      <c r="B379" t="s">
        <v>1149</v>
      </c>
    </row>
    <row r="381" spans="2:9">
      <c r="B381" t="s">
        <v>1147</v>
      </c>
      <c r="C381" s="638"/>
      <c r="D381" s="19"/>
      <c r="E381" s="19"/>
      <c r="G381" t="s">
        <v>565</v>
      </c>
      <c r="H381" s="19"/>
      <c r="I381" s="19"/>
    </row>
    <row r="382" spans="2:9">
      <c r="G382" t="s">
        <v>565</v>
      </c>
      <c r="H382" s="18"/>
      <c r="I382" s="18"/>
    </row>
    <row r="383" spans="2:9">
      <c r="G383" t="s">
        <v>1150</v>
      </c>
      <c r="H383" s="18"/>
      <c r="I383" s="18"/>
    </row>
    <row r="385" spans="2:9">
      <c r="B385" t="s">
        <v>1151</v>
      </c>
    </row>
    <row r="387" spans="2:9">
      <c r="B387" t="s">
        <v>1152</v>
      </c>
    </row>
    <row r="388" spans="2:9">
      <c r="C388" s="123" t="s">
        <v>1153</v>
      </c>
      <c r="G388" t="s">
        <v>1102</v>
      </c>
      <c r="H388" s="19" t="s">
        <v>1154</v>
      </c>
      <c r="I388" s="19"/>
    </row>
    <row r="389" spans="2:9">
      <c r="C389" s="123" t="s">
        <v>1156</v>
      </c>
      <c r="G389" t="s">
        <v>1102</v>
      </c>
      <c r="H389" s="18" t="s">
        <v>1155</v>
      </c>
      <c r="I389" s="18"/>
    </row>
    <row r="391" spans="2:9">
      <c r="B391" t="s">
        <v>1157</v>
      </c>
    </row>
    <row r="392" spans="2:9">
      <c r="C392" s="123" t="s">
        <v>1158</v>
      </c>
      <c r="G392" t="s">
        <v>1102</v>
      </c>
      <c r="H392" s="19" t="s">
        <v>1160</v>
      </c>
      <c r="I392" s="19"/>
    </row>
    <row r="393" spans="2:9">
      <c r="C393" s="123" t="s">
        <v>1159</v>
      </c>
      <c r="G393" t="s">
        <v>1102</v>
      </c>
      <c r="H393" s="18" t="s">
        <v>1161</v>
      </c>
      <c r="I393" s="18"/>
    </row>
    <row r="395" spans="2:9">
      <c r="B395" t="s">
        <v>1162</v>
      </c>
    </row>
    <row r="396" spans="2:9">
      <c r="C396" s="638"/>
      <c r="D396" s="19"/>
      <c r="E396" s="19"/>
      <c r="G396" t="s">
        <v>1102</v>
      </c>
      <c r="H396" s="19"/>
      <c r="I396" s="19"/>
    </row>
    <row r="397" spans="2:9">
      <c r="C397" s="644"/>
      <c r="D397" s="18"/>
      <c r="E397" s="18"/>
      <c r="G397" t="s">
        <v>1102</v>
      </c>
      <c r="H397" s="18"/>
      <c r="I397" s="18"/>
    </row>
    <row r="398" spans="2:9">
      <c r="C398" s="644"/>
      <c r="D398" s="18"/>
      <c r="E398" s="18"/>
      <c r="G398" t="s">
        <v>1102</v>
      </c>
      <c r="H398" s="18"/>
      <c r="I398" s="18"/>
    </row>
    <row r="400" spans="2:9">
      <c r="B400" t="s">
        <v>1163</v>
      </c>
    </row>
    <row r="401" spans="2:9">
      <c r="C401" s="123" t="s">
        <v>1164</v>
      </c>
      <c r="G401" t="s">
        <v>1102</v>
      </c>
      <c r="H401" s="19" t="s">
        <v>1166</v>
      </c>
      <c r="I401" s="19"/>
    </row>
    <row r="402" spans="2:9">
      <c r="C402" s="123" t="s">
        <v>1165</v>
      </c>
      <c r="G402" t="s">
        <v>1102</v>
      </c>
      <c r="H402" s="18" t="s">
        <v>1167</v>
      </c>
      <c r="I402" s="18"/>
    </row>
    <row r="404" spans="2:9">
      <c r="B404" t="s">
        <v>1168</v>
      </c>
    </row>
    <row r="405" spans="2:9">
      <c r="C405" s="638"/>
      <c r="D405" s="19"/>
      <c r="E405" s="19"/>
    </row>
    <row r="406" spans="2:9">
      <c r="B406" t="s">
        <v>1169</v>
      </c>
      <c r="C406" s="644"/>
      <c r="D406" s="18"/>
      <c r="E406" s="18"/>
      <c r="G406" t="s">
        <v>565</v>
      </c>
      <c r="H406" s="19"/>
      <c r="I406" s="19"/>
    </row>
    <row r="409" spans="2:9">
      <c r="B409" t="s">
        <v>1170</v>
      </c>
      <c r="H409" s="19"/>
      <c r="I409" s="19"/>
    </row>
    <row r="410" spans="2:9">
      <c r="H410" s="18"/>
      <c r="I410" s="18"/>
    </row>
    <row r="411" spans="2:9">
      <c r="H411" s="18"/>
      <c r="I411" s="18"/>
    </row>
    <row r="412" spans="2:9">
      <c r="H412" s="18"/>
      <c r="I412" s="18"/>
    </row>
    <row r="413" spans="2:9">
      <c r="H413" s="18"/>
      <c r="I413" s="18"/>
    </row>
    <row r="417" spans="2:2">
      <c r="B417" t="s">
        <v>1171</v>
      </c>
    </row>
    <row r="469" spans="1:2">
      <c r="A469" s="637">
        <v>2</v>
      </c>
      <c r="B469" t="s">
        <v>1015</v>
      </c>
    </row>
    <row r="471" spans="1:2">
      <c r="B471" t="s">
        <v>1172</v>
      </c>
    </row>
    <row r="473" spans="1:2">
      <c r="B473" t="s">
        <v>1173</v>
      </c>
    </row>
    <row r="475" spans="1:2">
      <c r="A475" s="637">
        <v>2.1</v>
      </c>
      <c r="B475" t="s">
        <v>1016</v>
      </c>
    </row>
    <row r="477" spans="1:2">
      <c r="B477" t="s">
        <v>1174</v>
      </c>
    </row>
    <row r="478" spans="1:2">
      <c r="B478" t="s">
        <v>1175</v>
      </c>
    </row>
    <row r="479" spans="1:2">
      <c r="B479" t="s">
        <v>1176</v>
      </c>
    </row>
    <row r="480" spans="1:2">
      <c r="B480" t="s">
        <v>1177</v>
      </c>
    </row>
    <row r="481" spans="1:2">
      <c r="B481" t="s">
        <v>1178</v>
      </c>
    </row>
    <row r="482" spans="1:2">
      <c r="B482" t="s">
        <v>1179</v>
      </c>
    </row>
    <row r="484" spans="1:2">
      <c r="A484" s="637">
        <v>2.2000000000000002</v>
      </c>
      <c r="B484" t="s">
        <v>1017</v>
      </c>
    </row>
    <row r="486" spans="1:2">
      <c r="B486" t="s">
        <v>1180</v>
      </c>
    </row>
    <row r="488" spans="1:2">
      <c r="B488" t="s">
        <v>1181</v>
      </c>
    </row>
    <row r="489" spans="1:2">
      <c r="B489" t="s">
        <v>1184</v>
      </c>
    </row>
    <row r="490" spans="1:2">
      <c r="B490" t="s">
        <v>1185</v>
      </c>
    </row>
    <row r="491" spans="1:2">
      <c r="B491" t="s">
        <v>1186</v>
      </c>
    </row>
    <row r="492" spans="1:2">
      <c r="B492" t="s">
        <v>1191</v>
      </c>
    </row>
    <row r="493" spans="1:2">
      <c r="B493" t="s">
        <v>1192</v>
      </c>
    </row>
    <row r="494" spans="1:2">
      <c r="B494" t="s">
        <v>1193</v>
      </c>
    </row>
    <row r="495" spans="1:2">
      <c r="B495" t="s">
        <v>1194</v>
      </c>
    </row>
    <row r="496" spans="1:2">
      <c r="B496" t="s">
        <v>1195</v>
      </c>
    </row>
    <row r="497" spans="2:3">
      <c r="B497" t="s">
        <v>1196</v>
      </c>
    </row>
    <row r="499" spans="2:3">
      <c r="B499" t="s">
        <v>1197</v>
      </c>
    </row>
    <row r="500" spans="2:3">
      <c r="B500" t="s">
        <v>1198</v>
      </c>
    </row>
    <row r="501" spans="2:3">
      <c r="B501" t="s">
        <v>1199</v>
      </c>
    </row>
    <row r="503" spans="2:3">
      <c r="B503" t="s">
        <v>1200</v>
      </c>
    </row>
    <row r="505" spans="2:3">
      <c r="B505" t="s">
        <v>1202</v>
      </c>
    </row>
    <row r="506" spans="2:3">
      <c r="B506" t="s">
        <v>1203</v>
      </c>
    </row>
    <row r="507" spans="2:3">
      <c r="B507" t="s">
        <v>1206</v>
      </c>
    </row>
    <row r="508" spans="2:3">
      <c r="B508" t="s">
        <v>1217</v>
      </c>
    </row>
    <row r="510" spans="2:3">
      <c r="B510" t="s">
        <v>1218</v>
      </c>
    </row>
    <row r="512" spans="2:3">
      <c r="C512" s="123" t="s">
        <v>1219</v>
      </c>
    </row>
    <row r="513" spans="3:3">
      <c r="C513" s="123" t="s">
        <v>1220</v>
      </c>
    </row>
    <row r="514" spans="3:3">
      <c r="C514" s="123" t="s">
        <v>1221</v>
      </c>
    </row>
    <row r="515" spans="3:3">
      <c r="C515" s="123" t="s">
        <v>1222</v>
      </c>
    </row>
    <row r="516" spans="3:3">
      <c r="C516" s="123" t="s">
        <v>1223</v>
      </c>
    </row>
    <row r="518" spans="3:3">
      <c r="C518" s="123" t="s">
        <v>1224</v>
      </c>
    </row>
    <row r="519" spans="3:3">
      <c r="C519" s="123" t="s">
        <v>1225</v>
      </c>
    </row>
    <row r="520" spans="3:3">
      <c r="C520" s="123" t="s">
        <v>1226</v>
      </c>
    </row>
    <row r="521" spans="3:3">
      <c r="C521" s="123" t="s">
        <v>1227</v>
      </c>
    </row>
    <row r="522" spans="3:3">
      <c r="C522" s="123" t="s">
        <v>1230</v>
      </c>
    </row>
    <row r="523" spans="3:3">
      <c r="C523" s="123" t="s">
        <v>1228</v>
      </c>
    </row>
    <row r="524" spans="3:3">
      <c r="C524" s="123" t="s">
        <v>1229</v>
      </c>
    </row>
    <row r="525" spans="3:3">
      <c r="C525" s="123" t="s">
        <v>1231</v>
      </c>
    </row>
    <row r="526" spans="3:3">
      <c r="C526" s="123" t="s">
        <v>1232</v>
      </c>
    </row>
    <row r="527" spans="3:3">
      <c r="C527" s="123" t="s">
        <v>1233</v>
      </c>
    </row>
    <row r="528" spans="3:3">
      <c r="C528" s="123" t="s">
        <v>1234</v>
      </c>
    </row>
    <row r="530" spans="3:3">
      <c r="C530" s="123" t="s">
        <v>1235</v>
      </c>
    </row>
    <row r="531" spans="3:3">
      <c r="C531" s="123" t="s">
        <v>1236</v>
      </c>
    </row>
    <row r="532" spans="3:3">
      <c r="C532" s="123" t="s">
        <v>1237</v>
      </c>
    </row>
    <row r="533" spans="3:3">
      <c r="C533" s="123" t="s">
        <v>1238</v>
      </c>
    </row>
    <row r="534" spans="3:3">
      <c r="C534" s="123" t="s">
        <v>1239</v>
      </c>
    </row>
    <row r="535" spans="3:3">
      <c r="C535" s="123" t="s">
        <v>1240</v>
      </c>
    </row>
    <row r="536" spans="3:3">
      <c r="C536" s="123" t="s">
        <v>1241</v>
      </c>
    </row>
    <row r="537" spans="3:3">
      <c r="C537" s="123" t="s">
        <v>1242</v>
      </c>
    </row>
    <row r="539" spans="3:3">
      <c r="C539" s="123" t="s">
        <v>1247</v>
      </c>
    </row>
    <row r="540" spans="3:3">
      <c r="C540" s="123" t="s">
        <v>1248</v>
      </c>
    </row>
    <row r="541" spans="3:3">
      <c r="C541" s="123" t="s">
        <v>1237</v>
      </c>
    </row>
    <row r="542" spans="3:3">
      <c r="C542" s="123" t="s">
        <v>1252</v>
      </c>
    </row>
    <row r="543" spans="3:3">
      <c r="C543" s="123" t="s">
        <v>1253</v>
      </c>
    </row>
    <row r="544" spans="3:3">
      <c r="C544" s="123" t="s">
        <v>1254</v>
      </c>
    </row>
    <row r="545" spans="3:3">
      <c r="C545" s="123" t="s">
        <v>1255</v>
      </c>
    </row>
  </sheetData>
  <mergeCells count="8">
    <mergeCell ref="A53:I53"/>
    <mergeCell ref="B157:I157"/>
    <mergeCell ref="G209:I209"/>
    <mergeCell ref="A6:I8"/>
    <mergeCell ref="A9:B11"/>
    <mergeCell ref="C11:I11"/>
    <mergeCell ref="A13:B15"/>
    <mergeCell ref="C15:I15"/>
  </mergeCells>
  <phoneticPr fontId="0" type="noConversion"/>
  <hyperlinks>
    <hyperlink ref="H214" r:id="rId1" xr:uid="{A1EAAF2E-1C6C-4224-95EC-74C44CEC6FCF}"/>
  </hyperlinks>
  <pageMargins left="0.75" right="0.75" top="1" bottom="1" header="0.5" footer="0.5"/>
  <pageSetup orientation="portrait" horizontalDpi="360"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70657" r:id="rId5" name="Button 1">
              <controlPr defaultSize="0" print="0" autoFill="0" autoPict="0" macro="[0]!BACKTOMENU">
                <anchor moveWithCells="1">
                  <from>
                    <xdr:col>4</xdr:col>
                    <xdr:colOff>424543</xdr:colOff>
                    <xdr:row>2</xdr:row>
                    <xdr:rowOff>114300</xdr:rowOff>
                  </from>
                  <to>
                    <xdr:col>5</xdr:col>
                    <xdr:colOff>326571</xdr:colOff>
                    <xdr:row>4</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03498-FE3A-43C6-AD05-1D4816735D6D}">
  <sheetPr codeName="Sheet5"/>
  <dimension ref="A1:M402"/>
  <sheetViews>
    <sheetView showGridLines="0" showZeros="0" zoomScaleNormal="100" zoomScaleSheetLayoutView="120" workbookViewId="0">
      <selection activeCell="A4" sqref="A4"/>
    </sheetView>
  </sheetViews>
  <sheetFormatPr defaultColWidth="9.15234375" defaultRowHeight="13.1"/>
  <cols>
    <col min="1" max="16384" width="9.15234375" style="22"/>
  </cols>
  <sheetData>
    <row r="1" spans="1:13">
      <c r="A1" s="298" t="s">
        <v>621</v>
      </c>
      <c r="B1" s="299"/>
      <c r="C1" s="299"/>
      <c r="D1" s="299"/>
      <c r="E1" s="299"/>
      <c r="F1" s="299"/>
      <c r="G1" s="299"/>
      <c r="H1" s="299"/>
      <c r="I1" s="299"/>
      <c r="J1" s="299"/>
      <c r="K1" s="299"/>
      <c r="L1" s="299"/>
      <c r="M1" s="300"/>
    </row>
    <row r="2" spans="1:13">
      <c r="A2" s="301"/>
      <c r="M2" s="302"/>
    </row>
    <row r="3" spans="1:13">
      <c r="A3" s="301"/>
      <c r="M3" s="302"/>
    </row>
    <row r="4" spans="1:13">
      <c r="A4" s="301"/>
      <c r="M4" s="302"/>
    </row>
    <row r="5" spans="1:13">
      <c r="A5" s="301"/>
      <c r="M5" s="302"/>
    </row>
    <row r="6" spans="1:13">
      <c r="A6" s="301"/>
      <c r="M6" s="302"/>
    </row>
    <row r="7" spans="1:13">
      <c r="A7" s="301"/>
      <c r="M7" s="302"/>
    </row>
    <row r="8" spans="1:13">
      <c r="A8" s="301"/>
      <c r="M8" s="302"/>
    </row>
    <row r="9" spans="1:13">
      <c r="A9" s="301"/>
      <c r="M9" s="302"/>
    </row>
    <row r="10" spans="1:13">
      <c r="A10" s="301"/>
      <c r="M10" s="302"/>
    </row>
    <row r="11" spans="1:13">
      <c r="A11" s="301"/>
      <c r="M11" s="302"/>
    </row>
    <row r="12" spans="1:13">
      <c r="A12" s="301"/>
      <c r="M12" s="302"/>
    </row>
    <row r="13" spans="1:13">
      <c r="A13" s="301"/>
      <c r="M13" s="302"/>
    </row>
    <row r="14" spans="1:13">
      <c r="A14" s="301"/>
      <c r="M14" s="302"/>
    </row>
    <row r="15" spans="1:13">
      <c r="A15" s="301"/>
      <c r="M15" s="302"/>
    </row>
    <row r="16" spans="1:13">
      <c r="A16" s="301"/>
      <c r="M16" s="302"/>
    </row>
    <row r="17" spans="1:13">
      <c r="A17" s="301"/>
      <c r="M17" s="302"/>
    </row>
    <row r="18" spans="1:13">
      <c r="A18" s="301"/>
      <c r="M18" s="302"/>
    </row>
    <row r="19" spans="1:13">
      <c r="A19" s="301"/>
      <c r="M19" s="302"/>
    </row>
    <row r="20" spans="1:13">
      <c r="A20" s="301"/>
      <c r="M20" s="302"/>
    </row>
    <row r="21" spans="1:13">
      <c r="A21" s="301"/>
      <c r="M21" s="302"/>
    </row>
    <row r="22" spans="1:13">
      <c r="A22" s="301"/>
      <c r="M22" s="302"/>
    </row>
    <row r="23" spans="1:13">
      <c r="A23" s="301"/>
      <c r="M23" s="302"/>
    </row>
    <row r="24" spans="1:13">
      <c r="A24" s="301"/>
      <c r="M24" s="302"/>
    </row>
    <row r="25" spans="1:13">
      <c r="A25" s="301"/>
      <c r="M25" s="302"/>
    </row>
    <row r="26" spans="1:13">
      <c r="A26" s="301"/>
      <c r="M26" s="302"/>
    </row>
    <row r="27" spans="1:13">
      <c r="A27" s="301"/>
      <c r="M27" s="302"/>
    </row>
    <row r="28" spans="1:13">
      <c r="A28" s="301"/>
      <c r="M28" s="302"/>
    </row>
    <row r="29" spans="1:13">
      <c r="A29" s="301"/>
      <c r="M29" s="302"/>
    </row>
    <row r="30" spans="1:13">
      <c r="A30" s="301"/>
      <c r="M30" s="302"/>
    </row>
    <row r="31" spans="1:13">
      <c r="A31" s="301"/>
      <c r="M31" s="302"/>
    </row>
    <row r="32" spans="1:13">
      <c r="A32" s="301"/>
      <c r="M32" s="302"/>
    </row>
    <row r="33" spans="1:13">
      <c r="A33" s="301"/>
      <c r="M33" s="302"/>
    </row>
    <row r="34" spans="1:13">
      <c r="A34" s="301"/>
      <c r="M34" s="302"/>
    </row>
    <row r="35" spans="1:13">
      <c r="A35" s="301"/>
      <c r="M35" s="302"/>
    </row>
    <row r="36" spans="1:13">
      <c r="A36" s="301"/>
      <c r="M36" s="302"/>
    </row>
    <row r="37" spans="1:13">
      <c r="A37" s="301"/>
      <c r="M37" s="302"/>
    </row>
    <row r="38" spans="1:13">
      <c r="A38" s="301"/>
      <c r="M38" s="302"/>
    </row>
    <row r="39" spans="1:13">
      <c r="A39" s="301"/>
      <c r="M39" s="302"/>
    </row>
    <row r="40" spans="1:13">
      <c r="A40" s="301"/>
      <c r="M40" s="302"/>
    </row>
    <row r="41" spans="1:13">
      <c r="A41" s="301"/>
      <c r="M41" s="302"/>
    </row>
    <row r="42" spans="1:13">
      <c r="A42" s="301"/>
      <c r="M42" s="302"/>
    </row>
    <row r="43" spans="1:13">
      <c r="A43" s="301"/>
      <c r="M43" s="302"/>
    </row>
    <row r="44" spans="1:13">
      <c r="A44" s="301"/>
      <c r="M44" s="302"/>
    </row>
    <row r="45" spans="1:13">
      <c r="A45" s="301"/>
      <c r="M45" s="302"/>
    </row>
    <row r="46" spans="1:13">
      <c r="A46" s="301"/>
      <c r="M46" s="302"/>
    </row>
    <row r="47" spans="1:13">
      <c r="A47" s="301"/>
      <c r="M47" s="302"/>
    </row>
    <row r="48" spans="1:13">
      <c r="A48" s="301"/>
      <c r="M48" s="302"/>
    </row>
    <row r="49" spans="1:13">
      <c r="A49" s="301"/>
      <c r="M49" s="302"/>
    </row>
    <row r="50" spans="1:13">
      <c r="A50" s="301"/>
      <c r="M50" s="302"/>
    </row>
    <row r="51" spans="1:13">
      <c r="A51" s="301"/>
      <c r="M51" s="302"/>
    </row>
    <row r="52" spans="1:13">
      <c r="A52" s="301"/>
      <c r="M52" s="302"/>
    </row>
    <row r="53" spans="1:13">
      <c r="A53" s="301"/>
      <c r="M53" s="302"/>
    </row>
    <row r="54" spans="1:13">
      <c r="A54" s="301"/>
      <c r="M54" s="302"/>
    </row>
    <row r="55" spans="1:13">
      <c r="A55" s="301"/>
      <c r="M55" s="302"/>
    </row>
    <row r="56" spans="1:13">
      <c r="A56" s="301"/>
      <c r="M56" s="302"/>
    </row>
    <row r="57" spans="1:13">
      <c r="A57" s="301"/>
      <c r="M57" s="302"/>
    </row>
    <row r="58" spans="1:13">
      <c r="A58" s="301"/>
      <c r="M58" s="302"/>
    </row>
    <row r="59" spans="1:13">
      <c r="A59" s="301"/>
      <c r="M59" s="302"/>
    </row>
    <row r="60" spans="1:13">
      <c r="A60" s="301"/>
      <c r="M60" s="302"/>
    </row>
    <row r="61" spans="1:13">
      <c r="A61" s="301"/>
      <c r="M61" s="302"/>
    </row>
    <row r="62" spans="1:13">
      <c r="A62" s="301"/>
      <c r="M62" s="302"/>
    </row>
    <row r="63" spans="1:13">
      <c r="A63" s="301"/>
      <c r="M63" s="302"/>
    </row>
    <row r="64" spans="1:13">
      <c r="A64" s="301"/>
      <c r="M64" s="302"/>
    </row>
    <row r="65" spans="1:13">
      <c r="A65" s="301"/>
      <c r="M65" s="302"/>
    </row>
    <row r="66" spans="1:13">
      <c r="A66" s="301"/>
      <c r="M66" s="302"/>
    </row>
    <row r="67" spans="1:13">
      <c r="A67" s="182"/>
      <c r="B67" s="183"/>
      <c r="C67" s="183"/>
      <c r="D67" s="183"/>
      <c r="E67" s="183"/>
      <c r="F67" s="183"/>
      <c r="G67" s="183"/>
      <c r="H67" s="183"/>
      <c r="I67" s="183"/>
      <c r="J67" s="183"/>
      <c r="K67" s="183"/>
      <c r="L67" s="183"/>
      <c r="M67" s="303"/>
    </row>
    <row r="68" spans="1:13">
      <c r="A68" s="298" t="s">
        <v>622</v>
      </c>
      <c r="B68" s="299"/>
      <c r="C68" s="299"/>
      <c r="D68" s="299"/>
      <c r="E68" s="299"/>
      <c r="F68" s="299"/>
      <c r="G68" s="299"/>
      <c r="H68" s="299"/>
      <c r="I68" s="299"/>
      <c r="J68" s="299"/>
      <c r="K68" s="299"/>
      <c r="L68" s="299"/>
      <c r="M68" s="300"/>
    </row>
    <row r="69" spans="1:13">
      <c r="A69" s="301"/>
      <c r="M69" s="302"/>
    </row>
    <row r="70" spans="1:13">
      <c r="A70" s="301"/>
      <c r="M70" s="302"/>
    </row>
    <row r="71" spans="1:13">
      <c r="A71" s="301"/>
      <c r="M71" s="302"/>
    </row>
    <row r="72" spans="1:13">
      <c r="A72" s="301"/>
      <c r="M72" s="302"/>
    </row>
    <row r="73" spans="1:13">
      <c r="A73" s="301"/>
      <c r="M73" s="302"/>
    </row>
    <row r="74" spans="1:13">
      <c r="A74" s="301"/>
      <c r="M74" s="302"/>
    </row>
    <row r="75" spans="1:13">
      <c r="A75" s="301"/>
      <c r="M75" s="302"/>
    </row>
    <row r="76" spans="1:13">
      <c r="A76" s="301"/>
      <c r="M76" s="302"/>
    </row>
    <row r="77" spans="1:13">
      <c r="A77" s="301"/>
      <c r="M77" s="302"/>
    </row>
    <row r="78" spans="1:13">
      <c r="A78" s="301"/>
      <c r="M78" s="302"/>
    </row>
    <row r="79" spans="1:13">
      <c r="A79" s="301"/>
      <c r="M79" s="302"/>
    </row>
    <row r="80" spans="1:13">
      <c r="A80" s="301"/>
      <c r="M80" s="302"/>
    </row>
    <row r="81" spans="1:13">
      <c r="A81" s="301"/>
      <c r="M81" s="302"/>
    </row>
    <row r="82" spans="1:13">
      <c r="A82" s="301"/>
      <c r="M82" s="302"/>
    </row>
    <row r="83" spans="1:13">
      <c r="A83" s="301"/>
      <c r="M83" s="302"/>
    </row>
    <row r="84" spans="1:13">
      <c r="A84" s="301"/>
      <c r="M84" s="302"/>
    </row>
    <row r="85" spans="1:13">
      <c r="A85" s="301"/>
      <c r="M85" s="302"/>
    </row>
    <row r="86" spans="1:13">
      <c r="A86" s="301"/>
      <c r="M86" s="302"/>
    </row>
    <row r="87" spans="1:13">
      <c r="A87" s="301"/>
      <c r="M87" s="302"/>
    </row>
    <row r="88" spans="1:13">
      <c r="A88" s="301"/>
      <c r="M88" s="302"/>
    </row>
    <row r="89" spans="1:13">
      <c r="A89" s="301"/>
      <c r="M89" s="302"/>
    </row>
    <row r="90" spans="1:13">
      <c r="A90" s="301"/>
      <c r="M90" s="302"/>
    </row>
    <row r="91" spans="1:13">
      <c r="A91" s="301"/>
      <c r="M91" s="302"/>
    </row>
    <row r="92" spans="1:13">
      <c r="A92" s="301"/>
      <c r="M92" s="302"/>
    </row>
    <row r="93" spans="1:13">
      <c r="A93" s="301"/>
      <c r="M93" s="302"/>
    </row>
    <row r="94" spans="1:13">
      <c r="A94" s="301"/>
      <c r="M94" s="302"/>
    </row>
    <row r="95" spans="1:13">
      <c r="A95" s="301"/>
      <c r="M95" s="302"/>
    </row>
    <row r="96" spans="1:13">
      <c r="A96" s="301"/>
      <c r="M96" s="302"/>
    </row>
    <row r="97" spans="1:13">
      <c r="A97" s="301"/>
      <c r="M97" s="302"/>
    </row>
    <row r="98" spans="1:13">
      <c r="A98" s="301"/>
      <c r="M98" s="302"/>
    </row>
    <row r="99" spans="1:13">
      <c r="A99" s="301"/>
      <c r="M99" s="302"/>
    </row>
    <row r="100" spans="1:13">
      <c r="A100" s="301"/>
      <c r="M100" s="302"/>
    </row>
    <row r="101" spans="1:13">
      <c r="A101" s="301"/>
      <c r="M101" s="302"/>
    </row>
    <row r="102" spans="1:13">
      <c r="A102" s="301"/>
      <c r="M102" s="302"/>
    </row>
    <row r="103" spans="1:13">
      <c r="A103" s="301"/>
      <c r="M103" s="302"/>
    </row>
    <row r="104" spans="1:13">
      <c r="A104" s="301"/>
      <c r="M104" s="302"/>
    </row>
    <row r="105" spans="1:13">
      <c r="A105" s="301"/>
      <c r="M105" s="302"/>
    </row>
    <row r="106" spans="1:13">
      <c r="A106" s="301"/>
      <c r="M106" s="302"/>
    </row>
    <row r="107" spans="1:13">
      <c r="A107" s="301"/>
      <c r="M107" s="302"/>
    </row>
    <row r="108" spans="1:13">
      <c r="A108" s="301"/>
      <c r="M108" s="302"/>
    </row>
    <row r="109" spans="1:13">
      <c r="A109" s="301"/>
      <c r="M109" s="302"/>
    </row>
    <row r="110" spans="1:13">
      <c r="A110" s="301"/>
      <c r="M110" s="302"/>
    </row>
    <row r="111" spans="1:13">
      <c r="A111" s="301"/>
      <c r="M111" s="302"/>
    </row>
    <row r="112" spans="1:13">
      <c r="A112" s="301"/>
      <c r="M112" s="302"/>
    </row>
    <row r="113" spans="1:13">
      <c r="A113" s="301"/>
      <c r="M113" s="302"/>
    </row>
    <row r="114" spans="1:13">
      <c r="A114" s="301"/>
      <c r="M114" s="302"/>
    </row>
    <row r="115" spans="1:13">
      <c r="A115" s="301"/>
      <c r="M115" s="302"/>
    </row>
    <row r="116" spans="1:13">
      <c r="A116" s="301"/>
      <c r="M116" s="302"/>
    </row>
    <row r="117" spans="1:13">
      <c r="A117" s="301"/>
      <c r="M117" s="302"/>
    </row>
    <row r="118" spans="1:13">
      <c r="A118" s="301"/>
      <c r="M118" s="302"/>
    </row>
    <row r="119" spans="1:13">
      <c r="A119" s="301"/>
      <c r="M119" s="302"/>
    </row>
    <row r="120" spans="1:13">
      <c r="A120" s="301"/>
      <c r="M120" s="302"/>
    </row>
    <row r="121" spans="1:13">
      <c r="A121" s="301"/>
      <c r="M121" s="302"/>
    </row>
    <row r="122" spans="1:13">
      <c r="A122" s="301"/>
      <c r="M122" s="302"/>
    </row>
    <row r="123" spans="1:13">
      <c r="A123" s="301"/>
      <c r="M123" s="302"/>
    </row>
    <row r="124" spans="1:13">
      <c r="A124" s="301"/>
      <c r="M124" s="302"/>
    </row>
    <row r="125" spans="1:13">
      <c r="A125" s="301"/>
      <c r="M125" s="302"/>
    </row>
    <row r="126" spans="1:13">
      <c r="A126" s="301"/>
      <c r="M126" s="302"/>
    </row>
    <row r="127" spans="1:13">
      <c r="A127" s="301"/>
      <c r="M127" s="302"/>
    </row>
    <row r="128" spans="1:13">
      <c r="A128" s="301"/>
      <c r="M128" s="302"/>
    </row>
    <row r="129" spans="1:13">
      <c r="A129" s="301"/>
      <c r="M129" s="302"/>
    </row>
    <row r="130" spans="1:13">
      <c r="A130" s="301"/>
      <c r="M130" s="302"/>
    </row>
    <row r="131" spans="1:13">
      <c r="A131" s="301"/>
      <c r="M131" s="302"/>
    </row>
    <row r="132" spans="1:13">
      <c r="A132" s="301"/>
      <c r="M132" s="302"/>
    </row>
    <row r="133" spans="1:13">
      <c r="A133" s="301"/>
      <c r="M133" s="302"/>
    </row>
    <row r="134" spans="1:13">
      <c r="A134" s="182"/>
      <c r="B134" s="183"/>
      <c r="C134" s="183"/>
      <c r="D134" s="183"/>
      <c r="E134" s="183"/>
      <c r="F134" s="183"/>
      <c r="G134" s="183"/>
      <c r="H134" s="183"/>
      <c r="I134" s="183"/>
      <c r="J134" s="183"/>
      <c r="K134" s="183"/>
      <c r="L134" s="183"/>
      <c r="M134" s="303"/>
    </row>
    <row r="135" spans="1:13">
      <c r="A135" s="298" t="s">
        <v>338</v>
      </c>
      <c r="B135" s="299"/>
      <c r="C135" s="299"/>
      <c r="D135" s="299"/>
      <c r="E135" s="299"/>
      <c r="F135" s="299"/>
      <c r="G135" s="299"/>
      <c r="H135" s="299"/>
      <c r="I135" s="299"/>
      <c r="J135" s="299"/>
      <c r="K135" s="299"/>
      <c r="L135" s="299"/>
      <c r="M135" s="300"/>
    </row>
    <row r="136" spans="1:13">
      <c r="A136" s="301"/>
      <c r="M136" s="302"/>
    </row>
    <row r="137" spans="1:13">
      <c r="A137" s="301"/>
      <c r="M137" s="302"/>
    </row>
    <row r="138" spans="1:13">
      <c r="A138" s="301"/>
      <c r="M138" s="302"/>
    </row>
    <row r="139" spans="1:13">
      <c r="A139" s="301"/>
      <c r="M139" s="302"/>
    </row>
    <row r="140" spans="1:13">
      <c r="A140" s="301"/>
      <c r="M140" s="302"/>
    </row>
    <row r="141" spans="1:13">
      <c r="A141" s="301"/>
      <c r="M141" s="302"/>
    </row>
    <row r="142" spans="1:13">
      <c r="A142" s="301"/>
      <c r="M142" s="302"/>
    </row>
    <row r="143" spans="1:13">
      <c r="A143" s="301"/>
      <c r="M143" s="302"/>
    </row>
    <row r="144" spans="1:13">
      <c r="A144" s="301"/>
      <c r="M144" s="302"/>
    </row>
    <row r="145" spans="1:13">
      <c r="A145" s="301"/>
      <c r="M145" s="302"/>
    </row>
    <row r="146" spans="1:13">
      <c r="A146" s="301"/>
      <c r="M146" s="302"/>
    </row>
    <row r="147" spans="1:13">
      <c r="A147" s="301"/>
      <c r="M147" s="302"/>
    </row>
    <row r="148" spans="1:13">
      <c r="A148" s="301"/>
      <c r="M148" s="302"/>
    </row>
    <row r="149" spans="1:13">
      <c r="A149" s="301"/>
      <c r="M149" s="302"/>
    </row>
    <row r="150" spans="1:13">
      <c r="A150" s="301"/>
      <c r="M150" s="302"/>
    </row>
    <row r="151" spans="1:13">
      <c r="A151" s="301"/>
      <c r="M151" s="302"/>
    </row>
    <row r="152" spans="1:13">
      <c r="A152" s="301"/>
      <c r="M152" s="302"/>
    </row>
    <row r="153" spans="1:13">
      <c r="A153" s="301"/>
      <c r="M153" s="302"/>
    </row>
    <row r="154" spans="1:13">
      <c r="A154" s="301"/>
      <c r="M154" s="302"/>
    </row>
    <row r="155" spans="1:13">
      <c r="A155" s="301"/>
      <c r="M155" s="302"/>
    </row>
    <row r="156" spans="1:13">
      <c r="A156" s="301"/>
      <c r="M156" s="302"/>
    </row>
    <row r="157" spans="1:13">
      <c r="A157" s="301"/>
      <c r="M157" s="302"/>
    </row>
    <row r="158" spans="1:13">
      <c r="A158" s="301"/>
      <c r="M158" s="302"/>
    </row>
    <row r="159" spans="1:13">
      <c r="A159" s="301"/>
      <c r="M159" s="302"/>
    </row>
    <row r="160" spans="1:13">
      <c r="A160" s="301"/>
      <c r="M160" s="302"/>
    </row>
    <row r="161" spans="1:13">
      <c r="A161" s="301"/>
      <c r="M161" s="302"/>
    </row>
    <row r="162" spans="1:13">
      <c r="A162" s="301"/>
      <c r="M162" s="302"/>
    </row>
    <row r="163" spans="1:13">
      <c r="A163" s="301"/>
      <c r="M163" s="302"/>
    </row>
    <row r="164" spans="1:13">
      <c r="A164" s="301"/>
      <c r="M164" s="302"/>
    </row>
    <row r="165" spans="1:13">
      <c r="A165" s="301"/>
      <c r="M165" s="302"/>
    </row>
    <row r="166" spans="1:13">
      <c r="A166" s="301"/>
      <c r="M166" s="302"/>
    </row>
    <row r="167" spans="1:13">
      <c r="A167" s="301"/>
      <c r="M167" s="302"/>
    </row>
    <row r="168" spans="1:13">
      <c r="A168" s="301"/>
      <c r="M168" s="302"/>
    </row>
    <row r="169" spans="1:13">
      <c r="A169" s="301"/>
      <c r="M169" s="302"/>
    </row>
    <row r="170" spans="1:13">
      <c r="A170" s="301"/>
      <c r="M170" s="302"/>
    </row>
    <row r="171" spans="1:13">
      <c r="A171" s="301"/>
      <c r="M171" s="302"/>
    </row>
    <row r="172" spans="1:13">
      <c r="A172" s="301"/>
      <c r="M172" s="302"/>
    </row>
    <row r="173" spans="1:13">
      <c r="A173" s="301"/>
      <c r="M173" s="302"/>
    </row>
    <row r="174" spans="1:13">
      <c r="A174" s="301"/>
      <c r="M174" s="302"/>
    </row>
    <row r="175" spans="1:13">
      <c r="A175" s="301"/>
      <c r="M175" s="302"/>
    </row>
    <row r="176" spans="1:13">
      <c r="A176" s="301"/>
      <c r="M176" s="302"/>
    </row>
    <row r="177" spans="1:13">
      <c r="A177" s="301"/>
      <c r="M177" s="302"/>
    </row>
    <row r="178" spans="1:13">
      <c r="A178" s="301"/>
      <c r="M178" s="302"/>
    </row>
    <row r="179" spans="1:13">
      <c r="A179" s="301"/>
      <c r="M179" s="302"/>
    </row>
    <row r="180" spans="1:13">
      <c r="A180" s="301"/>
      <c r="M180" s="302"/>
    </row>
    <row r="181" spans="1:13">
      <c r="A181" s="301"/>
      <c r="M181" s="302"/>
    </row>
    <row r="182" spans="1:13">
      <c r="A182" s="301"/>
      <c r="M182" s="302"/>
    </row>
    <row r="183" spans="1:13">
      <c r="A183" s="301"/>
      <c r="M183" s="302"/>
    </row>
    <row r="184" spans="1:13">
      <c r="A184" s="301"/>
      <c r="M184" s="302"/>
    </row>
    <row r="185" spans="1:13">
      <c r="A185" s="301"/>
      <c r="M185" s="302"/>
    </row>
    <row r="186" spans="1:13">
      <c r="A186" s="301"/>
      <c r="M186" s="302"/>
    </row>
    <row r="187" spans="1:13">
      <c r="A187" s="301"/>
      <c r="M187" s="302"/>
    </row>
    <row r="188" spans="1:13">
      <c r="A188" s="301"/>
      <c r="M188" s="302"/>
    </row>
    <row r="189" spans="1:13">
      <c r="A189" s="301"/>
      <c r="M189" s="302"/>
    </row>
    <row r="190" spans="1:13">
      <c r="A190" s="301"/>
      <c r="M190" s="302"/>
    </row>
    <row r="191" spans="1:13">
      <c r="A191" s="301"/>
      <c r="M191" s="302"/>
    </row>
    <row r="192" spans="1:13">
      <c r="A192" s="301"/>
      <c r="M192" s="302"/>
    </row>
    <row r="193" spans="1:13">
      <c r="A193" s="301"/>
      <c r="M193" s="302"/>
    </row>
    <row r="194" spans="1:13">
      <c r="A194" s="301"/>
      <c r="M194" s="302"/>
    </row>
    <row r="195" spans="1:13">
      <c r="A195" s="301"/>
      <c r="M195" s="302"/>
    </row>
    <row r="196" spans="1:13">
      <c r="A196" s="301"/>
      <c r="M196" s="302"/>
    </row>
    <row r="197" spans="1:13">
      <c r="A197" s="301"/>
      <c r="M197" s="302"/>
    </row>
    <row r="198" spans="1:13">
      <c r="A198" s="301"/>
      <c r="M198" s="302"/>
    </row>
    <row r="199" spans="1:13">
      <c r="A199" s="301"/>
      <c r="M199" s="302"/>
    </row>
    <row r="200" spans="1:13">
      <c r="A200" s="301"/>
      <c r="M200" s="302"/>
    </row>
    <row r="201" spans="1:13">
      <c r="A201" s="182"/>
      <c r="B201" s="183"/>
      <c r="C201" s="183"/>
      <c r="D201" s="183"/>
      <c r="E201" s="183"/>
      <c r="F201" s="183"/>
      <c r="G201" s="183"/>
      <c r="H201" s="183"/>
      <c r="I201" s="183"/>
      <c r="J201" s="183"/>
      <c r="K201" s="183"/>
      <c r="L201" s="183"/>
      <c r="M201" s="303"/>
    </row>
    <row r="202" spans="1:13">
      <c r="A202" s="298" t="s">
        <v>350</v>
      </c>
      <c r="B202" s="299"/>
      <c r="C202" s="299"/>
      <c r="D202" s="299"/>
      <c r="E202" s="299"/>
      <c r="F202" s="299"/>
      <c r="G202" s="299"/>
      <c r="H202" s="299"/>
      <c r="I202" s="299"/>
      <c r="J202" s="299"/>
      <c r="K202" s="299"/>
      <c r="L202" s="299"/>
      <c r="M202" s="300"/>
    </row>
    <row r="203" spans="1:13">
      <c r="A203" s="301"/>
      <c r="M203" s="302"/>
    </row>
    <row r="204" spans="1:13">
      <c r="A204" s="301"/>
      <c r="M204" s="302"/>
    </row>
    <row r="205" spans="1:13">
      <c r="A205" s="301"/>
      <c r="M205" s="302"/>
    </row>
    <row r="206" spans="1:13">
      <c r="A206" s="301"/>
      <c r="M206" s="302"/>
    </row>
    <row r="207" spans="1:13">
      <c r="A207" s="301"/>
      <c r="M207" s="302"/>
    </row>
    <row r="208" spans="1:13">
      <c r="A208" s="301"/>
      <c r="M208" s="302"/>
    </row>
    <row r="209" spans="1:13">
      <c r="A209" s="301"/>
      <c r="M209" s="302"/>
    </row>
    <row r="210" spans="1:13">
      <c r="A210" s="301"/>
      <c r="M210" s="302"/>
    </row>
    <row r="211" spans="1:13">
      <c r="A211" s="301"/>
      <c r="M211" s="302"/>
    </row>
    <row r="212" spans="1:13">
      <c r="A212" s="301"/>
      <c r="M212" s="302"/>
    </row>
    <row r="213" spans="1:13">
      <c r="A213" s="301"/>
      <c r="M213" s="302"/>
    </row>
    <row r="214" spans="1:13">
      <c r="A214" s="301"/>
      <c r="M214" s="302"/>
    </row>
    <row r="215" spans="1:13">
      <c r="A215" s="301"/>
      <c r="M215" s="302"/>
    </row>
    <row r="216" spans="1:13">
      <c r="A216" s="301"/>
      <c r="M216" s="302"/>
    </row>
    <row r="217" spans="1:13">
      <c r="A217" s="301"/>
      <c r="M217" s="302"/>
    </row>
    <row r="218" spans="1:13">
      <c r="A218" s="301"/>
      <c r="M218" s="302"/>
    </row>
    <row r="219" spans="1:13">
      <c r="A219" s="301"/>
      <c r="M219" s="302"/>
    </row>
    <row r="220" spans="1:13">
      <c r="A220" s="301"/>
      <c r="M220" s="302"/>
    </row>
    <row r="221" spans="1:13">
      <c r="A221" s="301"/>
      <c r="M221" s="302"/>
    </row>
    <row r="222" spans="1:13">
      <c r="A222" s="301"/>
      <c r="M222" s="302"/>
    </row>
    <row r="223" spans="1:13">
      <c r="A223" s="301"/>
      <c r="M223" s="302"/>
    </row>
    <row r="224" spans="1:13">
      <c r="A224" s="301"/>
      <c r="M224" s="302"/>
    </row>
    <row r="225" spans="1:13">
      <c r="A225" s="301"/>
      <c r="M225" s="302"/>
    </row>
    <row r="226" spans="1:13">
      <c r="A226" s="301"/>
      <c r="M226" s="302"/>
    </row>
    <row r="227" spans="1:13">
      <c r="A227" s="301"/>
      <c r="M227" s="302"/>
    </row>
    <row r="228" spans="1:13">
      <c r="A228" s="301"/>
      <c r="M228" s="302"/>
    </row>
    <row r="229" spans="1:13">
      <c r="A229" s="301"/>
      <c r="M229" s="302"/>
    </row>
    <row r="230" spans="1:13">
      <c r="A230" s="301"/>
      <c r="M230" s="302"/>
    </row>
    <row r="231" spans="1:13">
      <c r="A231" s="301"/>
      <c r="M231" s="302"/>
    </row>
    <row r="232" spans="1:13">
      <c r="A232" s="301"/>
      <c r="M232" s="302"/>
    </row>
    <row r="233" spans="1:13">
      <c r="A233" s="301"/>
      <c r="M233" s="302"/>
    </row>
    <row r="234" spans="1:13">
      <c r="A234" s="301"/>
      <c r="M234" s="302"/>
    </row>
    <row r="235" spans="1:13">
      <c r="A235" s="301"/>
      <c r="M235" s="302"/>
    </row>
    <row r="236" spans="1:13">
      <c r="A236" s="301"/>
      <c r="M236" s="302"/>
    </row>
    <row r="237" spans="1:13">
      <c r="A237" s="301"/>
      <c r="M237" s="302"/>
    </row>
    <row r="238" spans="1:13">
      <c r="A238" s="301"/>
      <c r="M238" s="302"/>
    </row>
    <row r="239" spans="1:13">
      <c r="A239" s="301"/>
      <c r="M239" s="302"/>
    </row>
    <row r="240" spans="1:13">
      <c r="A240" s="301"/>
      <c r="M240" s="302"/>
    </row>
    <row r="241" spans="1:13">
      <c r="A241" s="301"/>
      <c r="M241" s="302"/>
    </row>
    <row r="242" spans="1:13">
      <c r="A242" s="301"/>
      <c r="M242" s="302"/>
    </row>
    <row r="243" spans="1:13">
      <c r="A243" s="301"/>
      <c r="M243" s="302"/>
    </row>
    <row r="244" spans="1:13">
      <c r="A244" s="301"/>
      <c r="M244" s="302"/>
    </row>
    <row r="245" spans="1:13">
      <c r="A245" s="301"/>
      <c r="M245" s="302"/>
    </row>
    <row r="246" spans="1:13">
      <c r="A246" s="301"/>
      <c r="M246" s="302"/>
    </row>
    <row r="247" spans="1:13">
      <c r="A247" s="301"/>
      <c r="M247" s="302"/>
    </row>
    <row r="248" spans="1:13">
      <c r="A248" s="301"/>
      <c r="M248" s="302"/>
    </row>
    <row r="249" spans="1:13">
      <c r="A249" s="301"/>
      <c r="M249" s="302"/>
    </row>
    <row r="250" spans="1:13">
      <c r="A250" s="301"/>
      <c r="M250" s="302"/>
    </row>
    <row r="251" spans="1:13">
      <c r="A251" s="301"/>
      <c r="M251" s="302"/>
    </row>
    <row r="252" spans="1:13">
      <c r="A252" s="301"/>
      <c r="M252" s="302"/>
    </row>
    <row r="253" spans="1:13">
      <c r="A253" s="301"/>
      <c r="M253" s="302"/>
    </row>
    <row r="254" spans="1:13">
      <c r="A254" s="301"/>
      <c r="M254" s="302"/>
    </row>
    <row r="255" spans="1:13">
      <c r="A255" s="301"/>
      <c r="M255" s="302"/>
    </row>
    <row r="256" spans="1:13">
      <c r="A256" s="301"/>
      <c r="M256" s="302"/>
    </row>
    <row r="257" spans="1:13">
      <c r="A257" s="301"/>
      <c r="M257" s="302"/>
    </row>
    <row r="258" spans="1:13">
      <c r="A258" s="301"/>
      <c r="M258" s="302"/>
    </row>
    <row r="259" spans="1:13">
      <c r="A259" s="301"/>
      <c r="M259" s="302"/>
    </row>
    <row r="260" spans="1:13">
      <c r="A260" s="301"/>
      <c r="M260" s="302"/>
    </row>
    <row r="261" spans="1:13">
      <c r="A261" s="301"/>
      <c r="M261" s="302"/>
    </row>
    <row r="262" spans="1:13">
      <c r="A262" s="301"/>
      <c r="M262" s="302"/>
    </row>
    <row r="263" spans="1:13">
      <c r="A263" s="301"/>
      <c r="M263" s="302"/>
    </row>
    <row r="264" spans="1:13">
      <c r="A264" s="301"/>
      <c r="M264" s="302"/>
    </row>
    <row r="265" spans="1:13">
      <c r="A265" s="301"/>
      <c r="M265" s="302"/>
    </row>
    <row r="266" spans="1:13">
      <c r="A266" s="301"/>
      <c r="M266" s="302"/>
    </row>
    <row r="267" spans="1:13">
      <c r="A267" s="301"/>
      <c r="M267" s="302"/>
    </row>
    <row r="268" spans="1:13">
      <c r="A268" s="182"/>
      <c r="B268" s="183"/>
      <c r="C268" s="183"/>
      <c r="D268" s="183"/>
      <c r="E268" s="183"/>
      <c r="F268" s="183"/>
      <c r="G268" s="183"/>
      <c r="H268" s="183"/>
      <c r="I268" s="183"/>
      <c r="J268" s="183"/>
      <c r="K268" s="183"/>
      <c r="L268" s="183"/>
      <c r="M268" s="303"/>
    </row>
    <row r="269" spans="1:13">
      <c r="A269" s="298" t="s">
        <v>349</v>
      </c>
      <c r="B269" s="299"/>
      <c r="C269" s="299"/>
      <c r="D269" s="299"/>
      <c r="E269" s="299"/>
      <c r="F269" s="299"/>
      <c r="G269" s="299"/>
      <c r="H269" s="299"/>
      <c r="I269" s="299"/>
      <c r="J269" s="299"/>
      <c r="K269" s="299"/>
      <c r="L269" s="299"/>
      <c r="M269" s="300"/>
    </row>
    <row r="270" spans="1:13">
      <c r="A270" s="301"/>
      <c r="M270" s="302"/>
    </row>
    <row r="271" spans="1:13">
      <c r="A271" s="301"/>
      <c r="M271" s="302"/>
    </row>
    <row r="272" spans="1:13">
      <c r="A272" s="301"/>
      <c r="M272" s="302"/>
    </row>
    <row r="273" spans="1:13">
      <c r="A273" s="301"/>
      <c r="M273" s="302"/>
    </row>
    <row r="274" spans="1:13">
      <c r="A274" s="301"/>
      <c r="M274" s="302"/>
    </row>
    <row r="275" spans="1:13">
      <c r="A275" s="301"/>
      <c r="M275" s="302"/>
    </row>
    <row r="276" spans="1:13">
      <c r="A276" s="301"/>
      <c r="M276" s="302"/>
    </row>
    <row r="277" spans="1:13">
      <c r="A277" s="301"/>
      <c r="M277" s="302"/>
    </row>
    <row r="278" spans="1:13">
      <c r="A278" s="301"/>
      <c r="M278" s="302"/>
    </row>
    <row r="279" spans="1:13">
      <c r="A279" s="301"/>
      <c r="M279" s="302"/>
    </row>
    <row r="280" spans="1:13">
      <c r="A280" s="301"/>
      <c r="M280" s="302"/>
    </row>
    <row r="281" spans="1:13">
      <c r="A281" s="301"/>
      <c r="M281" s="302"/>
    </row>
    <row r="282" spans="1:13">
      <c r="A282" s="301"/>
      <c r="M282" s="302"/>
    </row>
    <row r="283" spans="1:13">
      <c r="A283" s="301"/>
      <c r="M283" s="302"/>
    </row>
    <row r="284" spans="1:13">
      <c r="A284" s="301"/>
      <c r="M284" s="302"/>
    </row>
    <row r="285" spans="1:13">
      <c r="A285" s="301"/>
      <c r="M285" s="302"/>
    </row>
    <row r="286" spans="1:13">
      <c r="A286" s="301"/>
      <c r="M286" s="302"/>
    </row>
    <row r="287" spans="1:13">
      <c r="A287" s="301"/>
      <c r="M287" s="302"/>
    </row>
    <row r="288" spans="1:13">
      <c r="A288" s="301"/>
      <c r="M288" s="302"/>
    </row>
    <row r="289" spans="1:13">
      <c r="A289" s="301"/>
      <c r="M289" s="302"/>
    </row>
    <row r="290" spans="1:13">
      <c r="A290" s="301"/>
      <c r="M290" s="302"/>
    </row>
    <row r="291" spans="1:13">
      <c r="A291" s="301"/>
      <c r="M291" s="302"/>
    </row>
    <row r="292" spans="1:13">
      <c r="A292" s="301"/>
      <c r="M292" s="302"/>
    </row>
    <row r="293" spans="1:13">
      <c r="A293" s="301"/>
      <c r="M293" s="302"/>
    </row>
    <row r="294" spans="1:13">
      <c r="A294" s="301"/>
      <c r="M294" s="302"/>
    </row>
    <row r="295" spans="1:13">
      <c r="A295" s="301"/>
      <c r="M295" s="302"/>
    </row>
    <row r="296" spans="1:13">
      <c r="A296" s="301"/>
      <c r="M296" s="302"/>
    </row>
    <row r="297" spans="1:13">
      <c r="A297" s="301"/>
      <c r="M297" s="302"/>
    </row>
    <row r="298" spans="1:13">
      <c r="A298" s="301"/>
      <c r="M298" s="302"/>
    </row>
    <row r="299" spans="1:13">
      <c r="A299" s="301"/>
      <c r="M299" s="302"/>
    </row>
    <row r="300" spans="1:13">
      <c r="A300" s="301"/>
      <c r="M300" s="302"/>
    </row>
    <row r="301" spans="1:13">
      <c r="A301" s="301"/>
      <c r="M301" s="302"/>
    </row>
    <row r="302" spans="1:13">
      <c r="A302" s="301"/>
      <c r="M302" s="302"/>
    </row>
    <row r="303" spans="1:13">
      <c r="A303" s="301"/>
      <c r="M303" s="302"/>
    </row>
    <row r="304" spans="1:13">
      <c r="A304" s="301"/>
      <c r="M304" s="302"/>
    </row>
    <row r="305" spans="1:13">
      <c r="A305" s="301"/>
      <c r="M305" s="302"/>
    </row>
    <row r="306" spans="1:13">
      <c r="A306" s="301"/>
      <c r="M306" s="302"/>
    </row>
    <row r="307" spans="1:13">
      <c r="A307" s="301"/>
      <c r="M307" s="302"/>
    </row>
    <row r="308" spans="1:13">
      <c r="A308" s="301"/>
      <c r="M308" s="302"/>
    </row>
    <row r="309" spans="1:13">
      <c r="A309" s="301"/>
      <c r="M309" s="302"/>
    </row>
    <row r="310" spans="1:13">
      <c r="A310" s="301"/>
      <c r="M310" s="302"/>
    </row>
    <row r="311" spans="1:13">
      <c r="A311" s="301"/>
      <c r="M311" s="302"/>
    </row>
    <row r="312" spans="1:13">
      <c r="A312" s="301"/>
      <c r="M312" s="302"/>
    </row>
    <row r="313" spans="1:13">
      <c r="A313" s="301"/>
      <c r="M313" s="302"/>
    </row>
    <row r="314" spans="1:13">
      <c r="A314" s="301"/>
      <c r="M314" s="302"/>
    </row>
    <row r="315" spans="1:13">
      <c r="A315" s="301"/>
      <c r="M315" s="302"/>
    </row>
    <row r="316" spans="1:13">
      <c r="A316" s="301"/>
      <c r="M316" s="302"/>
    </row>
    <row r="317" spans="1:13">
      <c r="A317" s="301"/>
      <c r="M317" s="302"/>
    </row>
    <row r="318" spans="1:13">
      <c r="A318" s="301"/>
      <c r="M318" s="302"/>
    </row>
    <row r="319" spans="1:13">
      <c r="A319" s="301"/>
      <c r="M319" s="302"/>
    </row>
    <row r="320" spans="1:13">
      <c r="A320" s="301"/>
      <c r="M320" s="302"/>
    </row>
    <row r="321" spans="1:13">
      <c r="A321" s="301"/>
      <c r="M321" s="302"/>
    </row>
    <row r="322" spans="1:13">
      <c r="A322" s="301"/>
      <c r="M322" s="302"/>
    </row>
    <row r="323" spans="1:13">
      <c r="A323" s="301"/>
      <c r="M323" s="302"/>
    </row>
    <row r="324" spans="1:13">
      <c r="A324" s="301"/>
      <c r="M324" s="302"/>
    </row>
    <row r="325" spans="1:13">
      <c r="A325" s="301"/>
      <c r="M325" s="302"/>
    </row>
    <row r="326" spans="1:13">
      <c r="A326" s="301"/>
      <c r="M326" s="302"/>
    </row>
    <row r="327" spans="1:13">
      <c r="A327" s="301"/>
      <c r="M327" s="302"/>
    </row>
    <row r="328" spans="1:13">
      <c r="A328" s="301"/>
      <c r="M328" s="302"/>
    </row>
    <row r="329" spans="1:13">
      <c r="A329" s="301"/>
      <c r="M329" s="302"/>
    </row>
    <row r="330" spans="1:13">
      <c r="A330" s="301"/>
      <c r="M330" s="302"/>
    </row>
    <row r="331" spans="1:13">
      <c r="A331" s="301"/>
      <c r="M331" s="302"/>
    </row>
    <row r="332" spans="1:13">
      <c r="A332" s="301"/>
      <c r="M332" s="302"/>
    </row>
    <row r="333" spans="1:13">
      <c r="A333" s="301"/>
      <c r="M333" s="302"/>
    </row>
    <row r="334" spans="1:13">
      <c r="A334" s="301"/>
      <c r="M334" s="302"/>
    </row>
    <row r="335" spans="1:13">
      <c r="A335" s="182"/>
      <c r="B335" s="183"/>
      <c r="C335" s="183"/>
      <c r="D335" s="183"/>
      <c r="E335" s="183"/>
      <c r="F335" s="183"/>
      <c r="G335" s="183"/>
      <c r="H335" s="183"/>
      <c r="I335" s="183"/>
      <c r="J335" s="183"/>
      <c r="K335" s="183"/>
      <c r="L335" s="183"/>
      <c r="M335" s="303"/>
    </row>
    <row r="336" spans="1:13">
      <c r="A336" s="298" t="s">
        <v>559</v>
      </c>
      <c r="B336" s="299"/>
      <c r="C336" s="299"/>
      <c r="D336" s="299"/>
      <c r="E336" s="299"/>
      <c r="F336" s="299"/>
      <c r="G336" s="299"/>
      <c r="H336" s="299"/>
      <c r="I336" s="299"/>
      <c r="J336" s="299"/>
      <c r="K336" s="299"/>
      <c r="L336" s="299"/>
      <c r="M336" s="300"/>
    </row>
    <row r="337" spans="1:13">
      <c r="A337" s="301"/>
      <c r="M337" s="302"/>
    </row>
    <row r="338" spans="1:13">
      <c r="A338" s="301"/>
      <c r="M338" s="302"/>
    </row>
    <row r="339" spans="1:13">
      <c r="A339" s="301"/>
      <c r="M339" s="302"/>
    </row>
    <row r="340" spans="1:13">
      <c r="A340" s="301"/>
      <c r="M340" s="302"/>
    </row>
    <row r="341" spans="1:13">
      <c r="A341" s="301"/>
      <c r="M341" s="302"/>
    </row>
    <row r="342" spans="1:13">
      <c r="A342" s="301"/>
      <c r="M342" s="302"/>
    </row>
    <row r="343" spans="1:13">
      <c r="A343" s="301"/>
      <c r="M343" s="302"/>
    </row>
    <row r="344" spans="1:13">
      <c r="A344" s="301"/>
      <c r="M344" s="302"/>
    </row>
    <row r="345" spans="1:13">
      <c r="A345" s="301"/>
      <c r="M345" s="302"/>
    </row>
    <row r="346" spans="1:13">
      <c r="A346" s="301"/>
      <c r="M346" s="302"/>
    </row>
    <row r="347" spans="1:13">
      <c r="A347" s="301"/>
      <c r="M347" s="302"/>
    </row>
    <row r="348" spans="1:13">
      <c r="A348" s="301"/>
      <c r="M348" s="302"/>
    </row>
    <row r="349" spans="1:13">
      <c r="A349" s="301"/>
      <c r="M349" s="302"/>
    </row>
    <row r="350" spans="1:13">
      <c r="A350" s="301"/>
      <c r="M350" s="302"/>
    </row>
    <row r="351" spans="1:13">
      <c r="A351" s="301"/>
      <c r="M351" s="302"/>
    </row>
    <row r="352" spans="1:13">
      <c r="A352" s="301"/>
      <c r="M352" s="302"/>
    </row>
    <row r="353" spans="1:13">
      <c r="A353" s="301"/>
      <c r="M353" s="302"/>
    </row>
    <row r="354" spans="1:13">
      <c r="A354" s="301"/>
      <c r="M354" s="302"/>
    </row>
    <row r="355" spans="1:13">
      <c r="A355" s="301"/>
      <c r="M355" s="302"/>
    </row>
    <row r="356" spans="1:13">
      <c r="A356" s="301"/>
      <c r="M356" s="302"/>
    </row>
    <row r="357" spans="1:13">
      <c r="A357" s="301"/>
      <c r="M357" s="302"/>
    </row>
    <row r="358" spans="1:13">
      <c r="A358" s="301"/>
      <c r="M358" s="302"/>
    </row>
    <row r="359" spans="1:13">
      <c r="A359" s="301"/>
      <c r="M359" s="302"/>
    </row>
    <row r="360" spans="1:13">
      <c r="A360" s="301"/>
      <c r="M360" s="302"/>
    </row>
    <row r="361" spans="1:13">
      <c r="A361" s="301"/>
      <c r="M361" s="302"/>
    </row>
    <row r="362" spans="1:13">
      <c r="A362" s="301"/>
      <c r="M362" s="302"/>
    </row>
    <row r="363" spans="1:13">
      <c r="A363" s="301"/>
      <c r="M363" s="302"/>
    </row>
    <row r="364" spans="1:13">
      <c r="A364" s="301"/>
      <c r="M364" s="302"/>
    </row>
    <row r="365" spans="1:13">
      <c r="A365" s="301"/>
      <c r="M365" s="302"/>
    </row>
    <row r="366" spans="1:13">
      <c r="A366" s="301"/>
      <c r="M366" s="302"/>
    </row>
    <row r="367" spans="1:13">
      <c r="A367" s="301"/>
      <c r="M367" s="302"/>
    </row>
    <row r="368" spans="1:13">
      <c r="A368" s="301"/>
      <c r="M368" s="302"/>
    </row>
    <row r="369" spans="1:13">
      <c r="A369" s="301"/>
      <c r="M369" s="302"/>
    </row>
    <row r="370" spans="1:13">
      <c r="A370" s="301"/>
      <c r="M370" s="302"/>
    </row>
    <row r="371" spans="1:13">
      <c r="A371" s="301"/>
      <c r="M371" s="302"/>
    </row>
    <row r="372" spans="1:13">
      <c r="A372" s="301"/>
      <c r="M372" s="302"/>
    </row>
    <row r="373" spans="1:13">
      <c r="A373" s="301"/>
      <c r="M373" s="302"/>
    </row>
    <row r="374" spans="1:13">
      <c r="A374" s="301"/>
      <c r="M374" s="302"/>
    </row>
    <row r="375" spans="1:13">
      <c r="A375" s="301"/>
      <c r="M375" s="302"/>
    </row>
    <row r="376" spans="1:13">
      <c r="A376" s="301"/>
      <c r="M376" s="302"/>
    </row>
    <row r="377" spans="1:13">
      <c r="A377" s="301"/>
      <c r="M377" s="302"/>
    </row>
    <row r="378" spans="1:13">
      <c r="A378" s="301"/>
      <c r="M378" s="302"/>
    </row>
    <row r="379" spans="1:13">
      <c r="A379" s="301"/>
      <c r="M379" s="302"/>
    </row>
    <row r="380" spans="1:13">
      <c r="A380" s="301"/>
      <c r="M380" s="302"/>
    </row>
    <row r="381" spans="1:13">
      <c r="A381" s="301"/>
      <c r="M381" s="302"/>
    </row>
    <row r="382" spans="1:13">
      <c r="A382" s="301"/>
      <c r="M382" s="302"/>
    </row>
    <row r="383" spans="1:13">
      <c r="A383" s="301"/>
      <c r="M383" s="302"/>
    </row>
    <row r="384" spans="1:13">
      <c r="A384" s="301"/>
      <c r="M384" s="302"/>
    </row>
    <row r="385" spans="1:13">
      <c r="A385" s="301"/>
      <c r="M385" s="302"/>
    </row>
    <row r="386" spans="1:13">
      <c r="A386" s="301"/>
      <c r="M386" s="302"/>
    </row>
    <row r="387" spans="1:13">
      <c r="A387" s="301"/>
      <c r="M387" s="302"/>
    </row>
    <row r="388" spans="1:13">
      <c r="A388" s="301"/>
      <c r="M388" s="302"/>
    </row>
    <row r="389" spans="1:13">
      <c r="A389" s="301"/>
      <c r="M389" s="302"/>
    </row>
    <row r="390" spans="1:13">
      <c r="A390" s="301"/>
      <c r="M390" s="302"/>
    </row>
    <row r="391" spans="1:13">
      <c r="A391" s="301"/>
      <c r="M391" s="302"/>
    </row>
    <row r="392" spans="1:13">
      <c r="A392" s="301"/>
      <c r="M392" s="302"/>
    </row>
    <row r="393" spans="1:13">
      <c r="A393" s="301"/>
      <c r="M393" s="302"/>
    </row>
    <row r="394" spans="1:13">
      <c r="A394" s="301"/>
      <c r="M394" s="302"/>
    </row>
    <row r="395" spans="1:13">
      <c r="A395" s="301"/>
      <c r="M395" s="302"/>
    </row>
    <row r="396" spans="1:13">
      <c r="A396" s="301"/>
      <c r="M396" s="302"/>
    </row>
    <row r="397" spans="1:13">
      <c r="A397" s="301"/>
      <c r="M397" s="302"/>
    </row>
    <row r="398" spans="1:13">
      <c r="A398" s="301"/>
      <c r="M398" s="302"/>
    </row>
    <row r="399" spans="1:13">
      <c r="A399" s="301"/>
      <c r="M399" s="302"/>
    </row>
    <row r="400" spans="1:13">
      <c r="A400" s="301"/>
      <c r="M400" s="302"/>
    </row>
    <row r="401" spans="1:13">
      <c r="A401" s="301"/>
      <c r="M401" s="302"/>
    </row>
    <row r="402" spans="1:13">
      <c r="A402" s="182"/>
      <c r="B402" s="183"/>
      <c r="C402" s="183"/>
      <c r="D402" s="183"/>
      <c r="E402" s="183"/>
      <c r="F402" s="183"/>
      <c r="G402" s="183"/>
      <c r="H402" s="183"/>
      <c r="I402" s="183"/>
      <c r="J402" s="183"/>
      <c r="K402" s="183"/>
      <c r="L402" s="183"/>
      <c r="M402" s="303"/>
    </row>
  </sheetData>
  <phoneticPr fontId="0" type="noConversion"/>
  <pageMargins left="0.75" right="0.75" top="1" bottom="1" header="0.5" footer="0.5"/>
  <pageSetup scale="75" orientation="portrait" horizontalDpi="360"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5" r:id="rId4" name="Button 1">
              <controlPr defaultSize="0" print="0" autoFill="0" autoPict="0" macro="[0]!BACKTOMENU">
                <anchor moveWithCells="1">
                  <from>
                    <xdr:col>1</xdr:col>
                    <xdr:colOff>304800</xdr:colOff>
                    <xdr:row>0</xdr:row>
                    <xdr:rowOff>117021</xdr:rowOff>
                  </from>
                  <to>
                    <xdr:col>2</xdr:col>
                    <xdr:colOff>201386</xdr:colOff>
                    <xdr:row>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33B7-D8E3-406C-BDEE-82DBF65ABD8C}">
  <sheetPr codeName="Sheet6">
    <pageSetUpPr fitToPage="1"/>
  </sheetPr>
  <dimension ref="B3:M62"/>
  <sheetViews>
    <sheetView showGridLines="0" showRowColHeaders="0" showZeros="0" showOutlineSymbols="0" zoomScale="115" workbookViewId="0">
      <selection activeCell="H3" sqref="H3"/>
    </sheetView>
  </sheetViews>
  <sheetFormatPr defaultColWidth="9.15234375" defaultRowHeight="12.9"/>
  <cols>
    <col min="1" max="1" width="2.69140625" style="694" customWidth="1"/>
    <col min="2" max="2" width="8.265625" style="694" customWidth="1"/>
    <col min="3" max="3" width="12.265625" style="694" customWidth="1"/>
    <col min="4" max="4" width="5.265625" style="694" customWidth="1"/>
    <col min="5" max="6" width="12" style="694" customWidth="1"/>
    <col min="7" max="7" width="4.57421875" style="694" customWidth="1"/>
    <col min="8" max="8" width="11.84375" style="694" customWidth="1"/>
    <col min="9" max="10" width="10.84375" style="694" customWidth="1"/>
    <col min="11" max="11" width="10.15234375" style="694" customWidth="1"/>
    <col min="12" max="16384" width="9.15234375" style="694"/>
  </cols>
  <sheetData>
    <row r="3" spans="2:13" ht="22.75">
      <c r="I3" s="1759" t="s">
        <v>1465</v>
      </c>
      <c r="J3" s="1759"/>
      <c r="K3" s="1759"/>
      <c r="L3" s="1759"/>
      <c r="M3" s="1759"/>
    </row>
    <row r="4" spans="2:13" ht="22.75">
      <c r="I4" s="1759" t="s">
        <v>1466</v>
      </c>
      <c r="J4" s="1759"/>
      <c r="K4" s="1759"/>
      <c r="L4" s="1759"/>
      <c r="M4" s="1759"/>
    </row>
    <row r="6" spans="2:13">
      <c r="B6" s="695" t="s">
        <v>1469</v>
      </c>
      <c r="C6" s="696"/>
      <c r="D6" s="696"/>
      <c r="E6" s="696"/>
      <c r="F6" s="696"/>
      <c r="G6" s="696"/>
      <c r="H6" s="696"/>
      <c r="I6" s="696"/>
      <c r="J6" s="696"/>
      <c r="K6" s="696"/>
      <c r="L6" s="696"/>
      <c r="M6" s="696"/>
    </row>
    <row r="7" spans="2:13">
      <c r="B7" s="695" t="s">
        <v>1470</v>
      </c>
      <c r="C7" s="696"/>
      <c r="D7" s="696"/>
      <c r="E7" s="696"/>
      <c r="F7" s="696"/>
      <c r="G7" s="696"/>
      <c r="H7" s="696"/>
      <c r="I7" s="696"/>
      <c r="J7" s="696"/>
      <c r="K7" s="696"/>
      <c r="L7" s="696"/>
      <c r="M7" s="696"/>
    </row>
    <row r="9" spans="2:13" ht="13.1">
      <c r="B9" s="697" t="s">
        <v>1471</v>
      </c>
      <c r="K9" s="693" t="s">
        <v>1472</v>
      </c>
      <c r="L9" s="1760" t="s">
        <v>1473</v>
      </c>
      <c r="M9" s="1760"/>
    </row>
    <row r="10" spans="2:13" ht="13.1">
      <c r="B10" s="697" t="s">
        <v>1476</v>
      </c>
      <c r="K10" s="698"/>
      <c r="L10" s="1762"/>
      <c r="M10" s="1763"/>
    </row>
    <row r="12" spans="2:13" ht="15.45">
      <c r="B12" s="699" t="s">
        <v>1477</v>
      </c>
      <c r="C12" s="700"/>
      <c r="D12" s="700"/>
      <c r="E12" s="700"/>
      <c r="F12" s="700"/>
      <c r="G12" s="696"/>
      <c r="H12" s="696"/>
      <c r="I12" s="696"/>
      <c r="J12" s="696"/>
      <c r="K12" s="696"/>
      <c r="L12" s="696"/>
      <c r="M12" s="696"/>
    </row>
    <row r="13" spans="2:13">
      <c r="E13" s="686" t="s">
        <v>1478</v>
      </c>
      <c r="L13" s="1761" t="s">
        <v>1479</v>
      </c>
      <c r="M13" s="1761"/>
    </row>
    <row r="14" spans="2:13" ht="15.45">
      <c r="B14" s="694" t="s">
        <v>1480</v>
      </c>
      <c r="D14" s="701"/>
      <c r="E14" s="1753">
        <f>Summary!C5</f>
        <v>0</v>
      </c>
      <c r="F14" s="1753"/>
      <c r="G14" s="1753"/>
      <c r="H14" s="1753"/>
      <c r="I14" s="1753"/>
      <c r="J14" s="1753"/>
      <c r="L14" s="1757"/>
      <c r="M14" s="1757"/>
    </row>
    <row r="15" spans="2:13">
      <c r="E15" s="686" t="s">
        <v>1478</v>
      </c>
      <c r="L15" s="1758" t="s">
        <v>1481</v>
      </c>
      <c r="M15" s="1758"/>
    </row>
    <row r="16" spans="2:13" ht="15.45">
      <c r="B16" s="694" t="s">
        <v>1482</v>
      </c>
      <c r="C16" s="702" t="s">
        <v>1001</v>
      </c>
      <c r="E16" s="1753"/>
      <c r="F16" s="1753"/>
      <c r="G16" s="1753"/>
      <c r="H16" s="1753"/>
      <c r="I16" s="1753"/>
      <c r="J16" s="1753"/>
      <c r="L16" s="1757"/>
      <c r="M16" s="1757"/>
    </row>
    <row r="17" spans="2:13">
      <c r="E17" s="686" t="s">
        <v>1478</v>
      </c>
      <c r="L17" s="1758" t="s">
        <v>1483</v>
      </c>
      <c r="M17" s="1758"/>
    </row>
    <row r="18" spans="2:13" ht="15.45">
      <c r="B18" s="694" t="s">
        <v>1484</v>
      </c>
      <c r="E18" s="1753"/>
      <c r="F18" s="1753"/>
      <c r="G18" s="1753"/>
      <c r="H18" s="1753"/>
      <c r="I18" s="1753"/>
      <c r="J18" s="1753"/>
      <c r="L18" s="1757"/>
      <c r="M18" s="1757"/>
    </row>
    <row r="19" spans="2:13">
      <c r="E19" s="686" t="s">
        <v>1485</v>
      </c>
      <c r="I19" s="686" t="s">
        <v>1486</v>
      </c>
    </row>
    <row r="20" spans="2:13" ht="15.45">
      <c r="B20" s="694" t="s">
        <v>1487</v>
      </c>
      <c r="D20" s="701"/>
      <c r="E20" s="1753">
        <f>Summary!D62</f>
        <v>0</v>
      </c>
      <c r="F20" s="1753"/>
      <c r="G20" s="1753"/>
      <c r="H20" s="1753"/>
      <c r="I20" s="1753">
        <f>Summary!C62</f>
        <v>0</v>
      </c>
      <c r="J20" s="1753"/>
      <c r="K20" s="1753"/>
      <c r="L20" s="1753"/>
      <c r="M20" s="1753"/>
    </row>
    <row r="21" spans="2:13">
      <c r="E21" s="686" t="s">
        <v>1488</v>
      </c>
      <c r="I21" s="686" t="s">
        <v>1489</v>
      </c>
    </row>
    <row r="22" spans="2:13" ht="15.45">
      <c r="B22" s="694" t="s">
        <v>1490</v>
      </c>
      <c r="E22" s="1753" t="str">
        <f>Summary!C176</f>
        <v xml:space="preserve"> </v>
      </c>
      <c r="F22" s="1753"/>
      <c r="G22" s="1753"/>
      <c r="I22" s="1753" t="str">
        <f>Summary!C177</f>
        <v xml:space="preserve"> </v>
      </c>
      <c r="J22" s="1753"/>
      <c r="K22" s="1753"/>
    </row>
    <row r="24" spans="2:13" ht="15.45">
      <c r="B24" s="703" t="s">
        <v>1491</v>
      </c>
      <c r="C24" s="696"/>
      <c r="D24" s="696"/>
      <c r="E24" s="696"/>
      <c r="F24" s="696"/>
      <c r="G24" s="696"/>
      <c r="H24" s="696"/>
      <c r="I24" s="696"/>
      <c r="J24" s="696"/>
      <c r="K24" s="696"/>
      <c r="L24" s="696"/>
      <c r="M24" s="696"/>
    </row>
    <row r="26" spans="2:13">
      <c r="B26" s="694" t="s">
        <v>1492</v>
      </c>
      <c r="E26" s="694" t="s">
        <v>1493</v>
      </c>
      <c r="K26" s="694" t="s">
        <v>1494</v>
      </c>
    </row>
    <row r="27" spans="2:13" ht="15.45">
      <c r="B27" s="694" t="s">
        <v>1495</v>
      </c>
      <c r="C27" s="1748">
        <f>Summary!C7</f>
        <v>0</v>
      </c>
      <c r="D27" s="1749"/>
      <c r="E27" s="694" t="s">
        <v>1496</v>
      </c>
      <c r="F27" s="1750">
        <f>Summary!C8</f>
        <v>0</v>
      </c>
      <c r="G27" s="1751"/>
      <c r="H27" s="1751"/>
      <c r="I27" s="1751"/>
      <c r="K27" s="694" t="s">
        <v>1497</v>
      </c>
      <c r="L27" s="1752"/>
      <c r="M27" s="1752"/>
    </row>
    <row r="29" spans="2:13" ht="15.45">
      <c r="B29" s="703" t="s">
        <v>1498</v>
      </c>
      <c r="C29" s="704"/>
      <c r="D29" s="704"/>
      <c r="E29" s="704"/>
      <c r="F29" s="704"/>
      <c r="G29" s="704"/>
      <c r="H29" s="704"/>
      <c r="I29" s="704"/>
      <c r="J29" s="704"/>
      <c r="K29" s="704"/>
      <c r="L29" s="704"/>
      <c r="M29" s="704"/>
    </row>
    <row r="31" spans="2:13">
      <c r="B31" s="705">
        <v>3.1</v>
      </c>
      <c r="C31" s="694" t="s">
        <v>1499</v>
      </c>
      <c r="E31" s="706" t="s">
        <v>410</v>
      </c>
      <c r="F31" s="701" t="s">
        <v>418</v>
      </c>
      <c r="G31" s="705">
        <v>3.2</v>
      </c>
      <c r="H31" s="694" t="s">
        <v>1500</v>
      </c>
      <c r="K31" s="1754"/>
      <c r="L31" s="1754"/>
      <c r="M31" s="1754"/>
    </row>
    <row r="32" spans="2:13" ht="15.45">
      <c r="B32" s="705"/>
      <c r="C32" s="694" t="s">
        <v>1501</v>
      </c>
      <c r="H32" s="1753"/>
      <c r="I32" s="1753"/>
      <c r="J32" s="1753"/>
      <c r="K32" s="1753"/>
      <c r="L32" s="1753"/>
      <c r="M32" s="1753"/>
    </row>
    <row r="33" spans="2:13" ht="15.45">
      <c r="B33" s="705"/>
      <c r="H33" s="707"/>
      <c r="I33" s="707"/>
      <c r="J33" s="707"/>
      <c r="K33" s="707"/>
      <c r="L33" s="707"/>
      <c r="M33" s="707"/>
    </row>
    <row r="34" spans="2:13">
      <c r="B34" s="705"/>
    </row>
    <row r="35" spans="2:13">
      <c r="B35" s="705">
        <v>3.3</v>
      </c>
      <c r="C35" s="694" t="s">
        <v>1502</v>
      </c>
      <c r="D35" s="702" t="s">
        <v>270</v>
      </c>
      <c r="E35" s="702" t="s">
        <v>194</v>
      </c>
      <c r="G35" s="701" t="s">
        <v>1503</v>
      </c>
      <c r="I35" s="694" t="s">
        <v>1504</v>
      </c>
      <c r="K35" s="694" t="s">
        <v>1505</v>
      </c>
      <c r="L35" s="694" t="s">
        <v>1506</v>
      </c>
      <c r="M35" s="694" t="s">
        <v>1507</v>
      </c>
    </row>
    <row r="36" spans="2:13">
      <c r="B36" s="705"/>
      <c r="D36" s="702"/>
      <c r="E36" s="702"/>
      <c r="G36" s="701"/>
    </row>
    <row r="37" spans="2:13">
      <c r="B37" s="705"/>
    </row>
    <row r="38" spans="2:13">
      <c r="B38" s="705">
        <v>3.4</v>
      </c>
      <c r="C38" s="694" t="s">
        <v>1508</v>
      </c>
    </row>
    <row r="39" spans="2:13">
      <c r="B39" s="705"/>
      <c r="C39" s="694" t="s">
        <v>1509</v>
      </c>
      <c r="E39" s="702" t="s">
        <v>215</v>
      </c>
      <c r="F39" s="775">
        <f>Summary!I17</f>
        <v>0</v>
      </c>
      <c r="G39" s="708" t="s">
        <v>329</v>
      </c>
      <c r="H39" s="776" t="str">
        <f>CONCATENATE(Summary!C17,Summary!C16)</f>
        <v>0TUBULARS/CASING</v>
      </c>
      <c r="I39" s="708" t="s">
        <v>1510</v>
      </c>
      <c r="J39" s="775">
        <f>Summary!E17</f>
        <v>0</v>
      </c>
      <c r="K39" s="708" t="s">
        <v>330</v>
      </c>
      <c r="L39" s="775" t="str">
        <f>CONCATENATE(Summary!D17," ",Summary!D16)</f>
        <v xml:space="preserve"> </v>
      </c>
    </row>
    <row r="40" spans="2:13">
      <c r="B40" s="705"/>
      <c r="C40" s="694" t="s">
        <v>1511</v>
      </c>
      <c r="E40" s="702" t="s">
        <v>215</v>
      </c>
      <c r="F40" s="777">
        <f>Summary!I19</f>
        <v>0</v>
      </c>
      <c r="G40" s="706" t="s">
        <v>329</v>
      </c>
      <c r="H40" s="777" t="str">
        <f>CONCATENATE(Summary!C19,Summary!C16)</f>
        <v>0TUBULARS/CASING</v>
      </c>
      <c r="I40" s="706" t="s">
        <v>1510</v>
      </c>
      <c r="J40" s="777">
        <f>Summary!E19</f>
        <v>0</v>
      </c>
      <c r="K40" s="706" t="s">
        <v>330</v>
      </c>
      <c r="L40" s="777" t="str">
        <f>CONCATENATE(Summary!D19," ",Summary!D16)</f>
        <v xml:space="preserve"> </v>
      </c>
    </row>
    <row r="41" spans="2:13">
      <c r="B41" s="705"/>
      <c r="E41" s="702"/>
      <c r="F41" s="706"/>
      <c r="G41" s="706"/>
      <c r="H41" s="706"/>
      <c r="I41" s="706"/>
      <c r="J41" s="706"/>
      <c r="K41" s="706"/>
      <c r="L41" s="706"/>
    </row>
    <row r="42" spans="2:13">
      <c r="B42" s="705"/>
    </row>
    <row r="43" spans="2:13">
      <c r="B43" s="705">
        <v>3.5</v>
      </c>
      <c r="C43" s="694" t="s">
        <v>1512</v>
      </c>
    </row>
    <row r="44" spans="2:13">
      <c r="B44" s="705"/>
      <c r="C44" s="694" t="s">
        <v>1513</v>
      </c>
      <c r="E44" s="694" t="s">
        <v>1514</v>
      </c>
      <c r="F44" s="694" t="s">
        <v>1515</v>
      </c>
      <c r="I44" s="694" t="s">
        <v>1516</v>
      </c>
      <c r="L44" s="694" t="s">
        <v>410</v>
      </c>
      <c r="M44" s="694" t="s">
        <v>418</v>
      </c>
    </row>
    <row r="45" spans="2:13">
      <c r="B45" s="705"/>
      <c r="C45" s="694" t="s">
        <v>1517</v>
      </c>
      <c r="I45" s="1755"/>
      <c r="J45" s="1755"/>
      <c r="K45" s="1755"/>
      <c r="L45" s="1755"/>
      <c r="M45" s="1755"/>
    </row>
    <row r="46" spans="2:13">
      <c r="B46" s="705"/>
      <c r="C46" s="1755"/>
      <c r="D46" s="1755"/>
      <c r="E46" s="1755"/>
      <c r="F46" s="1755"/>
      <c r="G46" s="1755"/>
      <c r="H46" s="1755"/>
      <c r="I46" s="1755"/>
      <c r="J46" s="1755"/>
      <c r="K46" s="1755"/>
      <c r="L46" s="1755"/>
      <c r="M46" s="1755"/>
    </row>
    <row r="47" spans="2:13">
      <c r="B47" s="705"/>
    </row>
    <row r="48" spans="2:13">
      <c r="B48" s="705">
        <v>3.6</v>
      </c>
      <c r="C48" s="694" t="s">
        <v>1518</v>
      </c>
    </row>
    <row r="49" spans="2:13">
      <c r="B49" s="705"/>
      <c r="C49" s="694" t="s">
        <v>0</v>
      </c>
      <c r="F49" s="774"/>
      <c r="H49" s="694" t="s">
        <v>263</v>
      </c>
      <c r="I49" s="694" t="s">
        <v>1</v>
      </c>
    </row>
    <row r="50" spans="2:13">
      <c r="C50" s="694" t="s">
        <v>2</v>
      </c>
      <c r="F50" s="778"/>
      <c r="H50" s="694" t="s">
        <v>3</v>
      </c>
      <c r="I50" s="694" t="s">
        <v>4</v>
      </c>
      <c r="J50" s="774"/>
      <c r="K50" s="694" t="s">
        <v>5</v>
      </c>
    </row>
    <row r="51" spans="2:13">
      <c r="C51" s="694" t="s">
        <v>6</v>
      </c>
      <c r="F51" s="778"/>
      <c r="H51" s="694" t="s">
        <v>7</v>
      </c>
    </row>
    <row r="52" spans="2:13">
      <c r="C52" s="694" t="s">
        <v>8</v>
      </c>
      <c r="F52" s="1755"/>
      <c r="G52" s="1755"/>
      <c r="H52" s="1755"/>
      <c r="I52" s="1755"/>
      <c r="J52" s="1755"/>
      <c r="K52" s="1755"/>
      <c r="L52" s="1755"/>
      <c r="M52" s="1755"/>
    </row>
    <row r="55" spans="2:13">
      <c r="B55" s="705">
        <v>3.7</v>
      </c>
      <c r="C55" s="694" t="s">
        <v>9</v>
      </c>
    </row>
    <row r="56" spans="2:13">
      <c r="C56" s="694" t="s">
        <v>10</v>
      </c>
      <c r="F56" s="774"/>
      <c r="G56" s="694" t="s">
        <v>11</v>
      </c>
      <c r="I56" s="694" t="s">
        <v>12</v>
      </c>
      <c r="K56" s="774"/>
      <c r="L56" s="694" t="s">
        <v>13</v>
      </c>
    </row>
    <row r="59" spans="2:13">
      <c r="B59" s="939" t="s">
        <v>14</v>
      </c>
      <c r="C59" s="1756">
        <f>Summary!C63</f>
        <v>0</v>
      </c>
      <c r="D59" s="1756"/>
      <c r="E59" s="1756"/>
      <c r="F59" s="1756"/>
      <c r="G59" s="1756"/>
      <c r="I59" s="1756"/>
      <c r="J59" s="1756"/>
      <c r="K59" s="1756"/>
      <c r="L59" s="1756"/>
      <c r="M59" s="1756"/>
    </row>
    <row r="60" spans="2:13">
      <c r="D60" s="686" t="s">
        <v>15</v>
      </c>
      <c r="J60" s="686"/>
      <c r="K60" s="686" t="s">
        <v>16</v>
      </c>
    </row>
    <row r="62" spans="2:13">
      <c r="I62" s="686" t="s">
        <v>17</v>
      </c>
    </row>
  </sheetData>
  <mergeCells count="27">
    <mergeCell ref="I3:M3"/>
    <mergeCell ref="I4:M4"/>
    <mergeCell ref="L9:M9"/>
    <mergeCell ref="L13:M13"/>
    <mergeCell ref="L10:M10"/>
    <mergeCell ref="L15:M15"/>
    <mergeCell ref="L17:M17"/>
    <mergeCell ref="E14:J14"/>
    <mergeCell ref="E16:J16"/>
    <mergeCell ref="L14:M14"/>
    <mergeCell ref="L16:M16"/>
    <mergeCell ref="E18:J18"/>
    <mergeCell ref="E20:H20"/>
    <mergeCell ref="I20:M20"/>
    <mergeCell ref="E22:G22"/>
    <mergeCell ref="I22:K22"/>
    <mergeCell ref="L18:M18"/>
    <mergeCell ref="I45:M45"/>
    <mergeCell ref="C46:M46"/>
    <mergeCell ref="F52:M52"/>
    <mergeCell ref="C59:G59"/>
    <mergeCell ref="I59:M59"/>
    <mergeCell ref="C27:D27"/>
    <mergeCell ref="F27:I27"/>
    <mergeCell ref="L27:M27"/>
    <mergeCell ref="H32:M32"/>
    <mergeCell ref="K31:M31"/>
  </mergeCells>
  <phoneticPr fontId="0" type="noConversion"/>
  <printOptions horizontalCentered="1" verticalCentered="1"/>
  <pageMargins left="0.5" right="0.5" top="0" bottom="0" header="0" footer="0"/>
  <pageSetup scale="83" orientation="portrait"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274" r:id="rId4" name="Check Box 2">
              <controlPr defaultSize="0" autoFill="0" autoLine="0" autoPict="0">
                <anchor moveWithCells="1">
                  <from>
                    <xdr:col>3</xdr:col>
                    <xdr:colOff>19050</xdr:colOff>
                    <xdr:row>15</xdr:row>
                    <xdr:rowOff>10886</xdr:rowOff>
                  </from>
                  <to>
                    <xdr:col>3</xdr:col>
                    <xdr:colOff>332014</xdr:colOff>
                    <xdr:row>16</xdr:row>
                    <xdr:rowOff>29936</xdr:rowOff>
                  </to>
                </anchor>
              </controlPr>
            </control>
          </mc:Choice>
        </mc:AlternateContent>
        <mc:AlternateContent xmlns:mc="http://schemas.openxmlformats.org/markup-compatibility/2006">
          <mc:Choice Requires="x14">
            <control shapeId="54275" r:id="rId5" name="Check Box 3">
              <controlPr defaultSize="0" autoFill="0" autoLine="0" autoPict="0">
                <anchor moveWithCells="1">
                  <from>
                    <xdr:col>3</xdr:col>
                    <xdr:colOff>29936</xdr:colOff>
                    <xdr:row>17</xdr:row>
                    <xdr:rowOff>10886</xdr:rowOff>
                  </from>
                  <to>
                    <xdr:col>3</xdr:col>
                    <xdr:colOff>342900</xdr:colOff>
                    <xdr:row>18</xdr:row>
                    <xdr:rowOff>29936</xdr:rowOff>
                  </to>
                </anchor>
              </controlPr>
            </control>
          </mc:Choice>
        </mc:AlternateContent>
        <mc:AlternateContent xmlns:mc="http://schemas.openxmlformats.org/markup-compatibility/2006">
          <mc:Choice Requires="x14">
            <control shapeId="54276" r:id="rId6" name="Check Box 4">
              <controlPr defaultSize="0" autoFill="0" autoLine="0" autoPict="0">
                <anchor moveWithCells="1">
                  <from>
                    <xdr:col>4</xdr:col>
                    <xdr:colOff>353786</xdr:colOff>
                    <xdr:row>30</xdr:row>
                    <xdr:rowOff>0</xdr:rowOff>
                  </from>
                  <to>
                    <xdr:col>4</xdr:col>
                    <xdr:colOff>666750</xdr:colOff>
                    <xdr:row>31</xdr:row>
                    <xdr:rowOff>48986</xdr:rowOff>
                  </to>
                </anchor>
              </controlPr>
            </control>
          </mc:Choice>
        </mc:AlternateContent>
        <mc:AlternateContent xmlns:mc="http://schemas.openxmlformats.org/markup-compatibility/2006">
          <mc:Choice Requires="x14">
            <control shapeId="54277" r:id="rId7" name="Check Box 5">
              <controlPr defaultSize="0" autoFill="0" autoLine="0" autoPict="0">
                <anchor moveWithCells="1">
                  <from>
                    <xdr:col>5</xdr:col>
                    <xdr:colOff>231321</xdr:colOff>
                    <xdr:row>29</xdr:row>
                    <xdr:rowOff>152400</xdr:rowOff>
                  </from>
                  <to>
                    <xdr:col>5</xdr:col>
                    <xdr:colOff>544286</xdr:colOff>
                    <xdr:row>31</xdr:row>
                    <xdr:rowOff>38100</xdr:rowOff>
                  </to>
                </anchor>
              </controlPr>
            </control>
          </mc:Choice>
        </mc:AlternateContent>
        <mc:AlternateContent xmlns:mc="http://schemas.openxmlformats.org/markup-compatibility/2006">
          <mc:Choice Requires="x14">
            <control shapeId="54278" r:id="rId8" name="Check Box 6">
              <controlPr defaultSize="0" autoFill="0" autoLine="0" autoPict="0">
                <anchor moveWithCells="1">
                  <from>
                    <xdr:col>4</xdr:col>
                    <xdr:colOff>59871</xdr:colOff>
                    <xdr:row>34</xdr:row>
                    <xdr:rowOff>0</xdr:rowOff>
                  </from>
                  <to>
                    <xdr:col>4</xdr:col>
                    <xdr:colOff>372836</xdr:colOff>
                    <xdr:row>35</xdr:row>
                    <xdr:rowOff>48986</xdr:rowOff>
                  </to>
                </anchor>
              </controlPr>
            </control>
          </mc:Choice>
        </mc:AlternateContent>
        <mc:AlternateContent xmlns:mc="http://schemas.openxmlformats.org/markup-compatibility/2006">
          <mc:Choice Requires="x14">
            <control shapeId="54279" r:id="rId9" name="Check Box 7">
              <controlPr defaultSize="0" autoFill="0" autoLine="0" autoPict="0">
                <anchor moveWithCells="1">
                  <from>
                    <xdr:col>5</xdr:col>
                    <xdr:colOff>92529</xdr:colOff>
                    <xdr:row>33</xdr:row>
                    <xdr:rowOff>144236</xdr:rowOff>
                  </from>
                  <to>
                    <xdr:col>5</xdr:col>
                    <xdr:colOff>405493</xdr:colOff>
                    <xdr:row>35</xdr:row>
                    <xdr:rowOff>29936</xdr:rowOff>
                  </to>
                </anchor>
              </controlPr>
            </control>
          </mc:Choice>
        </mc:AlternateContent>
        <mc:AlternateContent xmlns:mc="http://schemas.openxmlformats.org/markup-compatibility/2006">
          <mc:Choice Requires="x14">
            <control shapeId="54280" r:id="rId10" name="Check Box 8">
              <controlPr defaultSize="0" autoFill="0" autoLine="0" autoPict="0">
                <anchor moveWithCells="1">
                  <from>
                    <xdr:col>7</xdr:col>
                    <xdr:colOff>383721</xdr:colOff>
                    <xdr:row>33</xdr:row>
                    <xdr:rowOff>152400</xdr:rowOff>
                  </from>
                  <to>
                    <xdr:col>7</xdr:col>
                    <xdr:colOff>696686</xdr:colOff>
                    <xdr:row>35</xdr:row>
                    <xdr:rowOff>38100</xdr:rowOff>
                  </to>
                </anchor>
              </controlPr>
            </control>
          </mc:Choice>
        </mc:AlternateContent>
        <mc:AlternateContent xmlns:mc="http://schemas.openxmlformats.org/markup-compatibility/2006">
          <mc:Choice Requires="x14">
            <control shapeId="54281" r:id="rId11" name="Check Box 9">
              <controlPr defaultSize="0" autoFill="0" autoLine="0" autoPict="0">
                <anchor moveWithCells="1">
                  <from>
                    <xdr:col>9</xdr:col>
                    <xdr:colOff>223157</xdr:colOff>
                    <xdr:row>33</xdr:row>
                    <xdr:rowOff>152400</xdr:rowOff>
                  </from>
                  <to>
                    <xdr:col>9</xdr:col>
                    <xdr:colOff>536121</xdr:colOff>
                    <xdr:row>35</xdr:row>
                    <xdr:rowOff>38100</xdr:rowOff>
                  </to>
                </anchor>
              </controlPr>
            </control>
          </mc:Choice>
        </mc:AlternateContent>
        <mc:AlternateContent xmlns:mc="http://schemas.openxmlformats.org/markup-compatibility/2006">
          <mc:Choice Requires="x14">
            <control shapeId="54282" r:id="rId12" name="Check Box 10">
              <controlPr defaultSize="0" autoFill="0" autoLine="0" autoPict="0">
                <anchor moveWithCells="1">
                  <from>
                    <xdr:col>11</xdr:col>
                    <xdr:colOff>375557</xdr:colOff>
                    <xdr:row>33</xdr:row>
                    <xdr:rowOff>152400</xdr:rowOff>
                  </from>
                  <to>
                    <xdr:col>12</xdr:col>
                    <xdr:colOff>40821</xdr:colOff>
                    <xdr:row>35</xdr:row>
                    <xdr:rowOff>38100</xdr:rowOff>
                  </to>
                </anchor>
              </controlPr>
            </control>
          </mc:Choice>
        </mc:AlternateContent>
        <mc:AlternateContent xmlns:mc="http://schemas.openxmlformats.org/markup-compatibility/2006">
          <mc:Choice Requires="x14">
            <control shapeId="54283" r:id="rId13" name="Check Box 11">
              <controlPr defaultSize="0" autoFill="0" autoLine="0" autoPict="0">
                <anchor moveWithCells="1">
                  <from>
                    <xdr:col>12</xdr:col>
                    <xdr:colOff>312964</xdr:colOff>
                    <xdr:row>33</xdr:row>
                    <xdr:rowOff>152400</xdr:rowOff>
                  </from>
                  <to>
                    <xdr:col>12</xdr:col>
                    <xdr:colOff>628650</xdr:colOff>
                    <xdr:row>35</xdr:row>
                    <xdr:rowOff>38100</xdr:rowOff>
                  </to>
                </anchor>
              </controlPr>
            </control>
          </mc:Choice>
        </mc:AlternateContent>
        <mc:AlternateContent xmlns:mc="http://schemas.openxmlformats.org/markup-compatibility/2006">
          <mc:Choice Requires="x14">
            <control shapeId="54284" r:id="rId14" name="Check Box 12">
              <controlPr defaultSize="0" autoFill="0" autoLine="0" autoPict="0">
                <anchor moveWithCells="1">
                  <from>
                    <xdr:col>11</xdr:col>
                    <xdr:colOff>283029</xdr:colOff>
                    <xdr:row>42</xdr:row>
                    <xdr:rowOff>152400</xdr:rowOff>
                  </from>
                  <to>
                    <xdr:col>11</xdr:col>
                    <xdr:colOff>595993</xdr:colOff>
                    <xdr:row>44</xdr:row>
                    <xdr:rowOff>38100</xdr:rowOff>
                  </to>
                </anchor>
              </controlPr>
            </control>
          </mc:Choice>
        </mc:AlternateContent>
        <mc:AlternateContent xmlns:mc="http://schemas.openxmlformats.org/markup-compatibility/2006">
          <mc:Choice Requires="x14">
            <control shapeId="54285" r:id="rId15" name="Check Box 13">
              <controlPr defaultSize="0" autoFill="0" autoLine="0" autoPict="0">
                <anchor moveWithCells="1">
                  <from>
                    <xdr:col>12</xdr:col>
                    <xdr:colOff>242207</xdr:colOff>
                    <xdr:row>42</xdr:row>
                    <xdr:rowOff>144236</xdr:rowOff>
                  </from>
                  <to>
                    <xdr:col>12</xdr:col>
                    <xdr:colOff>557893</xdr:colOff>
                    <xdr:row>44</xdr:row>
                    <xdr:rowOff>29936</xdr:rowOff>
                  </to>
                </anchor>
              </controlPr>
            </control>
          </mc:Choice>
        </mc:AlternateContent>
        <mc:AlternateContent xmlns:mc="http://schemas.openxmlformats.org/markup-compatibility/2006">
          <mc:Choice Requires="x14">
            <control shapeId="54286" r:id="rId16" name="Check Box 14">
              <controlPr defaultSize="0" autoFill="0" autoLine="0" autoPict="0">
                <anchor moveWithCells="1">
                  <from>
                    <xdr:col>5</xdr:col>
                    <xdr:colOff>283029</xdr:colOff>
                    <xdr:row>42</xdr:row>
                    <xdr:rowOff>152400</xdr:rowOff>
                  </from>
                  <to>
                    <xdr:col>5</xdr:col>
                    <xdr:colOff>595993</xdr:colOff>
                    <xdr:row>44</xdr:row>
                    <xdr:rowOff>38100</xdr:rowOff>
                  </to>
                </anchor>
              </controlPr>
            </control>
          </mc:Choice>
        </mc:AlternateContent>
        <mc:AlternateContent xmlns:mc="http://schemas.openxmlformats.org/markup-compatibility/2006">
          <mc:Choice Requires="x14">
            <control shapeId="54287" r:id="rId17" name="Check Box 15">
              <controlPr defaultSize="0" autoFill="0" autoLine="0" autoPict="0">
                <anchor moveWithCells="1">
                  <from>
                    <xdr:col>6</xdr:col>
                    <xdr:colOff>19050</xdr:colOff>
                    <xdr:row>42</xdr:row>
                    <xdr:rowOff>152400</xdr:rowOff>
                  </from>
                  <to>
                    <xdr:col>7</xdr:col>
                    <xdr:colOff>10886</xdr:colOff>
                    <xdr:row>44</xdr:row>
                    <xdr:rowOff>38100</xdr:rowOff>
                  </to>
                </anchor>
              </controlPr>
            </control>
          </mc:Choice>
        </mc:AlternateContent>
        <mc:AlternateContent xmlns:mc="http://schemas.openxmlformats.org/markup-compatibility/2006">
          <mc:Choice Requires="x14">
            <control shapeId="54289" r:id="rId18" name="Button 17">
              <controlPr defaultSize="0" print="0" autoFill="0" autoPict="0" macro="[0]!GOTOSUMMARY">
                <anchor moveWithCells="1">
                  <from>
                    <xdr:col>12</xdr:col>
                    <xdr:colOff>212271</xdr:colOff>
                    <xdr:row>0</xdr:row>
                    <xdr:rowOff>87086</xdr:rowOff>
                  </from>
                  <to>
                    <xdr:col>13</xdr:col>
                    <xdr:colOff>182336</xdr:colOff>
                    <xdr:row>1</xdr:row>
                    <xdr:rowOff>133350</xdr:rowOff>
                  </to>
                </anchor>
              </controlPr>
            </control>
          </mc:Choice>
        </mc:AlternateContent>
        <mc:AlternateContent xmlns:mc="http://schemas.openxmlformats.org/markup-compatibility/2006">
          <mc:Choice Requires="x14">
            <control shapeId="54290" r:id="rId19" name="Button 18">
              <controlPr defaultSize="0" print="0" autoFill="0" autoPict="0" macro="[0]!BACKTOMENU">
                <anchor moveWithCells="1">
                  <from>
                    <xdr:col>12</xdr:col>
                    <xdr:colOff>242207</xdr:colOff>
                    <xdr:row>2</xdr:row>
                    <xdr:rowOff>65314</xdr:rowOff>
                  </from>
                  <to>
                    <xdr:col>13</xdr:col>
                    <xdr:colOff>212271</xdr:colOff>
                    <xdr:row>2</xdr:row>
                    <xdr:rowOff>269421</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4EF1A-E379-47FA-ACD0-F00B70B1A6B6}">
  <sheetPr codeName="Sheet7"/>
  <dimension ref="A1:I230"/>
  <sheetViews>
    <sheetView showGridLines="0" showZeros="0" workbookViewId="0">
      <selection activeCell="J2" sqref="J2"/>
    </sheetView>
  </sheetViews>
  <sheetFormatPr defaultRowHeight="12.9"/>
  <sheetData>
    <row r="1" spans="1:9">
      <c r="A1" s="195"/>
      <c r="B1" s="29"/>
      <c r="C1" s="29"/>
      <c r="D1" s="29"/>
      <c r="E1" s="29"/>
      <c r="F1" s="29"/>
      <c r="G1" s="29"/>
      <c r="H1" s="29"/>
      <c r="I1" s="30"/>
    </row>
    <row r="2" spans="1:9">
      <c r="A2" s="31"/>
      <c r="I2" s="32"/>
    </row>
    <row r="3" spans="1:9">
      <c r="A3" s="31"/>
      <c r="I3" s="32"/>
    </row>
    <row r="4" spans="1:9">
      <c r="A4" s="31"/>
      <c r="I4" s="32"/>
    </row>
    <row r="5" spans="1:9">
      <c r="A5" s="31"/>
      <c r="I5" s="32"/>
    </row>
    <row r="6" spans="1:9">
      <c r="A6" s="31"/>
      <c r="I6" s="32"/>
    </row>
    <row r="7" spans="1:9">
      <c r="A7" s="31"/>
      <c r="I7" s="32"/>
    </row>
    <row r="8" spans="1:9">
      <c r="A8" s="31"/>
      <c r="I8" s="32"/>
    </row>
    <row r="9" spans="1:9">
      <c r="A9" s="31"/>
      <c r="I9" s="32"/>
    </row>
    <row r="10" spans="1:9">
      <c r="A10" s="31"/>
      <c r="I10" s="32"/>
    </row>
    <row r="11" spans="1:9">
      <c r="A11" s="31"/>
      <c r="I11" s="32"/>
    </row>
    <row r="12" spans="1:9">
      <c r="A12" s="31"/>
      <c r="I12" s="32"/>
    </row>
    <row r="13" spans="1:9">
      <c r="A13" s="31"/>
      <c r="I13" s="32"/>
    </row>
    <row r="14" spans="1:9">
      <c r="A14" s="31"/>
      <c r="I14" s="32"/>
    </row>
    <row r="15" spans="1:9">
      <c r="A15" s="31"/>
      <c r="I15" s="32"/>
    </row>
    <row r="16" spans="1:9">
      <c r="A16" s="31"/>
      <c r="I16" s="32"/>
    </row>
    <row r="17" spans="1:9">
      <c r="A17" s="31"/>
      <c r="I17" s="32"/>
    </row>
    <row r="18" spans="1:9">
      <c r="A18" s="31"/>
      <c r="I18" s="32"/>
    </row>
    <row r="19" spans="1:9">
      <c r="A19" s="31"/>
      <c r="I19" s="32"/>
    </row>
    <row r="20" spans="1:9">
      <c r="A20" s="31"/>
      <c r="I20" s="32"/>
    </row>
    <row r="21" spans="1:9">
      <c r="A21" s="31"/>
      <c r="I21" s="32"/>
    </row>
    <row r="22" spans="1:9">
      <c r="A22" s="31"/>
      <c r="I22" s="32"/>
    </row>
    <row r="23" spans="1:9">
      <c r="A23" s="31"/>
      <c r="I23" s="32"/>
    </row>
    <row r="24" spans="1:9">
      <c r="A24" s="31"/>
      <c r="I24" s="32"/>
    </row>
    <row r="25" spans="1:9">
      <c r="A25" s="31"/>
      <c r="I25" s="32"/>
    </row>
    <row r="26" spans="1:9">
      <c r="A26" s="31"/>
      <c r="I26" s="32"/>
    </row>
    <row r="27" spans="1:9">
      <c r="A27" s="31"/>
      <c r="I27" s="32"/>
    </row>
    <row r="28" spans="1:9">
      <c r="A28" s="31"/>
      <c r="I28" s="32"/>
    </row>
    <row r="29" spans="1:9">
      <c r="A29" s="31"/>
      <c r="I29" s="32"/>
    </row>
    <row r="30" spans="1:9">
      <c r="A30" s="31"/>
      <c r="I30" s="32"/>
    </row>
    <row r="31" spans="1:9">
      <c r="A31" s="31"/>
      <c r="I31" s="32"/>
    </row>
    <row r="32" spans="1:9">
      <c r="A32" s="31"/>
      <c r="I32" s="32"/>
    </row>
    <row r="33" spans="1:9">
      <c r="A33" s="31"/>
      <c r="I33" s="32"/>
    </row>
    <row r="34" spans="1:9">
      <c r="A34" s="31"/>
      <c r="I34" s="32"/>
    </row>
    <row r="35" spans="1:9">
      <c r="A35" s="31"/>
      <c r="I35" s="32"/>
    </row>
    <row r="36" spans="1:9">
      <c r="A36" s="31"/>
      <c r="I36" s="32"/>
    </row>
    <row r="37" spans="1:9">
      <c r="A37" s="31"/>
      <c r="I37" s="32"/>
    </row>
    <row r="38" spans="1:9">
      <c r="A38" s="31"/>
      <c r="I38" s="32"/>
    </row>
    <row r="39" spans="1:9">
      <c r="A39" s="31"/>
      <c r="I39" s="32"/>
    </row>
    <row r="40" spans="1:9">
      <c r="A40" s="31"/>
      <c r="I40" s="32"/>
    </row>
    <row r="41" spans="1:9">
      <c r="A41" s="31"/>
      <c r="I41" s="32"/>
    </row>
    <row r="42" spans="1:9">
      <c r="A42" s="31"/>
      <c r="I42" s="32"/>
    </row>
    <row r="43" spans="1:9">
      <c r="A43" s="31"/>
      <c r="I43" s="32"/>
    </row>
    <row r="44" spans="1:9">
      <c r="A44" s="31"/>
      <c r="I44" s="32"/>
    </row>
    <row r="45" spans="1:9">
      <c r="A45" s="31"/>
      <c r="I45" s="32"/>
    </row>
    <row r="46" spans="1:9">
      <c r="A46" s="33"/>
      <c r="B46" s="19"/>
      <c r="C46" s="19"/>
      <c r="D46" s="19"/>
      <c r="E46" s="19"/>
      <c r="F46" s="19"/>
      <c r="G46" s="19"/>
      <c r="H46" s="19"/>
      <c r="I46" s="34"/>
    </row>
    <row r="47" spans="1:9">
      <c r="A47" s="195"/>
      <c r="B47" s="29"/>
      <c r="C47" s="29"/>
      <c r="D47" s="29"/>
      <c r="E47" s="29"/>
      <c r="F47" s="29"/>
      <c r="G47" s="29"/>
      <c r="H47" s="29"/>
      <c r="I47" s="30"/>
    </row>
    <row r="48" spans="1:9">
      <c r="A48" s="31"/>
      <c r="I48" s="32"/>
    </row>
    <row r="49" spans="1:9">
      <c r="A49" s="31"/>
      <c r="I49" s="32"/>
    </row>
    <row r="50" spans="1:9">
      <c r="A50" s="31"/>
      <c r="I50" s="32"/>
    </row>
    <row r="51" spans="1:9">
      <c r="A51" s="31"/>
      <c r="I51" s="32"/>
    </row>
    <row r="52" spans="1:9">
      <c r="A52" s="31"/>
      <c r="I52" s="32"/>
    </row>
    <row r="53" spans="1:9">
      <c r="A53" s="31"/>
      <c r="I53" s="32"/>
    </row>
    <row r="54" spans="1:9">
      <c r="A54" s="31"/>
      <c r="I54" s="32"/>
    </row>
    <row r="55" spans="1:9">
      <c r="A55" s="31"/>
      <c r="I55" s="32"/>
    </row>
    <row r="56" spans="1:9">
      <c r="A56" s="31"/>
      <c r="I56" s="32"/>
    </row>
    <row r="57" spans="1:9">
      <c r="A57" s="31"/>
      <c r="I57" s="32"/>
    </row>
    <row r="58" spans="1:9">
      <c r="A58" s="31"/>
      <c r="I58" s="32"/>
    </row>
    <row r="59" spans="1:9">
      <c r="A59" s="31"/>
      <c r="I59" s="32"/>
    </row>
    <row r="60" spans="1:9">
      <c r="A60" s="31"/>
      <c r="I60" s="32"/>
    </row>
    <row r="61" spans="1:9">
      <c r="A61" s="31"/>
      <c r="I61" s="32"/>
    </row>
    <row r="62" spans="1:9">
      <c r="A62" s="31"/>
      <c r="I62" s="32"/>
    </row>
    <row r="63" spans="1:9">
      <c r="A63" s="31"/>
      <c r="I63" s="32"/>
    </row>
    <row r="64" spans="1:9">
      <c r="A64" s="31"/>
      <c r="I64" s="32"/>
    </row>
    <row r="65" spans="1:9">
      <c r="A65" s="31"/>
      <c r="I65" s="32"/>
    </row>
    <row r="66" spans="1:9">
      <c r="A66" s="31"/>
      <c r="I66" s="32"/>
    </row>
    <row r="67" spans="1:9">
      <c r="A67" s="31"/>
      <c r="I67" s="32"/>
    </row>
    <row r="68" spans="1:9">
      <c r="A68" s="31"/>
      <c r="I68" s="32"/>
    </row>
    <row r="69" spans="1:9">
      <c r="A69" s="31"/>
      <c r="I69" s="32"/>
    </row>
    <row r="70" spans="1:9">
      <c r="A70" s="31"/>
      <c r="I70" s="32"/>
    </row>
    <row r="71" spans="1:9">
      <c r="A71" s="31"/>
      <c r="I71" s="32"/>
    </row>
    <row r="72" spans="1:9">
      <c r="A72" s="31"/>
      <c r="I72" s="32"/>
    </row>
    <row r="73" spans="1:9">
      <c r="A73" s="31"/>
      <c r="I73" s="32"/>
    </row>
    <row r="74" spans="1:9">
      <c r="A74" s="31"/>
      <c r="I74" s="32"/>
    </row>
    <row r="75" spans="1:9">
      <c r="A75" s="31"/>
      <c r="I75" s="32"/>
    </row>
    <row r="76" spans="1:9">
      <c r="A76" s="31"/>
      <c r="I76" s="32"/>
    </row>
    <row r="77" spans="1:9">
      <c r="A77" s="31"/>
      <c r="I77" s="32"/>
    </row>
    <row r="78" spans="1:9">
      <c r="A78" s="31"/>
      <c r="I78" s="32"/>
    </row>
    <row r="79" spans="1:9">
      <c r="A79" s="31"/>
      <c r="I79" s="32"/>
    </row>
    <row r="80" spans="1:9">
      <c r="A80" s="31"/>
      <c r="I80" s="32"/>
    </row>
    <row r="81" spans="1:9">
      <c r="A81" s="31"/>
      <c r="I81" s="32"/>
    </row>
    <row r="82" spans="1:9">
      <c r="A82" s="31"/>
      <c r="I82" s="32"/>
    </row>
    <row r="83" spans="1:9">
      <c r="A83" s="31"/>
      <c r="I83" s="32"/>
    </row>
    <row r="84" spans="1:9">
      <c r="A84" s="31"/>
      <c r="I84" s="32"/>
    </row>
    <row r="85" spans="1:9">
      <c r="A85" s="31"/>
      <c r="I85" s="32"/>
    </row>
    <row r="86" spans="1:9">
      <c r="A86" s="31"/>
      <c r="I86" s="32"/>
    </row>
    <row r="87" spans="1:9">
      <c r="A87" s="31"/>
      <c r="I87" s="32"/>
    </row>
    <row r="88" spans="1:9">
      <c r="A88" s="31"/>
      <c r="I88" s="32"/>
    </row>
    <row r="89" spans="1:9">
      <c r="A89" s="31"/>
      <c r="I89" s="32"/>
    </row>
    <row r="90" spans="1:9">
      <c r="A90" s="31"/>
      <c r="I90" s="32"/>
    </row>
    <row r="91" spans="1:9">
      <c r="A91" s="31"/>
      <c r="I91" s="32"/>
    </row>
    <row r="92" spans="1:9">
      <c r="A92" s="33"/>
      <c r="B92" s="19"/>
      <c r="C92" s="19"/>
      <c r="D92" s="19"/>
      <c r="E92" s="19"/>
      <c r="F92" s="19"/>
      <c r="G92" s="19"/>
      <c r="H92" s="19"/>
      <c r="I92" s="34"/>
    </row>
    <row r="93" spans="1:9">
      <c r="A93" s="195"/>
      <c r="B93" s="29"/>
      <c r="C93" s="29"/>
      <c r="D93" s="29"/>
      <c r="E93" s="29"/>
      <c r="F93" s="29"/>
      <c r="G93" s="29"/>
      <c r="H93" s="29"/>
      <c r="I93" s="30"/>
    </row>
    <row r="94" spans="1:9">
      <c r="A94" s="31"/>
      <c r="I94" s="32"/>
    </row>
    <row r="95" spans="1:9">
      <c r="A95" s="31"/>
      <c r="I95" s="32"/>
    </row>
    <row r="96" spans="1:9">
      <c r="A96" s="31"/>
      <c r="I96" s="32"/>
    </row>
    <row r="97" spans="1:9">
      <c r="A97" s="31"/>
      <c r="I97" s="32"/>
    </row>
    <row r="98" spans="1:9">
      <c r="A98" s="31"/>
      <c r="I98" s="32"/>
    </row>
    <row r="99" spans="1:9">
      <c r="A99" s="31"/>
      <c r="I99" s="32"/>
    </row>
    <row r="100" spans="1:9">
      <c r="A100" s="31"/>
      <c r="I100" s="32"/>
    </row>
    <row r="101" spans="1:9">
      <c r="A101" s="31"/>
      <c r="I101" s="32"/>
    </row>
    <row r="102" spans="1:9">
      <c r="A102" s="31"/>
      <c r="I102" s="32"/>
    </row>
    <row r="103" spans="1:9">
      <c r="A103" s="31"/>
      <c r="I103" s="32"/>
    </row>
    <row r="104" spans="1:9">
      <c r="A104" s="31"/>
      <c r="I104" s="32"/>
    </row>
    <row r="105" spans="1:9">
      <c r="A105" s="31"/>
      <c r="I105" s="32"/>
    </row>
    <row r="106" spans="1:9">
      <c r="A106" s="31"/>
      <c r="I106" s="32"/>
    </row>
    <row r="107" spans="1:9">
      <c r="A107" s="31"/>
      <c r="I107" s="32"/>
    </row>
    <row r="108" spans="1:9">
      <c r="A108" s="31"/>
      <c r="I108" s="32"/>
    </row>
    <row r="109" spans="1:9">
      <c r="A109" s="31"/>
      <c r="I109" s="32"/>
    </row>
    <row r="110" spans="1:9">
      <c r="A110" s="31"/>
      <c r="I110" s="32"/>
    </row>
    <row r="111" spans="1:9">
      <c r="A111" s="31"/>
      <c r="I111" s="32"/>
    </row>
    <row r="112" spans="1:9">
      <c r="A112" s="31"/>
      <c r="I112" s="32"/>
    </row>
    <row r="113" spans="1:9">
      <c r="A113" s="31"/>
      <c r="I113" s="32"/>
    </row>
    <row r="114" spans="1:9">
      <c r="A114" s="31"/>
      <c r="I114" s="32"/>
    </row>
    <row r="115" spans="1:9">
      <c r="A115" s="31"/>
      <c r="I115" s="32"/>
    </row>
    <row r="116" spans="1:9">
      <c r="A116" s="31"/>
      <c r="I116" s="32"/>
    </row>
    <row r="117" spans="1:9">
      <c r="A117" s="31"/>
      <c r="I117" s="32"/>
    </row>
    <row r="118" spans="1:9">
      <c r="A118" s="31"/>
      <c r="I118" s="32"/>
    </row>
    <row r="119" spans="1:9">
      <c r="A119" s="31"/>
      <c r="I119" s="32"/>
    </row>
    <row r="120" spans="1:9">
      <c r="A120" s="31"/>
      <c r="I120" s="32"/>
    </row>
    <row r="121" spans="1:9">
      <c r="A121" s="31"/>
      <c r="I121" s="32"/>
    </row>
    <row r="122" spans="1:9">
      <c r="A122" s="31"/>
      <c r="I122" s="32"/>
    </row>
    <row r="123" spans="1:9">
      <c r="A123" s="31"/>
      <c r="I123" s="32"/>
    </row>
    <row r="124" spans="1:9">
      <c r="A124" s="31"/>
      <c r="I124" s="32"/>
    </row>
    <row r="125" spans="1:9">
      <c r="A125" s="31"/>
      <c r="I125" s="32"/>
    </row>
    <row r="126" spans="1:9">
      <c r="A126" s="31"/>
      <c r="I126" s="32"/>
    </row>
    <row r="127" spans="1:9">
      <c r="A127" s="31"/>
      <c r="I127" s="32"/>
    </row>
    <row r="128" spans="1:9">
      <c r="A128" s="31"/>
      <c r="I128" s="32"/>
    </row>
    <row r="129" spans="1:9">
      <c r="A129" s="31"/>
      <c r="I129" s="32"/>
    </row>
    <row r="130" spans="1:9">
      <c r="A130" s="31"/>
      <c r="I130" s="32"/>
    </row>
    <row r="131" spans="1:9">
      <c r="A131" s="31"/>
      <c r="I131" s="32"/>
    </row>
    <row r="132" spans="1:9">
      <c r="A132" s="31"/>
      <c r="I132" s="32"/>
    </row>
    <row r="133" spans="1:9">
      <c r="A133" s="31"/>
      <c r="I133" s="32"/>
    </row>
    <row r="134" spans="1:9">
      <c r="A134" s="31"/>
      <c r="I134" s="32"/>
    </row>
    <row r="135" spans="1:9">
      <c r="A135" s="31"/>
      <c r="I135" s="32"/>
    </row>
    <row r="136" spans="1:9">
      <c r="A136" s="31"/>
      <c r="I136" s="32"/>
    </row>
    <row r="137" spans="1:9">
      <c r="A137" s="31"/>
      <c r="I137" s="32"/>
    </row>
    <row r="138" spans="1:9">
      <c r="A138" s="33"/>
      <c r="B138" s="19"/>
      <c r="C138" s="19"/>
      <c r="D138" s="19"/>
      <c r="E138" s="19"/>
      <c r="F138" s="19"/>
      <c r="G138" s="19"/>
      <c r="H138" s="19"/>
      <c r="I138" s="34"/>
    </row>
    <row r="139" spans="1:9">
      <c r="A139" s="195"/>
      <c r="B139" s="29"/>
      <c r="C139" s="29"/>
      <c r="D139" s="29"/>
      <c r="E139" s="29"/>
      <c r="F139" s="29"/>
      <c r="G139" s="29"/>
      <c r="H139" s="29"/>
      <c r="I139" s="30"/>
    </row>
    <row r="140" spans="1:9">
      <c r="A140" s="31"/>
      <c r="I140" s="32"/>
    </row>
    <row r="141" spans="1:9">
      <c r="A141" s="31"/>
      <c r="I141" s="32"/>
    </row>
    <row r="142" spans="1:9">
      <c r="A142" s="31"/>
      <c r="I142" s="32"/>
    </row>
    <row r="143" spans="1:9">
      <c r="A143" s="31"/>
      <c r="I143" s="32"/>
    </row>
    <row r="144" spans="1:9">
      <c r="A144" s="31"/>
      <c r="I144" s="32"/>
    </row>
    <row r="145" spans="1:9">
      <c r="A145" s="31"/>
      <c r="I145" s="32"/>
    </row>
    <row r="146" spans="1:9">
      <c r="A146" s="31"/>
      <c r="I146" s="32"/>
    </row>
    <row r="147" spans="1:9">
      <c r="A147" s="31"/>
      <c r="I147" s="32"/>
    </row>
    <row r="148" spans="1:9">
      <c r="A148" s="31"/>
      <c r="I148" s="32"/>
    </row>
    <row r="149" spans="1:9">
      <c r="A149" s="31"/>
      <c r="I149" s="32"/>
    </row>
    <row r="150" spans="1:9">
      <c r="A150" s="31"/>
      <c r="I150" s="32"/>
    </row>
    <row r="151" spans="1:9">
      <c r="A151" s="31"/>
      <c r="I151" s="32"/>
    </row>
    <row r="152" spans="1:9">
      <c r="A152" s="31"/>
      <c r="I152" s="32"/>
    </row>
    <row r="153" spans="1:9">
      <c r="A153" s="31"/>
      <c r="I153" s="32"/>
    </row>
    <row r="154" spans="1:9">
      <c r="A154" s="31"/>
      <c r="I154" s="32"/>
    </row>
    <row r="155" spans="1:9">
      <c r="A155" s="31"/>
      <c r="I155" s="32"/>
    </row>
    <row r="156" spans="1:9">
      <c r="A156" s="31"/>
      <c r="I156" s="32"/>
    </row>
    <row r="157" spans="1:9">
      <c r="A157" s="31"/>
      <c r="I157" s="32"/>
    </row>
    <row r="158" spans="1:9">
      <c r="A158" s="31"/>
      <c r="I158" s="32"/>
    </row>
    <row r="159" spans="1:9">
      <c r="A159" s="31"/>
      <c r="I159" s="32"/>
    </row>
    <row r="160" spans="1:9">
      <c r="A160" s="31"/>
      <c r="I160" s="32"/>
    </row>
    <row r="161" spans="1:9">
      <c r="A161" s="31"/>
      <c r="I161" s="32"/>
    </row>
    <row r="162" spans="1:9">
      <c r="A162" s="31"/>
      <c r="I162" s="32"/>
    </row>
    <row r="163" spans="1:9">
      <c r="A163" s="31"/>
      <c r="I163" s="32"/>
    </row>
    <row r="164" spans="1:9">
      <c r="A164" s="31"/>
      <c r="I164" s="32"/>
    </row>
    <row r="165" spans="1:9">
      <c r="A165" s="31"/>
      <c r="I165" s="32"/>
    </row>
    <row r="166" spans="1:9">
      <c r="A166" s="31"/>
      <c r="I166" s="32"/>
    </row>
    <row r="167" spans="1:9">
      <c r="A167" s="31"/>
      <c r="I167" s="32"/>
    </row>
    <row r="168" spans="1:9">
      <c r="A168" s="31"/>
      <c r="I168" s="32"/>
    </row>
    <row r="169" spans="1:9">
      <c r="A169" s="31"/>
      <c r="I169" s="32"/>
    </row>
    <row r="170" spans="1:9">
      <c r="A170" s="31"/>
      <c r="I170" s="32"/>
    </row>
    <row r="171" spans="1:9">
      <c r="A171" s="31"/>
      <c r="I171" s="32"/>
    </row>
    <row r="172" spans="1:9">
      <c r="A172" s="31"/>
      <c r="I172" s="32"/>
    </row>
    <row r="173" spans="1:9">
      <c r="A173" s="31"/>
      <c r="I173" s="32"/>
    </row>
    <row r="174" spans="1:9">
      <c r="A174" s="31"/>
      <c r="I174" s="32"/>
    </row>
    <row r="175" spans="1:9">
      <c r="A175" s="31"/>
      <c r="I175" s="32"/>
    </row>
    <row r="176" spans="1:9">
      <c r="A176" s="31"/>
      <c r="I176" s="32"/>
    </row>
    <row r="177" spans="1:9">
      <c r="A177" s="31"/>
      <c r="I177" s="32"/>
    </row>
    <row r="178" spans="1:9">
      <c r="A178" s="31"/>
      <c r="I178" s="32"/>
    </row>
    <row r="179" spans="1:9">
      <c r="A179" s="31"/>
      <c r="I179" s="32"/>
    </row>
    <row r="180" spans="1:9">
      <c r="A180" s="31"/>
      <c r="I180" s="32"/>
    </row>
    <row r="181" spans="1:9">
      <c r="A181" s="31"/>
      <c r="I181" s="32"/>
    </row>
    <row r="182" spans="1:9">
      <c r="A182" s="31"/>
      <c r="I182" s="32"/>
    </row>
    <row r="183" spans="1:9">
      <c r="A183" s="31"/>
      <c r="I183" s="32"/>
    </row>
    <row r="184" spans="1:9">
      <c r="A184" s="33"/>
      <c r="B184" s="19"/>
      <c r="C184" s="19"/>
      <c r="D184" s="19"/>
      <c r="E184" s="19"/>
      <c r="F184" s="19"/>
      <c r="G184" s="19"/>
      <c r="H184" s="19"/>
      <c r="I184" s="34"/>
    </row>
    <row r="185" spans="1:9">
      <c r="A185" s="195"/>
      <c r="B185" s="29"/>
      <c r="C185" s="29"/>
      <c r="D185" s="29"/>
      <c r="E185" s="29"/>
      <c r="F185" s="29"/>
      <c r="G185" s="29"/>
      <c r="H185" s="29"/>
      <c r="I185" s="30"/>
    </row>
    <row r="186" spans="1:9">
      <c r="A186" s="31"/>
      <c r="I186" s="32"/>
    </row>
    <row r="187" spans="1:9">
      <c r="A187" s="31"/>
      <c r="I187" s="32"/>
    </row>
    <row r="188" spans="1:9">
      <c r="A188" s="31"/>
      <c r="I188" s="32"/>
    </row>
    <row r="189" spans="1:9">
      <c r="A189" s="31"/>
      <c r="I189" s="32"/>
    </row>
    <row r="190" spans="1:9">
      <c r="A190" s="31"/>
      <c r="I190" s="32"/>
    </row>
    <row r="191" spans="1:9">
      <c r="A191" s="31"/>
      <c r="I191" s="32"/>
    </row>
    <row r="192" spans="1:9">
      <c r="A192" s="31"/>
      <c r="I192" s="32"/>
    </row>
    <row r="193" spans="1:9">
      <c r="A193" s="31"/>
      <c r="I193" s="32"/>
    </row>
    <row r="194" spans="1:9">
      <c r="A194" s="31"/>
      <c r="I194" s="32"/>
    </row>
    <row r="195" spans="1:9">
      <c r="A195" s="31"/>
      <c r="I195" s="32"/>
    </row>
    <row r="196" spans="1:9">
      <c r="A196" s="31"/>
      <c r="I196" s="32"/>
    </row>
    <row r="197" spans="1:9">
      <c r="A197" s="31"/>
      <c r="I197" s="32"/>
    </row>
    <row r="198" spans="1:9">
      <c r="A198" s="31"/>
      <c r="I198" s="32"/>
    </row>
    <row r="199" spans="1:9">
      <c r="A199" s="31"/>
      <c r="I199" s="32"/>
    </row>
    <row r="200" spans="1:9">
      <c r="A200" s="31"/>
      <c r="I200" s="32"/>
    </row>
    <row r="201" spans="1:9">
      <c r="A201" s="31"/>
      <c r="I201" s="32"/>
    </row>
    <row r="202" spans="1:9">
      <c r="A202" s="31"/>
      <c r="I202" s="32"/>
    </row>
    <row r="203" spans="1:9">
      <c r="A203" s="31"/>
      <c r="I203" s="32"/>
    </row>
    <row r="204" spans="1:9">
      <c r="A204" s="31"/>
      <c r="I204" s="32"/>
    </row>
    <row r="205" spans="1:9">
      <c r="A205" s="31"/>
      <c r="I205" s="32"/>
    </row>
    <row r="206" spans="1:9">
      <c r="A206" s="31"/>
      <c r="I206" s="32"/>
    </row>
    <row r="207" spans="1:9">
      <c r="A207" s="31"/>
      <c r="I207" s="32"/>
    </row>
    <row r="208" spans="1:9">
      <c r="A208" s="31"/>
      <c r="I208" s="32"/>
    </row>
    <row r="209" spans="1:9">
      <c r="A209" s="31"/>
      <c r="I209" s="32"/>
    </row>
    <row r="210" spans="1:9">
      <c r="A210" s="31"/>
      <c r="I210" s="32"/>
    </row>
    <row r="211" spans="1:9">
      <c r="A211" s="31"/>
      <c r="I211" s="32"/>
    </row>
    <row r="212" spans="1:9">
      <c r="A212" s="31"/>
      <c r="I212" s="32"/>
    </row>
    <row r="213" spans="1:9">
      <c r="A213" s="31"/>
      <c r="I213" s="32"/>
    </row>
    <row r="214" spans="1:9">
      <c r="A214" s="31"/>
      <c r="I214" s="32"/>
    </row>
    <row r="215" spans="1:9">
      <c r="A215" s="31"/>
      <c r="I215" s="32"/>
    </row>
    <row r="216" spans="1:9">
      <c r="A216" s="31"/>
      <c r="I216" s="32"/>
    </row>
    <row r="217" spans="1:9">
      <c r="A217" s="31"/>
      <c r="I217" s="32"/>
    </row>
    <row r="218" spans="1:9">
      <c r="A218" s="31"/>
      <c r="I218" s="32"/>
    </row>
    <row r="219" spans="1:9">
      <c r="A219" s="31"/>
      <c r="I219" s="32"/>
    </row>
    <row r="220" spans="1:9">
      <c r="A220" s="31"/>
      <c r="I220" s="32"/>
    </row>
    <row r="221" spans="1:9">
      <c r="A221" s="31"/>
      <c r="I221" s="32"/>
    </row>
    <row r="222" spans="1:9">
      <c r="A222" s="31"/>
      <c r="I222" s="32"/>
    </row>
    <row r="223" spans="1:9">
      <c r="A223" s="31"/>
      <c r="I223" s="32"/>
    </row>
    <row r="224" spans="1:9">
      <c r="A224" s="31"/>
      <c r="I224" s="32"/>
    </row>
    <row r="225" spans="1:9">
      <c r="A225" s="31"/>
      <c r="I225" s="32"/>
    </row>
    <row r="226" spans="1:9">
      <c r="A226" s="31"/>
      <c r="I226" s="32"/>
    </row>
    <row r="227" spans="1:9">
      <c r="A227" s="31"/>
      <c r="I227" s="32"/>
    </row>
    <row r="228" spans="1:9">
      <c r="A228" s="31"/>
      <c r="I228" s="32"/>
    </row>
    <row r="229" spans="1:9">
      <c r="A229" s="31"/>
      <c r="I229" s="32"/>
    </row>
    <row r="230" spans="1:9">
      <c r="A230" s="33"/>
      <c r="B230" s="19"/>
      <c r="C230" s="19"/>
      <c r="D230" s="19"/>
      <c r="E230" s="19"/>
      <c r="F230" s="19"/>
      <c r="G230" s="19"/>
      <c r="H230" s="19"/>
      <c r="I230" s="34"/>
    </row>
  </sheetData>
  <phoneticPr fontId="0" type="noConversion"/>
  <printOptions horizontalCentered="1" verticalCentered="1"/>
  <pageMargins left="0.5" right="0.5" top="1" bottom="1" header="0.25" footer="0.25"/>
  <pageSetup scale="110"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81" r:id="rId4" name="Button 1">
              <controlPr defaultSize="0" print="0" autoFill="0" autoPict="0" macro="[0]!BACKTOMENU">
                <anchor moveWithCells="1">
                  <from>
                    <xdr:col>9</xdr:col>
                    <xdr:colOff>424543</xdr:colOff>
                    <xdr:row>1</xdr:row>
                    <xdr:rowOff>114300</xdr:rowOff>
                  </from>
                  <to>
                    <xdr:col>10</xdr:col>
                    <xdr:colOff>326571</xdr:colOff>
                    <xdr:row>3</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AEB30-DC08-449A-9FC7-BCD27D6A5D31}">
  <dimension ref="A1:J58"/>
  <sheetViews>
    <sheetView showGridLines="0" topLeftCell="A32" zoomScale="150" workbookViewId="0">
      <selection activeCell="C35" sqref="C35:I35"/>
    </sheetView>
  </sheetViews>
  <sheetFormatPr defaultRowHeight="12.9"/>
  <cols>
    <col min="1" max="1" width="9.15234375" style="168" customWidth="1"/>
  </cols>
  <sheetData>
    <row r="1" spans="1:10" ht="13.1">
      <c r="A1" s="1772" t="s">
        <v>767</v>
      </c>
      <c r="B1" s="1773"/>
      <c r="C1" s="1773"/>
      <c r="D1" s="1773"/>
      <c r="E1" s="1773"/>
      <c r="F1" s="1773"/>
      <c r="G1" s="1773"/>
      <c r="H1" s="1773"/>
      <c r="I1" s="1773"/>
      <c r="J1" s="1774"/>
    </row>
    <row r="2" spans="1:10">
      <c r="A2" s="634"/>
      <c r="J2" s="32"/>
    </row>
    <row r="3" spans="1:10">
      <c r="A3" s="634" t="s">
        <v>768</v>
      </c>
      <c r="C3" s="1767"/>
      <c r="D3" s="1767"/>
      <c r="E3" s="1767"/>
      <c r="F3" s="1767"/>
      <c r="G3" s="1767"/>
      <c r="H3" s="1767"/>
      <c r="I3" s="1767"/>
      <c r="J3" s="32"/>
    </row>
    <row r="4" spans="1:10">
      <c r="A4" s="634"/>
      <c r="J4" s="32"/>
    </row>
    <row r="5" spans="1:10">
      <c r="A5" s="634" t="s">
        <v>769</v>
      </c>
      <c r="C5" s="1767"/>
      <c r="D5" s="1767"/>
      <c r="E5" s="1767"/>
      <c r="F5" s="1767"/>
      <c r="G5" s="1767"/>
      <c r="H5" s="1767"/>
      <c r="I5" s="1767"/>
      <c r="J5" s="32"/>
    </row>
    <row r="6" spans="1:10">
      <c r="A6" s="634"/>
      <c r="J6" s="32"/>
    </row>
    <row r="7" spans="1:10">
      <c r="A7" s="634" t="s">
        <v>770</v>
      </c>
      <c r="C7" s="1776"/>
      <c r="D7" s="1776"/>
      <c r="E7" s="1776"/>
      <c r="F7" s="1776"/>
      <c r="G7" s="1776"/>
      <c r="H7" s="1776"/>
      <c r="I7" s="1776"/>
      <c r="J7" s="32"/>
    </row>
    <row r="8" spans="1:10">
      <c r="A8" s="634"/>
      <c r="J8" s="32"/>
    </row>
    <row r="9" spans="1:10">
      <c r="A9" s="634" t="s">
        <v>567</v>
      </c>
      <c r="C9" s="1775"/>
      <c r="D9" s="1775"/>
      <c r="E9" s="123" t="s">
        <v>774</v>
      </c>
      <c r="F9" s="1319"/>
      <c r="G9" s="1319"/>
      <c r="H9" s="123" t="s">
        <v>775</v>
      </c>
      <c r="J9" s="32"/>
    </row>
    <row r="10" spans="1:10">
      <c r="A10" s="634"/>
      <c r="J10" s="32"/>
    </row>
    <row r="11" spans="1:10">
      <c r="A11" s="634" t="s">
        <v>771</v>
      </c>
      <c r="C11" s="1776"/>
      <c r="D11" s="1776"/>
      <c r="E11" s="1776"/>
      <c r="F11" s="1776"/>
      <c r="G11" s="1776"/>
      <c r="H11" s="1776"/>
      <c r="I11" s="1776"/>
      <c r="J11" s="32"/>
    </row>
    <row r="12" spans="1:10">
      <c r="A12" s="634"/>
      <c r="J12" s="32"/>
    </row>
    <row r="13" spans="1:10">
      <c r="A13" s="634" t="s">
        <v>772</v>
      </c>
      <c r="C13" s="1767"/>
      <c r="D13" s="1767"/>
      <c r="E13" s="1767"/>
      <c r="F13" s="1767"/>
      <c r="G13" s="1767"/>
      <c r="H13" s="1767"/>
      <c r="I13" s="1767"/>
      <c r="J13" s="32"/>
    </row>
    <row r="14" spans="1:10">
      <c r="A14" s="634"/>
      <c r="J14" s="32"/>
    </row>
    <row r="15" spans="1:10">
      <c r="A15" s="634" t="s">
        <v>773</v>
      </c>
      <c r="C15" s="1767"/>
      <c r="D15" s="1767"/>
      <c r="E15" s="1767"/>
      <c r="F15" s="1767"/>
      <c r="G15" s="1767"/>
      <c r="H15" s="1767"/>
      <c r="I15" s="1767"/>
      <c r="J15" s="32"/>
    </row>
    <row r="16" spans="1:10" ht="13.5" thickBot="1">
      <c r="A16" s="1320"/>
      <c r="B16" s="21"/>
      <c r="C16" s="21"/>
      <c r="D16" s="21"/>
      <c r="E16" s="21"/>
      <c r="F16" s="21"/>
      <c r="G16" s="21"/>
      <c r="H16" s="21"/>
      <c r="I16" s="21"/>
      <c r="J16" s="1321"/>
    </row>
    <row r="17" spans="1:10">
      <c r="A17" s="634" t="s">
        <v>776</v>
      </c>
      <c r="C17" s="1771"/>
      <c r="D17" s="1771"/>
      <c r="E17" s="1771"/>
      <c r="F17" s="1771"/>
      <c r="G17" s="1771"/>
      <c r="H17" s="1771"/>
      <c r="I17" s="1771"/>
      <c r="J17" s="32"/>
    </row>
    <row r="18" spans="1:10">
      <c r="A18" s="634"/>
      <c r="J18" s="32"/>
    </row>
    <row r="19" spans="1:10">
      <c r="A19" s="634" t="s">
        <v>777</v>
      </c>
      <c r="C19" s="1767"/>
      <c r="D19" s="1767"/>
      <c r="E19" s="1767"/>
      <c r="F19" s="1767"/>
      <c r="G19" s="1767"/>
      <c r="H19" s="1767"/>
      <c r="I19" s="1767"/>
      <c r="J19" s="32"/>
    </row>
    <row r="20" spans="1:10">
      <c r="A20" s="634"/>
      <c r="J20" s="32"/>
    </row>
    <row r="21" spans="1:10">
      <c r="A21" s="634" t="s">
        <v>778</v>
      </c>
      <c r="C21" s="1767"/>
      <c r="D21" s="1767"/>
      <c r="E21" s="1767"/>
      <c r="F21" s="1767"/>
      <c r="G21" s="1767"/>
      <c r="H21" s="1767"/>
      <c r="I21" s="1767"/>
      <c r="J21" s="32"/>
    </row>
    <row r="22" spans="1:10">
      <c r="A22" s="634"/>
      <c r="J22" s="32"/>
    </row>
    <row r="23" spans="1:10">
      <c r="A23" s="634" t="s">
        <v>779</v>
      </c>
      <c r="D23" s="1767"/>
      <c r="E23" s="1767"/>
      <c r="F23" s="1767"/>
      <c r="G23" s="1767"/>
      <c r="H23" s="1767"/>
      <c r="I23" s="1767"/>
      <c r="J23" s="32"/>
    </row>
    <row r="24" spans="1:10">
      <c r="A24" s="634"/>
      <c r="J24" s="32"/>
    </row>
    <row r="25" spans="1:10">
      <c r="A25" s="634" t="s">
        <v>780</v>
      </c>
      <c r="D25" s="1767"/>
      <c r="E25" s="1767"/>
      <c r="F25" s="1767"/>
      <c r="G25" s="1767"/>
      <c r="H25" s="1767"/>
      <c r="I25" s="1767"/>
      <c r="J25" s="32"/>
    </row>
    <row r="26" spans="1:10">
      <c r="A26" s="634"/>
      <c r="J26" s="32"/>
    </row>
    <row r="27" spans="1:10">
      <c r="A27" s="634" t="s">
        <v>781</v>
      </c>
      <c r="F27" s="1767"/>
      <c r="G27" s="1767"/>
      <c r="H27" s="1767"/>
      <c r="I27" s="1767"/>
      <c r="J27" s="32"/>
    </row>
    <row r="28" spans="1:10" ht="13.5" thickBot="1">
      <c r="A28" s="1320"/>
      <c r="B28" s="21"/>
      <c r="C28" s="21"/>
      <c r="D28" s="21"/>
      <c r="E28" s="21"/>
      <c r="F28" s="21"/>
      <c r="G28" s="21"/>
      <c r="H28" s="21"/>
      <c r="I28" s="21"/>
      <c r="J28" s="1321"/>
    </row>
    <row r="29" spans="1:10">
      <c r="A29" s="634" t="s">
        <v>782</v>
      </c>
      <c r="C29" s="1771"/>
      <c r="D29" s="1771"/>
      <c r="E29" s="1771"/>
      <c r="F29" s="1771"/>
      <c r="G29" s="1771"/>
      <c r="H29" s="1771"/>
      <c r="I29" s="1771"/>
      <c r="J29" s="32"/>
    </row>
    <row r="30" spans="1:10">
      <c r="A30" s="634"/>
      <c r="J30" s="32"/>
    </row>
    <row r="31" spans="1:10">
      <c r="A31" s="634" t="s">
        <v>782</v>
      </c>
      <c r="C31" s="1767"/>
      <c r="D31" s="1767"/>
      <c r="E31" s="1767"/>
      <c r="F31" s="1767"/>
      <c r="G31" s="1767"/>
      <c r="H31" s="1767"/>
      <c r="I31" s="1767"/>
      <c r="J31" s="32"/>
    </row>
    <row r="32" spans="1:10">
      <c r="A32" s="634"/>
      <c r="J32" s="32"/>
    </row>
    <row r="33" spans="1:10">
      <c r="A33" s="634" t="s">
        <v>783</v>
      </c>
      <c r="C33" s="1764"/>
      <c r="D33" s="1764"/>
      <c r="E33" s="1764"/>
      <c r="F33" s="1764"/>
      <c r="G33" s="1764"/>
      <c r="H33" s="1764"/>
      <c r="I33" s="1764"/>
      <c r="J33" s="32"/>
    </row>
    <row r="34" spans="1:10">
      <c r="A34" s="634"/>
      <c r="J34" s="32"/>
    </row>
    <row r="35" spans="1:10">
      <c r="A35" s="634" t="s">
        <v>784</v>
      </c>
      <c r="C35" s="1767"/>
      <c r="D35" s="1767"/>
      <c r="E35" s="1767"/>
      <c r="F35" s="1767"/>
      <c r="G35" s="1767"/>
      <c r="H35" s="1767"/>
      <c r="I35" s="1767"/>
      <c r="J35" s="32"/>
    </row>
    <row r="36" spans="1:10">
      <c r="A36" s="634"/>
      <c r="J36" s="32"/>
    </row>
    <row r="37" spans="1:10">
      <c r="A37" s="634" t="s">
        <v>781</v>
      </c>
      <c r="F37" s="1767"/>
      <c r="G37" s="1767"/>
      <c r="H37" s="1767"/>
      <c r="I37" s="1767"/>
      <c r="J37" s="32"/>
    </row>
    <row r="38" spans="1:10" ht="13.5" thickBot="1">
      <c r="A38" s="1320"/>
      <c r="B38" s="21"/>
      <c r="C38" s="21"/>
      <c r="D38" s="21"/>
      <c r="E38" s="21"/>
      <c r="F38" s="21"/>
      <c r="G38" s="21"/>
      <c r="H38" s="21"/>
      <c r="I38" s="21"/>
      <c r="J38" s="1321"/>
    </row>
    <row r="39" spans="1:10">
      <c r="A39" s="634" t="s">
        <v>785</v>
      </c>
      <c r="J39" s="32"/>
    </row>
    <row r="40" spans="1:10">
      <c r="A40" s="634"/>
      <c r="J40" s="32"/>
    </row>
    <row r="41" spans="1:10">
      <c r="A41" s="634"/>
      <c r="J41" s="32"/>
    </row>
    <row r="42" spans="1:10">
      <c r="A42" s="634"/>
      <c r="J42" s="32"/>
    </row>
    <row r="43" spans="1:10">
      <c r="A43" s="634"/>
      <c r="J43" s="32"/>
    </row>
    <row r="44" spans="1:10" ht="13.5" thickBot="1">
      <c r="A44" s="1320"/>
      <c r="B44" s="21"/>
      <c r="C44" s="21"/>
      <c r="D44" s="21"/>
      <c r="E44" s="21"/>
      <c r="F44" s="21"/>
      <c r="G44" s="21"/>
      <c r="H44" s="21"/>
      <c r="I44" s="21"/>
      <c r="J44" s="1321"/>
    </row>
    <row r="45" spans="1:10">
      <c r="A45" s="634" t="s">
        <v>786</v>
      </c>
      <c r="J45" s="32"/>
    </row>
    <row r="46" spans="1:10">
      <c r="A46" s="634"/>
      <c r="J46" s="32"/>
    </row>
    <row r="47" spans="1:10">
      <c r="A47" s="634"/>
      <c r="J47" s="32"/>
    </row>
    <row r="48" spans="1:10">
      <c r="A48" s="634"/>
      <c r="J48" s="32"/>
    </row>
    <row r="49" spans="1:10" ht="13.5" thickBot="1">
      <c r="A49" s="1320"/>
      <c r="B49" s="21"/>
      <c r="C49" s="21"/>
      <c r="D49" s="21"/>
      <c r="E49" s="21"/>
      <c r="F49" s="21"/>
      <c r="G49" s="21"/>
      <c r="H49" s="21"/>
      <c r="I49" s="21"/>
      <c r="J49" s="1321"/>
    </row>
    <row r="50" spans="1:10">
      <c r="A50" s="634" t="s">
        <v>787</v>
      </c>
      <c r="J50" s="32"/>
    </row>
    <row r="51" spans="1:10">
      <c r="A51" s="634"/>
      <c r="J51" s="32"/>
    </row>
    <row r="52" spans="1:10">
      <c r="A52" s="634"/>
      <c r="J52" s="32"/>
    </row>
    <row r="53" spans="1:10">
      <c r="A53" s="634"/>
      <c r="J53" s="32"/>
    </row>
    <row r="54" spans="1:10" ht="13.5" thickBot="1">
      <c r="A54" s="1320"/>
      <c r="B54" s="21"/>
      <c r="C54" s="21"/>
      <c r="D54" s="21"/>
      <c r="E54" s="21"/>
      <c r="F54" s="21"/>
      <c r="G54" s="21"/>
      <c r="H54" s="21"/>
      <c r="I54" s="21"/>
      <c r="J54" s="1321"/>
    </row>
    <row r="55" spans="1:10" ht="13.1">
      <c r="A55" s="634" t="s">
        <v>821</v>
      </c>
      <c r="D55" s="1768"/>
      <c r="E55" s="1768"/>
      <c r="F55" s="1768"/>
      <c r="G55" s="1309" t="s">
        <v>790</v>
      </c>
      <c r="H55" s="1769"/>
      <c r="I55" s="1769"/>
      <c r="J55" s="302"/>
    </row>
    <row r="56" spans="1:10">
      <c r="A56" s="634" t="s">
        <v>788</v>
      </c>
      <c r="D56" s="1766"/>
      <c r="E56" s="1766"/>
      <c r="F56" s="1766"/>
      <c r="G56" s="1309" t="s">
        <v>221</v>
      </c>
      <c r="H56" s="1770"/>
      <c r="I56" s="1770"/>
      <c r="J56" s="1322"/>
    </row>
    <row r="57" spans="1:10">
      <c r="A57" s="634" t="s">
        <v>789</v>
      </c>
      <c r="D57" s="1766"/>
      <c r="E57" s="1766"/>
      <c r="F57" s="1766"/>
      <c r="G57" s="1309" t="s">
        <v>221</v>
      </c>
      <c r="H57" s="1765"/>
      <c r="I57" s="1765"/>
      <c r="J57" s="1322"/>
    </row>
    <row r="58" spans="1:10">
      <c r="A58" s="1323"/>
      <c r="B58" s="29"/>
      <c r="C58" s="29"/>
      <c r="D58" s="29"/>
      <c r="E58" s="29"/>
      <c r="F58" s="29"/>
      <c r="G58" s="1324"/>
      <c r="H58" s="1323"/>
      <c r="I58" s="1323"/>
      <c r="J58" s="1323"/>
    </row>
  </sheetData>
  <mergeCells count="25">
    <mergeCell ref="C13:I13"/>
    <mergeCell ref="C15:I15"/>
    <mergeCell ref="C17:I17"/>
    <mergeCell ref="C19:I19"/>
    <mergeCell ref="A1:J1"/>
    <mergeCell ref="C9:D9"/>
    <mergeCell ref="C7:I7"/>
    <mergeCell ref="C11:I11"/>
    <mergeCell ref="C5:I5"/>
    <mergeCell ref="C3:I3"/>
    <mergeCell ref="C29:I29"/>
    <mergeCell ref="C21:I21"/>
    <mergeCell ref="D23:I23"/>
    <mergeCell ref="D25:I25"/>
    <mergeCell ref="C31:I31"/>
    <mergeCell ref="F27:I27"/>
    <mergeCell ref="C33:I33"/>
    <mergeCell ref="H57:I57"/>
    <mergeCell ref="D57:F57"/>
    <mergeCell ref="C35:I35"/>
    <mergeCell ref="F37:I37"/>
    <mergeCell ref="D55:F55"/>
    <mergeCell ref="D56:F56"/>
    <mergeCell ref="H55:I55"/>
    <mergeCell ref="H56:I56"/>
  </mergeCells>
  <phoneticPr fontId="118" type="noConversion"/>
  <pageMargins left="0.5" right="0.5" top="0.5" bottom="0.5" header="0.5" footer="0.5"/>
  <pageSetup orientation="portrait" horizontalDpi="4294967293" verticalDpi="0"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A5B8B-D0D3-46F4-8995-0EC114AD3880}">
  <dimension ref="A1"/>
  <sheetViews>
    <sheetView zoomScale="125" workbookViewId="0">
      <selection activeCell="P6" sqref="P6"/>
    </sheetView>
  </sheetViews>
  <sheetFormatPr defaultRowHeight="12.9"/>
  <sheetData/>
  <phoneticPr fontId="118" type="noConversion"/>
  <pageMargins left="0.75" right="0.75" top="1" bottom="1" header="0.5" footer="0.5"/>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7826" r:id="rId3" name="Button 2">
              <controlPr defaultSize="0" print="0" autoFill="0" autoPict="0" macro="[0]!BACKTOMENU">
                <anchor moveWithCells="1">
                  <from>
                    <xdr:col>11</xdr:col>
                    <xdr:colOff>0</xdr:colOff>
                    <xdr:row>0</xdr:row>
                    <xdr:rowOff>0</xdr:rowOff>
                  </from>
                  <to>
                    <xdr:col>11</xdr:col>
                    <xdr:colOff>582386</xdr:colOff>
                    <xdr:row>1</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D6EF6-5A3C-4A7E-8F9F-1464F157B0BA}">
  <sheetPr codeName="Sheet10"/>
  <dimension ref="A1:N180"/>
  <sheetViews>
    <sheetView showGridLines="0" showZeros="0" zoomScaleNormal="100" zoomScaleSheetLayoutView="120" workbookViewId="0">
      <selection activeCell="G56" sqref="G56:G61"/>
    </sheetView>
  </sheetViews>
  <sheetFormatPr defaultRowHeight="12.9"/>
  <cols>
    <col min="5" max="5" width="11.265625" customWidth="1"/>
  </cols>
  <sheetData>
    <row r="1" spans="2:14" ht="13.1">
      <c r="B1" s="238" t="s">
        <v>116</v>
      </c>
      <c r="C1" s="68"/>
      <c r="D1" s="68"/>
      <c r="E1" s="68"/>
      <c r="F1" s="68"/>
      <c r="G1" s="68"/>
      <c r="H1" s="68"/>
      <c r="I1" s="68"/>
      <c r="J1" s="68"/>
    </row>
    <row r="2" spans="2:14" ht="13.75" thickBot="1">
      <c r="B2" s="69" t="s">
        <v>117</v>
      </c>
      <c r="C2" s="69" t="s">
        <v>118</v>
      </c>
      <c r="D2" s="69" t="s">
        <v>119</v>
      </c>
      <c r="E2" s="69" t="s">
        <v>120</v>
      </c>
      <c r="F2" s="69" t="s">
        <v>121</v>
      </c>
      <c r="G2" s="68" t="s">
        <v>122</v>
      </c>
      <c r="H2" s="68"/>
      <c r="I2" s="68"/>
      <c r="J2" s="68"/>
    </row>
    <row r="3" spans="2:14" ht="13.1">
      <c r="B3" s="79">
        <v>0.25</v>
      </c>
      <c r="C3" s="79">
        <v>6.35</v>
      </c>
      <c r="D3" s="79">
        <v>13.002000000000001</v>
      </c>
      <c r="E3" s="79">
        <v>12.965999999999999</v>
      </c>
      <c r="F3" s="79">
        <v>12.974</v>
      </c>
      <c r="G3" s="192" t="s">
        <v>351</v>
      </c>
      <c r="H3" s="38"/>
      <c r="I3" s="38"/>
      <c r="J3" s="38"/>
      <c r="K3" s="945" t="s">
        <v>166</v>
      </c>
      <c r="L3" s="29"/>
      <c r="M3" s="946">
        <v>1.3699999999999999E-3</v>
      </c>
      <c r="N3" s="1180" t="s">
        <v>931</v>
      </c>
    </row>
    <row r="4" spans="2:14" ht="13.1">
      <c r="B4" s="79">
        <v>0.375</v>
      </c>
      <c r="C4" s="79">
        <v>9.5250000000000004</v>
      </c>
      <c r="D4" s="79">
        <v>28.074999999999999</v>
      </c>
      <c r="E4" s="79">
        <v>29.026</v>
      </c>
      <c r="F4" s="79">
        <v>28.898</v>
      </c>
      <c r="G4" s="940" t="s">
        <v>163</v>
      </c>
      <c r="H4" s="941">
        <f>0.00072</f>
        <v>7.2000000000000005E-4</v>
      </c>
      <c r="I4" s="23" t="s">
        <v>931</v>
      </c>
      <c r="J4" s="23"/>
      <c r="K4" s="31"/>
      <c r="N4" s="32"/>
    </row>
    <row r="5" spans="2:14" ht="13.1">
      <c r="B5" s="79">
        <v>0.5</v>
      </c>
      <c r="C5" s="79">
        <v>12.7</v>
      </c>
      <c r="D5" s="79">
        <v>51.68</v>
      </c>
      <c r="E5" s="79">
        <v>51.444000000000003</v>
      </c>
      <c r="F5" s="79">
        <v>51.375999999999998</v>
      </c>
      <c r="G5" s="940" t="s">
        <v>164</v>
      </c>
      <c r="H5" s="943">
        <f>0.00117</f>
        <v>1.17E-3</v>
      </c>
      <c r="I5" s="23" t="s">
        <v>931</v>
      </c>
      <c r="J5" s="23"/>
      <c r="K5" s="31"/>
      <c r="N5" s="32"/>
    </row>
    <row r="6" spans="2:14" ht="13.1">
      <c r="B6" s="79">
        <v>0.625</v>
      </c>
      <c r="C6" s="79">
        <v>15.875</v>
      </c>
      <c r="D6" s="79">
        <v>81.129000000000005</v>
      </c>
      <c r="E6" s="79">
        <v>80.426000000000002</v>
      </c>
      <c r="F6" s="79">
        <v>80.218000000000004</v>
      </c>
      <c r="G6" s="942" t="s">
        <v>165</v>
      </c>
      <c r="H6" s="944">
        <f>0.0016468</f>
        <v>1.6467999999999999E-3</v>
      </c>
      <c r="I6" s="24" t="s">
        <v>931</v>
      </c>
      <c r="J6" s="24"/>
      <c r="K6" s="33"/>
      <c r="L6" s="19"/>
      <c r="M6" s="19"/>
      <c r="N6" s="34"/>
    </row>
    <row r="7" spans="2:14" ht="13.1">
      <c r="B7" s="79">
        <v>0.75</v>
      </c>
      <c r="C7" s="79">
        <v>19.05</v>
      </c>
      <c r="D7" s="79">
        <v>117.77</v>
      </c>
      <c r="E7" s="79">
        <v>116.16</v>
      </c>
      <c r="F7" s="79">
        <v>115.67</v>
      </c>
      <c r="G7" s="190" t="s">
        <v>328</v>
      </c>
      <c r="H7" s="23"/>
      <c r="I7" s="23"/>
      <c r="J7" s="39"/>
      <c r="K7" s="1777" t="s">
        <v>1276</v>
      </c>
      <c r="L7" s="1773"/>
      <c r="M7" s="1773"/>
      <c r="N7" s="1773"/>
    </row>
    <row r="8" spans="2:14" ht="13.1">
      <c r="B8" s="79">
        <v>0.875</v>
      </c>
      <c r="C8" s="79">
        <v>22.225000000000001</v>
      </c>
      <c r="D8" s="79">
        <v>162.11000000000001</v>
      </c>
      <c r="E8" s="79">
        <v>158.69999999999999</v>
      </c>
      <c r="F8" s="159">
        <v>157.81</v>
      </c>
      <c r="G8" s="99" t="s">
        <v>329</v>
      </c>
      <c r="H8" s="69" t="s">
        <v>330</v>
      </c>
      <c r="I8" s="69" t="s">
        <v>931</v>
      </c>
      <c r="J8" s="45"/>
      <c r="K8" s="335" t="s">
        <v>1271</v>
      </c>
    </row>
    <row r="9" spans="2:14" ht="13.1">
      <c r="B9" s="79">
        <v>1</v>
      </c>
      <c r="C9" s="79">
        <v>25.4</v>
      </c>
      <c r="D9" s="79">
        <v>215.94</v>
      </c>
      <c r="E9" s="79">
        <v>208.21</v>
      </c>
      <c r="F9" s="79">
        <v>206.62</v>
      </c>
      <c r="G9" s="84">
        <v>139.69999999999999</v>
      </c>
      <c r="H9" s="23">
        <v>20.8</v>
      </c>
      <c r="I9" s="23">
        <v>1.2729000000000001E-2</v>
      </c>
      <c r="J9" s="39"/>
      <c r="K9" s="335" t="s">
        <v>1272</v>
      </c>
    </row>
    <row r="10" spans="2:14" ht="13.1">
      <c r="B10" s="79">
        <v>1.125</v>
      </c>
      <c r="C10" s="79">
        <v>28.574999999999999</v>
      </c>
      <c r="D10" s="79">
        <v>277.93</v>
      </c>
      <c r="E10" s="79">
        <v>264.97000000000003</v>
      </c>
      <c r="F10" s="79">
        <v>262.20999999999998</v>
      </c>
      <c r="G10" s="84">
        <v>139.69999999999999</v>
      </c>
      <c r="H10" s="23">
        <v>23.1</v>
      </c>
      <c r="I10" s="23">
        <v>1.2416E-2</v>
      </c>
      <c r="J10" s="39"/>
      <c r="K10" s="335" t="s">
        <v>1273</v>
      </c>
    </row>
    <row r="11" spans="2:14" ht="13.1">
      <c r="B11" s="79">
        <v>1.25</v>
      </c>
      <c r="C11" s="79">
        <v>31.75</v>
      </c>
      <c r="D11" s="79">
        <v>353.04</v>
      </c>
      <c r="E11" s="79">
        <v>329.41</v>
      </c>
      <c r="F11" s="79">
        <v>324.72000000000003</v>
      </c>
      <c r="G11" s="22">
        <v>139.69999999999999</v>
      </c>
      <c r="H11" s="22">
        <v>25.3</v>
      </c>
      <c r="I11" s="23">
        <v>1.2126E-2</v>
      </c>
      <c r="J11" s="39"/>
      <c r="K11" s="335" t="s">
        <v>1274</v>
      </c>
    </row>
    <row r="12" spans="2:14" ht="13.75" thickBot="1">
      <c r="B12" s="79">
        <v>1.375</v>
      </c>
      <c r="C12" s="79">
        <v>34.924999999999997</v>
      </c>
      <c r="D12" s="79">
        <v>443.44</v>
      </c>
      <c r="E12" s="79">
        <v>401.1</v>
      </c>
      <c r="F12" s="79">
        <v>394.35</v>
      </c>
      <c r="G12" s="182">
        <v>114.3</v>
      </c>
      <c r="H12" s="183">
        <v>14.1</v>
      </c>
      <c r="I12" s="24">
        <v>8.4759999999999992E-3</v>
      </c>
      <c r="J12" s="184"/>
      <c r="K12" s="335" t="s">
        <v>1275</v>
      </c>
    </row>
    <row r="13" spans="2:14" ht="13.1">
      <c r="B13" s="79">
        <v>1.5</v>
      </c>
      <c r="C13" s="79">
        <v>38.1</v>
      </c>
      <c r="D13" s="79">
        <v>554.71</v>
      </c>
      <c r="E13" s="79">
        <v>483.8</v>
      </c>
      <c r="F13" s="79">
        <v>471.35</v>
      </c>
      <c r="G13" s="191" t="s">
        <v>406</v>
      </c>
      <c r="J13" s="189"/>
      <c r="K13" s="42"/>
      <c r="L13" s="50"/>
      <c r="M13" s="50"/>
      <c r="N13" s="43"/>
    </row>
    <row r="14" spans="2:14" ht="13.1">
      <c r="B14" s="79">
        <v>1.625</v>
      </c>
      <c r="C14" s="79">
        <v>41.274999999999999</v>
      </c>
      <c r="D14" s="79">
        <v>691.15</v>
      </c>
      <c r="E14" s="79">
        <v>575.47</v>
      </c>
      <c r="F14" s="79">
        <v>556.05999999999995</v>
      </c>
      <c r="G14" s="168" t="s">
        <v>384</v>
      </c>
      <c r="H14" s="23"/>
      <c r="I14" s="22"/>
      <c r="J14" s="185">
        <f>I12-0.0008396</f>
        <v>7.6363999999999989E-3</v>
      </c>
      <c r="K14" s="1361" t="s">
        <v>922</v>
      </c>
      <c r="N14" s="45"/>
    </row>
    <row r="15" spans="2:14" ht="13.1">
      <c r="B15" s="79">
        <v>1.75</v>
      </c>
      <c r="C15" s="79">
        <v>44.45</v>
      </c>
      <c r="D15" s="79">
        <v>1251.79</v>
      </c>
      <c r="E15" s="79">
        <v>678.61</v>
      </c>
      <c r="F15" s="79">
        <v>648.92999999999995</v>
      </c>
      <c r="G15" s="157" t="s">
        <v>402</v>
      </c>
      <c r="H15" s="23"/>
      <c r="I15" s="22"/>
      <c r="J15" s="185">
        <f>I9-0.00117</f>
        <v>1.1559E-2</v>
      </c>
      <c r="K15" s="338" t="s">
        <v>923</v>
      </c>
      <c r="L15" t="s">
        <v>928</v>
      </c>
      <c r="N15" s="45"/>
    </row>
    <row r="16" spans="2:14" ht="13.1">
      <c r="B16" s="79">
        <v>1.875</v>
      </c>
      <c r="C16" s="79">
        <v>47.625</v>
      </c>
      <c r="D16" s="79"/>
      <c r="E16" s="79">
        <v>794.99</v>
      </c>
      <c r="F16" s="79">
        <v>750.5</v>
      </c>
      <c r="G16" s="634" t="s">
        <v>993</v>
      </c>
      <c r="H16" s="23"/>
      <c r="I16" s="22"/>
      <c r="J16" s="185">
        <f>0.00854+0.003019</f>
        <v>1.1559E-2</v>
      </c>
      <c r="K16" s="338" t="s">
        <v>924</v>
      </c>
      <c r="M16" t="s">
        <v>925</v>
      </c>
      <c r="N16" s="45"/>
    </row>
    <row r="17" spans="1:14" ht="13.1">
      <c r="B17" s="79">
        <v>2</v>
      </c>
      <c r="C17" s="79">
        <v>50.8</v>
      </c>
      <c r="D17" s="79"/>
      <c r="E17" s="79">
        <v>926.76</v>
      </c>
      <c r="F17" s="79">
        <v>861.42</v>
      </c>
      <c r="G17" s="186" t="s">
        <v>403</v>
      </c>
      <c r="H17" s="23"/>
      <c r="I17" s="22"/>
      <c r="J17" s="185">
        <f>I10-0.00117</f>
        <v>1.1245999999999999E-2</v>
      </c>
      <c r="K17" s="1362" t="s">
        <v>926</v>
      </c>
      <c r="M17" t="s">
        <v>927</v>
      </c>
      <c r="N17" s="45"/>
    </row>
    <row r="18" spans="1:14" ht="13.1">
      <c r="B18" s="79">
        <v>2.125</v>
      </c>
      <c r="C18" s="79">
        <v>53.975000000000001</v>
      </c>
      <c r="D18" s="79"/>
      <c r="E18" s="79">
        <v>1076.5999999999999</v>
      </c>
      <c r="F18" s="79">
        <v>982.5</v>
      </c>
      <c r="G18" s="186" t="s">
        <v>404</v>
      </c>
      <c r="I18" s="23"/>
      <c r="J18" s="185">
        <f>I11-0.00117</f>
        <v>1.0956E-2</v>
      </c>
      <c r="K18" s="44"/>
      <c r="N18" s="45"/>
    </row>
    <row r="19" spans="1:14" ht="13.1">
      <c r="B19" s="79">
        <v>2.25</v>
      </c>
      <c r="C19" s="79">
        <v>57.15</v>
      </c>
      <c r="D19" s="79"/>
      <c r="E19" s="79">
        <v>1251.2</v>
      </c>
      <c r="F19" s="79">
        <v>1114.9000000000001</v>
      </c>
      <c r="G19" s="186" t="s">
        <v>411</v>
      </c>
      <c r="I19" s="23"/>
      <c r="J19" s="185">
        <v>2.0277E-2</v>
      </c>
      <c r="K19" s="44"/>
      <c r="N19" s="45"/>
    </row>
    <row r="20" spans="1:14" ht="13.1">
      <c r="B20" s="79">
        <v>2.375</v>
      </c>
      <c r="C20" s="79">
        <v>60.325000000000003</v>
      </c>
      <c r="D20" s="79"/>
      <c r="E20" s="79" t="s">
        <v>115</v>
      </c>
      <c r="F20" s="79">
        <v>1259.9000000000001</v>
      </c>
      <c r="G20" s="84"/>
      <c r="H20" s="23"/>
      <c r="I20" s="23"/>
      <c r="J20" s="39"/>
      <c r="K20" s="44"/>
      <c r="N20" s="45"/>
    </row>
    <row r="21" spans="1:14" ht="13.1">
      <c r="B21" s="79">
        <v>2.5</v>
      </c>
      <c r="C21" s="79">
        <v>63.5</v>
      </c>
      <c r="D21" s="79"/>
      <c r="E21" s="79"/>
      <c r="F21" s="79">
        <v>1419</v>
      </c>
      <c r="G21" s="84"/>
      <c r="H21" s="23"/>
      <c r="I21" s="23"/>
      <c r="J21" s="39"/>
      <c r="K21" s="44"/>
      <c r="N21" s="45"/>
    </row>
    <row r="22" spans="1:14" ht="13.1">
      <c r="B22" s="79">
        <v>2.625</v>
      </c>
      <c r="C22" s="79">
        <v>66.674999999999997</v>
      </c>
      <c r="D22" s="79"/>
      <c r="E22" s="79"/>
      <c r="F22" s="79">
        <v>1593.9</v>
      </c>
      <c r="G22" s="84" t="s">
        <v>932</v>
      </c>
      <c r="H22" s="23"/>
      <c r="I22" s="23"/>
      <c r="J22" s="39"/>
      <c r="K22" s="44"/>
      <c r="N22" s="45"/>
    </row>
    <row r="23" spans="1:14" ht="13.1">
      <c r="B23" s="79">
        <v>2.75</v>
      </c>
      <c r="C23" s="79">
        <v>69.849999999999994</v>
      </c>
      <c r="D23" s="79"/>
      <c r="E23" s="79"/>
      <c r="F23" s="79">
        <v>1786.7</v>
      </c>
      <c r="G23" s="84" t="s">
        <v>994</v>
      </c>
      <c r="H23" s="23"/>
      <c r="I23" s="23"/>
      <c r="J23" s="39"/>
      <c r="K23" s="44"/>
      <c r="N23" s="45"/>
    </row>
    <row r="24" spans="1:14" ht="13.1">
      <c r="B24" s="79">
        <v>2.875</v>
      </c>
      <c r="C24" s="79">
        <v>73.025000000000006</v>
      </c>
      <c r="D24" s="79"/>
      <c r="E24" s="79"/>
      <c r="F24" s="79">
        <v>2000.3</v>
      </c>
      <c r="G24" s="84"/>
      <c r="H24" s="23"/>
      <c r="I24" s="23"/>
      <c r="J24" s="39"/>
      <c r="K24" s="44"/>
      <c r="N24" s="45"/>
    </row>
    <row r="25" spans="1:14" ht="13.75" thickBot="1">
      <c r="B25" s="79">
        <v>3</v>
      </c>
      <c r="C25" s="79">
        <v>76.2</v>
      </c>
      <c r="D25" s="79"/>
      <c r="E25" s="79"/>
      <c r="F25" s="79">
        <v>2245.3000000000002</v>
      </c>
      <c r="G25" s="85"/>
      <c r="H25" s="82"/>
      <c r="I25" s="82"/>
      <c r="J25" s="83"/>
      <c r="K25" s="46"/>
      <c r="L25" s="21"/>
      <c r="M25" s="21"/>
      <c r="N25" s="47"/>
    </row>
    <row r="26" spans="1:14">
      <c r="B26" s="71"/>
      <c r="C26" s="71"/>
      <c r="D26" s="71"/>
      <c r="E26" s="72"/>
      <c r="F26" s="71"/>
    </row>
    <row r="27" spans="1:14" ht="13.1">
      <c r="B27" s="239" t="s">
        <v>123</v>
      </c>
      <c r="C27" s="73"/>
      <c r="D27" s="73"/>
      <c r="E27" s="74"/>
      <c r="F27" s="73"/>
      <c r="G27" s="75"/>
      <c r="H27" s="75"/>
      <c r="I27" s="75"/>
      <c r="J27" s="75"/>
    </row>
    <row r="28" spans="1:14" ht="13.5" thickBot="1">
      <c r="B28" s="76" t="s">
        <v>117</v>
      </c>
      <c r="C28" s="76" t="s">
        <v>118</v>
      </c>
      <c r="D28" s="76" t="s">
        <v>124</v>
      </c>
      <c r="E28" s="77" t="s">
        <v>125</v>
      </c>
      <c r="F28" s="73" t="s">
        <v>122</v>
      </c>
      <c r="G28" s="75"/>
      <c r="H28" s="75"/>
      <c r="I28" s="75"/>
      <c r="J28" s="75"/>
    </row>
    <row r="29" spans="1:14" ht="13.1">
      <c r="A29" s="1137">
        <f t="shared" ref="A29:A50" si="0">C29</f>
        <v>15.875</v>
      </c>
      <c r="B29" s="78">
        <v>0.625</v>
      </c>
      <c r="C29" s="78">
        <v>15.875</v>
      </c>
      <c r="D29" s="79">
        <v>1.524</v>
      </c>
      <c r="E29" s="79"/>
      <c r="F29" s="1783" t="s">
        <v>614</v>
      </c>
      <c r="G29" s="1784"/>
      <c r="H29" s="1784"/>
      <c r="I29" s="1784"/>
      <c r="J29" s="1785"/>
    </row>
    <row r="30" spans="1:14">
      <c r="A30" s="1137">
        <f t="shared" si="0"/>
        <v>2.3812500000000001</v>
      </c>
      <c r="B30" s="78">
        <v>9.375E-2</v>
      </c>
      <c r="C30" s="78">
        <v>2.3812500000000001</v>
      </c>
      <c r="D30" s="79">
        <v>3.355</v>
      </c>
      <c r="E30" s="79"/>
      <c r="F30" s="1786" t="s">
        <v>615</v>
      </c>
      <c r="G30" s="1787"/>
      <c r="H30" s="208" t="s">
        <v>616</v>
      </c>
      <c r="I30" s="1788" t="s">
        <v>617</v>
      </c>
      <c r="J30" s="1789"/>
    </row>
    <row r="31" spans="1:14" ht="13.1">
      <c r="A31" s="1137">
        <f t="shared" si="0"/>
        <v>3.1749999999999998</v>
      </c>
      <c r="B31" s="78">
        <v>0.125</v>
      </c>
      <c r="C31" s="78">
        <v>3.1749999999999998</v>
      </c>
      <c r="D31" s="79">
        <v>6.3010000000000002</v>
      </c>
      <c r="E31" s="79">
        <v>6.25</v>
      </c>
      <c r="F31" s="1790" t="s">
        <v>618</v>
      </c>
      <c r="G31" s="1659"/>
      <c r="H31" s="120">
        <v>2.8289999999999999E-2</v>
      </c>
      <c r="I31" s="1659" t="s">
        <v>619</v>
      </c>
      <c r="J31" s="1778"/>
    </row>
    <row r="32" spans="1:14" ht="13.1">
      <c r="A32" s="1137">
        <f t="shared" si="0"/>
        <v>3.96875</v>
      </c>
      <c r="B32" s="78">
        <v>0.15625</v>
      </c>
      <c r="C32" s="78">
        <v>3.96875</v>
      </c>
      <c r="D32" s="79">
        <v>9.9499999999999993</v>
      </c>
      <c r="E32" s="79"/>
      <c r="F32" s="1781" t="s">
        <v>618</v>
      </c>
      <c r="G32" s="1782"/>
      <c r="H32" s="120">
        <v>28.3</v>
      </c>
      <c r="I32" s="1659" t="s">
        <v>218</v>
      </c>
      <c r="J32" s="1778"/>
    </row>
    <row r="33" spans="1:11" ht="13.1">
      <c r="A33" s="1137">
        <f t="shared" si="0"/>
        <v>4.4450000000000003</v>
      </c>
      <c r="B33" s="78">
        <v>0.17499999999999999</v>
      </c>
      <c r="C33" s="78">
        <v>4.4450000000000003</v>
      </c>
      <c r="D33" s="79">
        <v>11.984</v>
      </c>
      <c r="E33" s="79"/>
      <c r="F33" s="80"/>
      <c r="G33" s="23"/>
      <c r="H33" s="23"/>
      <c r="I33" s="23"/>
      <c r="J33" s="39"/>
    </row>
    <row r="34" spans="1:11" ht="13.1">
      <c r="A34" s="1137">
        <f t="shared" si="0"/>
        <v>4.7625000000000002</v>
      </c>
      <c r="B34" s="78">
        <v>0.1875</v>
      </c>
      <c r="C34" s="78">
        <v>4.7625000000000002</v>
      </c>
      <c r="D34" s="79">
        <v>14.47</v>
      </c>
      <c r="E34" s="79">
        <v>14.44</v>
      </c>
      <c r="F34" s="1187" t="s">
        <v>310</v>
      </c>
      <c r="G34" s="23"/>
      <c r="H34" s="23" t="s">
        <v>311</v>
      </c>
      <c r="I34" s="23"/>
      <c r="J34" s="39"/>
    </row>
    <row r="35" spans="1:11" ht="13.1">
      <c r="A35" s="1137">
        <f t="shared" si="0"/>
        <v>5.5625</v>
      </c>
      <c r="B35" s="78">
        <v>0.21875</v>
      </c>
      <c r="C35" s="78">
        <v>5.5625</v>
      </c>
      <c r="D35" s="79">
        <v>19.97</v>
      </c>
      <c r="E35" s="79"/>
      <c r="F35" s="80" t="s">
        <v>312</v>
      </c>
      <c r="G35" s="23"/>
      <c r="H35" s="23" t="s">
        <v>313</v>
      </c>
      <c r="I35" s="23"/>
      <c r="J35" s="39"/>
    </row>
    <row r="36" spans="1:11" ht="13.1">
      <c r="A36" s="1137">
        <f t="shared" si="0"/>
        <v>6.35</v>
      </c>
      <c r="B36" s="78">
        <v>0.25</v>
      </c>
      <c r="C36" s="78">
        <v>6.35</v>
      </c>
      <c r="D36" s="79">
        <v>25.86</v>
      </c>
      <c r="E36" s="79">
        <v>26.51</v>
      </c>
      <c r="F36" s="80" t="s">
        <v>314</v>
      </c>
      <c r="G36" s="23"/>
      <c r="H36" s="23" t="s">
        <v>315</v>
      </c>
      <c r="I36" s="23"/>
      <c r="J36" s="39"/>
    </row>
    <row r="37" spans="1:11" ht="13.1">
      <c r="A37" s="1137">
        <f t="shared" si="0"/>
        <v>7.9375</v>
      </c>
      <c r="B37" s="78">
        <v>0.3125</v>
      </c>
      <c r="C37" s="78">
        <v>7.9375</v>
      </c>
      <c r="D37" s="79">
        <v>39.770000000000003</v>
      </c>
      <c r="E37" s="79">
        <v>43.64</v>
      </c>
      <c r="F37" s="80"/>
      <c r="G37" s="23"/>
      <c r="H37" s="23"/>
      <c r="I37" s="23"/>
      <c r="J37" s="39"/>
    </row>
    <row r="38" spans="1:11" ht="13.1">
      <c r="A38" s="1137">
        <f t="shared" si="0"/>
        <v>9.5250000000000004</v>
      </c>
      <c r="B38" s="78">
        <v>0.375</v>
      </c>
      <c r="C38" s="78">
        <v>9.5250000000000004</v>
      </c>
      <c r="D38" s="79">
        <v>56.58</v>
      </c>
      <c r="E38" s="79">
        <v>61.21</v>
      </c>
      <c r="F38" s="80"/>
      <c r="G38" s="23"/>
      <c r="H38" s="23"/>
      <c r="I38" s="23"/>
      <c r="J38" s="39"/>
      <c r="K38" s="193"/>
    </row>
    <row r="39" spans="1:11" ht="13.1">
      <c r="A39" s="1137">
        <f t="shared" si="0"/>
        <v>11.125</v>
      </c>
      <c r="B39" s="78">
        <v>0.4375</v>
      </c>
      <c r="C39" s="78">
        <v>11.125</v>
      </c>
      <c r="D39" s="79">
        <v>81.09</v>
      </c>
      <c r="E39" s="79">
        <v>85.13</v>
      </c>
      <c r="F39" s="80" t="s">
        <v>316</v>
      </c>
      <c r="G39" s="23"/>
      <c r="H39" s="23"/>
      <c r="I39" s="23"/>
      <c r="J39" s="39"/>
    </row>
    <row r="40" spans="1:11" ht="13.1">
      <c r="A40" s="1137">
        <f t="shared" si="0"/>
        <v>12.7</v>
      </c>
      <c r="B40" s="78">
        <v>0.5</v>
      </c>
      <c r="C40" s="78">
        <v>12.7</v>
      </c>
      <c r="D40" s="79">
        <v>101.8</v>
      </c>
      <c r="E40" s="79">
        <v>112.72</v>
      </c>
      <c r="F40" s="80"/>
      <c r="G40" s="23"/>
      <c r="H40" s="23"/>
      <c r="I40" s="23"/>
      <c r="J40" s="39"/>
    </row>
    <row r="41" spans="1:11" ht="13.1">
      <c r="A41" s="1137">
        <f t="shared" si="0"/>
        <v>14.2875</v>
      </c>
      <c r="B41" s="78">
        <v>0.5625</v>
      </c>
      <c r="C41" s="78">
        <v>14.2875</v>
      </c>
      <c r="D41" s="79">
        <v>125.1</v>
      </c>
      <c r="E41" s="79"/>
      <c r="F41" s="80" t="s">
        <v>1012</v>
      </c>
      <c r="G41" s="23"/>
      <c r="H41" s="23"/>
      <c r="I41" s="23"/>
      <c r="J41" s="39"/>
    </row>
    <row r="42" spans="1:11" ht="13.1">
      <c r="A42" s="1137">
        <f t="shared" si="0"/>
        <v>15.875</v>
      </c>
      <c r="B42" s="78">
        <v>0.625</v>
      </c>
      <c r="C42" s="78">
        <v>15.875</v>
      </c>
      <c r="D42" s="79">
        <v>154</v>
      </c>
      <c r="E42" s="79">
        <v>179.72</v>
      </c>
      <c r="F42" s="80"/>
      <c r="G42" s="23"/>
      <c r="H42" s="23"/>
      <c r="I42" s="23"/>
      <c r="J42" s="39"/>
    </row>
    <row r="43" spans="1:11" ht="13.1">
      <c r="A43" s="1137">
        <f t="shared" si="0"/>
        <v>19.05</v>
      </c>
      <c r="B43" s="78">
        <v>0.75</v>
      </c>
      <c r="C43" s="78">
        <v>19.05</v>
      </c>
      <c r="D43" s="79">
        <v>224.9</v>
      </c>
      <c r="E43" s="79">
        <v>260.99</v>
      </c>
      <c r="F43" s="80"/>
      <c r="G43" s="23"/>
      <c r="H43" s="23"/>
      <c r="I43" s="23"/>
      <c r="J43" s="39"/>
    </row>
    <row r="44" spans="1:11" ht="13.1">
      <c r="A44" s="1137">
        <f t="shared" si="0"/>
        <v>22.225000000000001</v>
      </c>
      <c r="B44" s="78">
        <v>0.875</v>
      </c>
      <c r="C44" s="78">
        <v>22.225000000000001</v>
      </c>
      <c r="D44" s="79">
        <v>309.3</v>
      </c>
      <c r="E44" s="79"/>
      <c r="F44" s="80"/>
      <c r="G44" s="23"/>
      <c r="H44" s="23"/>
      <c r="I44" s="23"/>
      <c r="J44" s="39"/>
    </row>
    <row r="45" spans="1:11" ht="13.1">
      <c r="A45" s="1137">
        <f t="shared" si="0"/>
        <v>25.4</v>
      </c>
      <c r="B45" s="78">
        <v>1</v>
      </c>
      <c r="C45" s="78">
        <v>25.4</v>
      </c>
      <c r="D45" s="79">
        <v>406.7</v>
      </c>
      <c r="E45" s="79"/>
      <c r="F45" s="80"/>
      <c r="G45" s="23"/>
      <c r="H45" s="23"/>
      <c r="I45" s="23"/>
      <c r="J45" s="39"/>
    </row>
    <row r="46" spans="1:11" ht="13.1">
      <c r="A46" s="1137">
        <f t="shared" si="0"/>
        <v>28.574999999999999</v>
      </c>
      <c r="B46" s="78">
        <v>1.125</v>
      </c>
      <c r="C46" s="78">
        <v>28.574999999999999</v>
      </c>
      <c r="D46" s="79">
        <v>520.79999999999995</v>
      </c>
      <c r="E46" s="79"/>
      <c r="F46" s="80"/>
      <c r="G46" s="23"/>
      <c r="H46" s="23"/>
      <c r="I46" s="23"/>
      <c r="J46" s="39"/>
    </row>
    <row r="47" spans="1:11" ht="13.1">
      <c r="A47" s="1137">
        <f t="shared" si="0"/>
        <v>31.75</v>
      </c>
      <c r="B47" s="78">
        <v>1.25</v>
      </c>
      <c r="C47" s="78">
        <v>31.75</v>
      </c>
      <c r="D47" s="79">
        <v>657.5</v>
      </c>
      <c r="E47" s="79"/>
      <c r="F47" s="80"/>
      <c r="G47" s="23"/>
      <c r="H47" s="23"/>
      <c r="I47" s="23"/>
      <c r="J47" s="39"/>
    </row>
    <row r="48" spans="1:11" ht="13.1">
      <c r="A48" s="1137">
        <f t="shared" si="0"/>
        <v>34.924999999999997</v>
      </c>
      <c r="B48" s="78">
        <v>1.375</v>
      </c>
      <c r="C48" s="78">
        <v>34.924999999999997</v>
      </c>
      <c r="D48" s="79">
        <v>807.8</v>
      </c>
      <c r="E48" s="79"/>
      <c r="F48" s="80"/>
      <c r="G48" s="23"/>
      <c r="H48" s="23"/>
      <c r="I48" s="23"/>
      <c r="J48" s="39"/>
    </row>
    <row r="49" spans="1:11" ht="13.1">
      <c r="A49" s="1137">
        <f t="shared" si="0"/>
        <v>38.1</v>
      </c>
      <c r="B49" s="78">
        <v>1.5</v>
      </c>
      <c r="C49" s="78">
        <v>38.1</v>
      </c>
      <c r="D49" s="79">
        <v>1002</v>
      </c>
      <c r="E49" s="79"/>
      <c r="F49" s="80"/>
      <c r="G49" s="23"/>
      <c r="H49" s="23"/>
      <c r="I49" s="23"/>
      <c r="J49" s="39"/>
    </row>
    <row r="50" spans="1:11" ht="13.75" thickBot="1">
      <c r="A50" s="1137">
        <f t="shared" si="0"/>
        <v>50.8</v>
      </c>
      <c r="B50" s="78">
        <v>2</v>
      </c>
      <c r="C50" s="78">
        <v>50.8</v>
      </c>
      <c r="D50" s="79"/>
      <c r="E50" s="79">
        <v>1209.5999999999999</v>
      </c>
      <c r="F50" s="81" t="s">
        <v>126</v>
      </c>
      <c r="G50" s="82"/>
      <c r="H50" s="82"/>
      <c r="I50" s="82"/>
      <c r="J50" s="83"/>
    </row>
    <row r="51" spans="1:11">
      <c r="F51" s="70"/>
    </row>
    <row r="52" spans="1:11">
      <c r="B52" s="193"/>
      <c r="F52" s="70"/>
    </row>
    <row r="53" spans="1:11" s="22" customFormat="1" ht="13.1">
      <c r="B53" s="1780" t="s">
        <v>499</v>
      </c>
      <c r="C53" s="1780"/>
      <c r="D53" s="1780"/>
      <c r="E53" s="1780"/>
      <c r="F53" s="1780"/>
      <c r="G53" s="1780"/>
      <c r="H53" s="1780"/>
      <c r="I53" s="1780"/>
      <c r="J53" s="1780"/>
      <c r="K53" s="1780"/>
    </row>
    <row r="54" spans="1:11" s="22" customFormat="1" ht="13.1">
      <c r="B54" s="191" t="s">
        <v>167</v>
      </c>
      <c r="E54" s="471" t="s">
        <v>933</v>
      </c>
      <c r="F54" s="471"/>
      <c r="G54" s="471" t="s">
        <v>506</v>
      </c>
      <c r="H54" s="471"/>
      <c r="I54" s="471"/>
      <c r="J54" s="471"/>
      <c r="K54" s="471"/>
    </row>
    <row r="55" spans="1:11" s="22" customFormat="1" ht="13.1">
      <c r="G55" s="69" t="s">
        <v>215</v>
      </c>
      <c r="H55" s="69" t="s">
        <v>246</v>
      </c>
      <c r="I55" s="69" t="s">
        <v>204</v>
      </c>
      <c r="J55" s="69" t="s">
        <v>507</v>
      </c>
    </row>
    <row r="56" spans="1:11" s="22" customFormat="1" ht="13.1">
      <c r="B56" s="22" t="s">
        <v>501</v>
      </c>
      <c r="E56" s="4">
        <v>5.6179999999999997E-3</v>
      </c>
      <c r="F56" s="4"/>
      <c r="G56" s="1494">
        <v>0</v>
      </c>
      <c r="H56" s="227">
        <f t="shared" ref="H56:H61" si="1">G56*E56</f>
        <v>0</v>
      </c>
      <c r="I56" s="226">
        <f t="shared" ref="I56:I61" si="2">G56*0.00166</f>
        <v>0</v>
      </c>
      <c r="J56" s="226">
        <f t="shared" ref="J56:J61" si="3">H56+I56</f>
        <v>0</v>
      </c>
    </row>
    <row r="57" spans="1:11" s="22" customFormat="1" ht="13.1">
      <c r="B57" s="22" t="s">
        <v>504</v>
      </c>
      <c r="E57" s="470">
        <v>9.8700000000000003E-3</v>
      </c>
      <c r="F57" s="470"/>
      <c r="G57" s="1494">
        <v>0</v>
      </c>
      <c r="H57" s="227">
        <f t="shared" si="1"/>
        <v>0</v>
      </c>
      <c r="I57" s="226">
        <f t="shared" si="2"/>
        <v>0</v>
      </c>
      <c r="J57" s="226">
        <f t="shared" si="3"/>
        <v>0</v>
      </c>
    </row>
    <row r="58" spans="1:11" s="22" customFormat="1" ht="13.1">
      <c r="B58" s="22" t="s">
        <v>503</v>
      </c>
      <c r="E58" s="4">
        <v>9.5569999999999995E-3</v>
      </c>
      <c r="F58" s="4"/>
      <c r="G58" s="1494">
        <v>0</v>
      </c>
      <c r="H58" s="227">
        <f t="shared" si="1"/>
        <v>0</v>
      </c>
      <c r="I58" s="226">
        <f t="shared" si="2"/>
        <v>0</v>
      </c>
      <c r="J58" s="226">
        <f t="shared" si="3"/>
        <v>0</v>
      </c>
    </row>
    <row r="59" spans="1:11" s="22" customFormat="1" ht="13.1">
      <c r="B59" s="22" t="s">
        <v>502</v>
      </c>
      <c r="E59" s="4">
        <v>9.2680000000000002E-3</v>
      </c>
      <c r="F59" s="4"/>
      <c r="G59" s="1494">
        <v>0</v>
      </c>
      <c r="H59" s="227">
        <f t="shared" si="1"/>
        <v>0</v>
      </c>
      <c r="I59" s="226">
        <f t="shared" si="2"/>
        <v>0</v>
      </c>
      <c r="J59" s="226">
        <f t="shared" si="3"/>
        <v>0</v>
      </c>
    </row>
    <row r="60" spans="1:11" s="22" customFormat="1" ht="13.1">
      <c r="B60" s="22" t="s">
        <v>562</v>
      </c>
      <c r="E60" s="470">
        <v>1.7500000000000002E-2</v>
      </c>
      <c r="F60" s="470"/>
      <c r="G60" s="1494">
        <v>0</v>
      </c>
      <c r="H60" s="227">
        <f t="shared" si="1"/>
        <v>0</v>
      </c>
      <c r="I60" s="226">
        <f t="shared" si="2"/>
        <v>0</v>
      </c>
      <c r="J60" s="226">
        <f t="shared" si="3"/>
        <v>0</v>
      </c>
    </row>
    <row r="61" spans="1:11" s="183" customFormat="1" ht="13.1">
      <c r="B61" s="183" t="s">
        <v>563</v>
      </c>
      <c r="E61" s="1179">
        <v>1.7100000000000001E-2</v>
      </c>
      <c r="F61" s="1179"/>
      <c r="G61" s="1494">
        <v>0</v>
      </c>
      <c r="H61" s="227">
        <f t="shared" si="1"/>
        <v>0</v>
      </c>
      <c r="I61" s="226">
        <f t="shared" si="2"/>
        <v>0</v>
      </c>
      <c r="J61" s="226">
        <f t="shared" si="3"/>
        <v>0</v>
      </c>
    </row>
    <row r="62" spans="1:11" s="22" customFormat="1" ht="13.1">
      <c r="B62" s="191" t="s">
        <v>500</v>
      </c>
      <c r="E62" s="471" t="s">
        <v>933</v>
      </c>
      <c r="F62" s="471"/>
      <c r="G62" s="471" t="s">
        <v>506</v>
      </c>
      <c r="H62" s="471"/>
      <c r="I62" s="471"/>
      <c r="J62" s="471"/>
      <c r="K62" s="471"/>
    </row>
    <row r="63" spans="1:11" s="22" customFormat="1" ht="13.1">
      <c r="G63" s="69" t="s">
        <v>215</v>
      </c>
      <c r="H63" s="69" t="str">
        <f>H55</f>
        <v>Annulus</v>
      </c>
      <c r="I63" s="69" t="s">
        <v>204</v>
      </c>
      <c r="J63" s="69" t="s">
        <v>507</v>
      </c>
    </row>
    <row r="64" spans="1:11" s="22" customFormat="1" ht="13.1">
      <c r="B64" s="22" t="s">
        <v>501</v>
      </c>
      <c r="E64" s="4">
        <v>5.6179999999999997E-3</v>
      </c>
      <c r="F64" s="4"/>
      <c r="G64" s="1494">
        <v>0</v>
      </c>
      <c r="H64" s="227">
        <f t="shared" ref="H64:H69" si="4">G64*E64</f>
        <v>0</v>
      </c>
      <c r="I64" s="226">
        <f t="shared" ref="I64:I69" si="5">G64*0.002016</f>
        <v>0</v>
      </c>
      <c r="J64" s="226">
        <f t="shared" ref="J64:J69" si="6">H64+I64</f>
        <v>0</v>
      </c>
    </row>
    <row r="65" spans="2:11" s="22" customFormat="1" ht="13.1">
      <c r="B65" s="22" t="s">
        <v>504</v>
      </c>
      <c r="E65" s="470">
        <v>9.8700000000000003E-3</v>
      </c>
      <c r="F65" s="470"/>
      <c r="G65" s="1494">
        <v>0</v>
      </c>
      <c r="H65" s="227">
        <f t="shared" si="4"/>
        <v>0</v>
      </c>
      <c r="I65" s="226">
        <f t="shared" si="5"/>
        <v>0</v>
      </c>
      <c r="J65" s="226">
        <f t="shared" si="6"/>
        <v>0</v>
      </c>
    </row>
    <row r="66" spans="2:11" s="22" customFormat="1" ht="13.1">
      <c r="B66" s="22" t="s">
        <v>503</v>
      </c>
      <c r="E66" s="4">
        <v>9.5569999999999995E-3</v>
      </c>
      <c r="F66" s="4"/>
      <c r="G66" s="1494">
        <v>0</v>
      </c>
      <c r="H66" s="227">
        <f t="shared" si="4"/>
        <v>0</v>
      </c>
      <c r="I66" s="226">
        <f t="shared" si="5"/>
        <v>0</v>
      </c>
      <c r="J66" s="226">
        <f t="shared" si="6"/>
        <v>0</v>
      </c>
    </row>
    <row r="67" spans="2:11" s="22" customFormat="1" ht="13.1">
      <c r="B67" s="22" t="s">
        <v>502</v>
      </c>
      <c r="E67" s="4">
        <v>9.2680000000000002E-3</v>
      </c>
      <c r="F67" s="4"/>
      <c r="G67" s="1494">
        <v>0</v>
      </c>
      <c r="H67" s="227">
        <f t="shared" si="4"/>
        <v>0</v>
      </c>
      <c r="I67" s="226">
        <f t="shared" si="5"/>
        <v>0</v>
      </c>
      <c r="J67" s="226">
        <f t="shared" si="6"/>
        <v>0</v>
      </c>
    </row>
    <row r="68" spans="2:11" s="22" customFormat="1" ht="13.1">
      <c r="B68" s="22" t="s">
        <v>562</v>
      </c>
      <c r="E68" s="470">
        <v>1.7484E-2</v>
      </c>
      <c r="F68" s="470"/>
      <c r="G68" s="1494">
        <v>0</v>
      </c>
      <c r="H68" s="227">
        <f t="shared" si="4"/>
        <v>0</v>
      </c>
      <c r="I68" s="226">
        <f t="shared" si="5"/>
        <v>0</v>
      </c>
      <c r="J68" s="226">
        <f t="shared" si="6"/>
        <v>0</v>
      </c>
    </row>
    <row r="69" spans="2:11" s="183" customFormat="1" ht="13.1">
      <c r="B69" s="183" t="s">
        <v>563</v>
      </c>
      <c r="E69" s="1179">
        <v>1.7100000000000001E-2</v>
      </c>
      <c r="F69" s="1179"/>
      <c r="G69" s="1494">
        <v>0</v>
      </c>
      <c r="H69" s="227">
        <f t="shared" si="4"/>
        <v>0</v>
      </c>
      <c r="I69" s="226">
        <f t="shared" si="5"/>
        <v>0</v>
      </c>
      <c r="J69" s="226">
        <f t="shared" si="6"/>
        <v>0</v>
      </c>
    </row>
    <row r="70" spans="2:11" s="22" customFormat="1" ht="13.1">
      <c r="B70" s="191" t="s">
        <v>505</v>
      </c>
      <c r="E70" s="471" t="s">
        <v>933</v>
      </c>
      <c r="G70" s="229"/>
      <c r="H70" s="228"/>
    </row>
    <row r="71" spans="2:11" s="22" customFormat="1" ht="13.1">
      <c r="G71" s="69" t="s">
        <v>215</v>
      </c>
      <c r="H71" s="69" t="str">
        <f>H63</f>
        <v>Annulus</v>
      </c>
      <c r="I71" s="69" t="s">
        <v>204</v>
      </c>
      <c r="J71" s="69" t="s">
        <v>507</v>
      </c>
    </row>
    <row r="72" spans="2:11" s="22" customFormat="1" ht="13.1">
      <c r="B72" s="22" t="s">
        <v>501</v>
      </c>
      <c r="E72" s="4">
        <v>4.2880000000000001E-3</v>
      </c>
      <c r="F72" s="4"/>
      <c r="G72" s="1494">
        <v>0</v>
      </c>
      <c r="H72" s="227">
        <f t="shared" ref="H72:H78" si="7">G72*E72</f>
        <v>0</v>
      </c>
      <c r="I72" s="226">
        <f t="shared" ref="I72:I78" si="8">G72*0.003019</f>
        <v>0</v>
      </c>
      <c r="J72" s="226">
        <f t="shared" ref="J72:J78" si="9">H72+I72</f>
        <v>0</v>
      </c>
    </row>
    <row r="73" spans="2:11" s="22" customFormat="1" ht="13.1">
      <c r="B73" s="22" t="s">
        <v>504</v>
      </c>
      <c r="E73" s="470">
        <v>8.5400000000000007E-3</v>
      </c>
      <c r="F73" s="470"/>
      <c r="G73" s="1494">
        <v>0</v>
      </c>
      <c r="H73" s="227">
        <f t="shared" si="7"/>
        <v>0</v>
      </c>
      <c r="I73" s="226">
        <f t="shared" si="8"/>
        <v>0</v>
      </c>
      <c r="J73" s="226">
        <f t="shared" si="9"/>
        <v>0</v>
      </c>
      <c r="K73" s="22">
        <v>0</v>
      </c>
    </row>
    <row r="74" spans="2:11" s="22" customFormat="1" ht="13.1">
      <c r="B74" s="22" t="s">
        <v>503</v>
      </c>
      <c r="E74" s="4">
        <v>8.2269999999999999E-3</v>
      </c>
      <c r="F74" s="4"/>
      <c r="G74" s="1494">
        <v>0</v>
      </c>
      <c r="H74" s="227">
        <f t="shared" si="7"/>
        <v>0</v>
      </c>
      <c r="I74" s="226">
        <f t="shared" si="8"/>
        <v>0</v>
      </c>
      <c r="J74" s="226">
        <f t="shared" si="9"/>
        <v>0</v>
      </c>
      <c r="K74" s="630">
        <v>0</v>
      </c>
    </row>
    <row r="75" spans="2:11" s="22" customFormat="1" ht="13.1">
      <c r="B75" s="1017" t="s">
        <v>502</v>
      </c>
      <c r="C75" s="1017"/>
      <c r="D75" s="1017"/>
      <c r="E75" s="4">
        <v>7.9380000000000006E-3</v>
      </c>
      <c r="F75" s="4"/>
      <c r="G75" s="1494"/>
      <c r="H75" s="227">
        <f t="shared" si="7"/>
        <v>0</v>
      </c>
      <c r="I75" s="226">
        <f t="shared" si="8"/>
        <v>0</v>
      </c>
      <c r="J75" s="226">
        <f t="shared" si="9"/>
        <v>0</v>
      </c>
      <c r="K75" s="630"/>
    </row>
    <row r="76" spans="2:11" s="22" customFormat="1" ht="13.1">
      <c r="B76" s="22" t="s">
        <v>996</v>
      </c>
      <c r="E76" s="4">
        <v>5.0759999999999998E-3</v>
      </c>
      <c r="F76" s="4"/>
      <c r="G76" s="1494">
        <v>0</v>
      </c>
      <c r="H76" s="227">
        <f t="shared" si="7"/>
        <v>0</v>
      </c>
      <c r="I76" s="226">
        <f t="shared" si="8"/>
        <v>0</v>
      </c>
      <c r="J76" s="226">
        <f t="shared" si="9"/>
        <v>0</v>
      </c>
    </row>
    <row r="77" spans="2:11" s="22" customFormat="1" ht="13.1">
      <c r="B77" s="22" t="s">
        <v>997</v>
      </c>
      <c r="E77" s="470">
        <v>1.5769999999999999E-2</v>
      </c>
      <c r="F77" s="470"/>
      <c r="G77" s="1494">
        <v>0</v>
      </c>
      <c r="H77" s="227">
        <f t="shared" si="7"/>
        <v>0</v>
      </c>
      <c r="I77" s="226">
        <f t="shared" si="8"/>
        <v>0</v>
      </c>
      <c r="J77" s="226">
        <f t="shared" si="9"/>
        <v>0</v>
      </c>
    </row>
    <row r="78" spans="2:11" s="22" customFormat="1" ht="13.1">
      <c r="B78" s="22" t="s">
        <v>998</v>
      </c>
      <c r="E78" s="470">
        <v>1.5188999999999999E-2</v>
      </c>
      <c r="F78" s="470"/>
      <c r="G78" s="1494">
        <v>0</v>
      </c>
      <c r="H78" s="227">
        <f t="shared" si="7"/>
        <v>0</v>
      </c>
      <c r="I78" s="226">
        <f t="shared" si="8"/>
        <v>0</v>
      </c>
      <c r="J78" s="226">
        <f t="shared" si="9"/>
        <v>0</v>
      </c>
    </row>
    <row r="79" spans="2:11" s="22" customFormat="1" ht="13.1">
      <c r="G79" s="161"/>
      <c r="H79" s="161"/>
      <c r="I79" s="161"/>
      <c r="J79" s="161"/>
    </row>
    <row r="80" spans="2:11" s="183" customFormat="1" ht="13.1"/>
    <row r="81" spans="2:10" s="22" customFormat="1" ht="13.1">
      <c r="B81" s="191" t="s">
        <v>999</v>
      </c>
      <c r="E81" s="471" t="s">
        <v>933</v>
      </c>
    </row>
    <row r="82" spans="2:10" s="22" customFormat="1" ht="13.1">
      <c r="G82" s="69" t="s">
        <v>215</v>
      </c>
      <c r="H82" s="69" t="str">
        <f>H71</f>
        <v>Annulus</v>
      </c>
      <c r="I82" s="69" t="s">
        <v>204</v>
      </c>
      <c r="J82" s="69" t="s">
        <v>507</v>
      </c>
    </row>
    <row r="83" spans="2:10" s="22" customFormat="1" ht="13.1">
      <c r="B83" s="22" t="s">
        <v>504</v>
      </c>
      <c r="E83" s="631">
        <v>6.5209999999999999E-3</v>
      </c>
      <c r="G83" s="1494">
        <v>0</v>
      </c>
      <c r="H83" s="227">
        <f t="shared" ref="H83:H89" si="10">G83*E83</f>
        <v>0</v>
      </c>
      <c r="I83" s="226">
        <f t="shared" ref="I83:I89" si="11">G83*0.004536</f>
        <v>0</v>
      </c>
      <c r="J83" s="226">
        <f t="shared" ref="J83:J89" si="12">H83+I83</f>
        <v>0</v>
      </c>
    </row>
    <row r="84" spans="2:10" s="22" customFormat="1" ht="13.1">
      <c r="B84" s="22" t="s">
        <v>503</v>
      </c>
      <c r="E84" s="631">
        <v>6.208E-3</v>
      </c>
      <c r="G84" s="1494">
        <v>0</v>
      </c>
      <c r="H84" s="227">
        <f t="shared" si="10"/>
        <v>0</v>
      </c>
      <c r="I84" s="226">
        <f t="shared" si="11"/>
        <v>0</v>
      </c>
      <c r="J84" s="226">
        <f t="shared" si="12"/>
        <v>0</v>
      </c>
    </row>
    <row r="85" spans="2:10" s="22" customFormat="1" ht="13.1">
      <c r="B85" s="1017" t="s">
        <v>502</v>
      </c>
      <c r="E85" s="631">
        <v>5.9189999999999998E-3</v>
      </c>
      <c r="G85" s="1494"/>
      <c r="H85" s="227">
        <f>G85*E85</f>
        <v>0</v>
      </c>
      <c r="I85" s="226">
        <f>G85*0.004536</f>
        <v>0</v>
      </c>
      <c r="J85" s="226">
        <f>H85+I85</f>
        <v>0</v>
      </c>
    </row>
    <row r="86" spans="2:10" s="22" customFormat="1" ht="13.1">
      <c r="B86" s="22" t="s">
        <v>997</v>
      </c>
      <c r="E86" s="631">
        <v>1.3750999999999999E-2</v>
      </c>
      <c r="G86" s="1494">
        <v>0</v>
      </c>
      <c r="H86" s="227">
        <f t="shared" si="10"/>
        <v>0</v>
      </c>
      <c r="I86" s="226">
        <f t="shared" si="11"/>
        <v>0</v>
      </c>
      <c r="J86" s="226">
        <f t="shared" si="12"/>
        <v>0</v>
      </c>
    </row>
    <row r="87" spans="2:10" s="22" customFormat="1" ht="13.1">
      <c r="B87" s="22" t="s">
        <v>998</v>
      </c>
      <c r="E87" s="631">
        <v>1.3169999999999999E-2</v>
      </c>
      <c r="G87" s="1494">
        <v>0</v>
      </c>
      <c r="H87" s="227">
        <f t="shared" si="10"/>
        <v>0</v>
      </c>
      <c r="I87" s="226">
        <f t="shared" si="11"/>
        <v>0</v>
      </c>
      <c r="J87" s="226">
        <f t="shared" si="12"/>
        <v>0</v>
      </c>
    </row>
    <row r="88" spans="2:10" s="22" customFormat="1" ht="13.1">
      <c r="B88" s="22" t="s">
        <v>502</v>
      </c>
      <c r="E88" s="631">
        <v>5.9189999999999998E-3</v>
      </c>
      <c r="G88" s="1494">
        <v>0</v>
      </c>
      <c r="H88" s="227">
        <f t="shared" si="10"/>
        <v>0</v>
      </c>
      <c r="I88" s="226">
        <f t="shared" si="11"/>
        <v>0</v>
      </c>
      <c r="J88" s="226">
        <f t="shared" si="12"/>
        <v>0</v>
      </c>
    </row>
    <row r="89" spans="2:10" s="183" customFormat="1" ht="13.1">
      <c r="G89" s="1494">
        <v>0</v>
      </c>
      <c r="H89" s="227">
        <f t="shared" si="10"/>
        <v>0</v>
      </c>
      <c r="I89" s="226">
        <f t="shared" si="11"/>
        <v>0</v>
      </c>
      <c r="J89" s="226">
        <f t="shared" si="12"/>
        <v>0</v>
      </c>
    </row>
    <row r="90" spans="2:10" s="22" customFormat="1" ht="13.1">
      <c r="B90" s="191" t="s">
        <v>1000</v>
      </c>
      <c r="E90" s="471" t="s">
        <v>933</v>
      </c>
    </row>
    <row r="91" spans="2:10" s="22" customFormat="1" ht="13.1">
      <c r="G91" s="69" t="s">
        <v>215</v>
      </c>
      <c r="H91" s="69" t="s">
        <v>260</v>
      </c>
      <c r="I91" s="69" t="s">
        <v>204</v>
      </c>
      <c r="J91" s="69" t="s">
        <v>507</v>
      </c>
    </row>
    <row r="92" spans="2:10" s="22" customFormat="1" ht="13.1">
      <c r="B92" s="22" t="s">
        <v>501</v>
      </c>
      <c r="E92" s="631">
        <v>8.4759999999999992E-3</v>
      </c>
      <c r="G92" s="1494">
        <v>0</v>
      </c>
      <c r="H92" s="227">
        <f t="shared" ref="H92:H98" si="13">E92*G92</f>
        <v>0</v>
      </c>
      <c r="I92" s="227" t="s">
        <v>1001</v>
      </c>
      <c r="J92" s="226">
        <f t="shared" ref="J92:J98" si="14">H92</f>
        <v>0</v>
      </c>
    </row>
    <row r="93" spans="2:10" s="22" customFormat="1" ht="13.1">
      <c r="B93" s="22" t="s">
        <v>504</v>
      </c>
      <c r="E93" s="631">
        <v>1.2729000000000001E-2</v>
      </c>
      <c r="G93" s="1494">
        <v>0</v>
      </c>
      <c r="H93" s="227">
        <f t="shared" si="13"/>
        <v>0</v>
      </c>
      <c r="I93" s="227" t="s">
        <v>1001</v>
      </c>
      <c r="J93" s="226">
        <f t="shared" si="14"/>
        <v>0</v>
      </c>
    </row>
    <row r="94" spans="2:10" s="22" customFormat="1" ht="13.1">
      <c r="B94" s="22" t="s">
        <v>503</v>
      </c>
      <c r="E94" s="631">
        <v>1.2416E-2</v>
      </c>
      <c r="G94" s="1494">
        <v>0</v>
      </c>
      <c r="H94" s="227">
        <f t="shared" si="13"/>
        <v>0</v>
      </c>
      <c r="I94" s="227" t="s">
        <v>1001</v>
      </c>
      <c r="J94" s="226">
        <f t="shared" si="14"/>
        <v>0</v>
      </c>
    </row>
    <row r="95" spans="2:10" s="22" customFormat="1" ht="13.1">
      <c r="B95" s="22" t="s">
        <v>502</v>
      </c>
      <c r="E95" s="631">
        <v>1.2126E-2</v>
      </c>
      <c r="G95" s="1494">
        <v>0</v>
      </c>
      <c r="H95" s="227">
        <f t="shared" si="13"/>
        <v>0</v>
      </c>
      <c r="I95" s="227" t="s">
        <v>1001</v>
      </c>
      <c r="J95" s="226">
        <f t="shared" si="14"/>
        <v>0</v>
      </c>
    </row>
    <row r="96" spans="2:10" s="22" customFormat="1" ht="13.1">
      <c r="B96" s="22" t="s">
        <v>562</v>
      </c>
      <c r="E96" s="631">
        <v>2.0341999999999999E-2</v>
      </c>
      <c r="G96" s="1494">
        <v>0</v>
      </c>
      <c r="H96" s="227">
        <f t="shared" si="13"/>
        <v>0</v>
      </c>
      <c r="I96" s="227" t="s">
        <v>1001</v>
      </c>
      <c r="J96" s="226">
        <f t="shared" si="14"/>
        <v>0</v>
      </c>
    </row>
    <row r="97" spans="2:11" s="22" customFormat="1" ht="13.1">
      <c r="B97" s="22" t="s">
        <v>563</v>
      </c>
      <c r="E97" s="631">
        <v>1.9958E-2</v>
      </c>
      <c r="G97" s="1494">
        <v>0</v>
      </c>
      <c r="H97" s="227">
        <f t="shared" si="13"/>
        <v>0</v>
      </c>
      <c r="I97" s="227" t="s">
        <v>1001</v>
      </c>
      <c r="J97" s="226">
        <f t="shared" si="14"/>
        <v>0</v>
      </c>
    </row>
    <row r="98" spans="2:11" s="22" customFormat="1" ht="13.1">
      <c r="B98" s="22" t="s">
        <v>998</v>
      </c>
      <c r="E98" s="631">
        <v>1.9376999999999998E-2</v>
      </c>
      <c r="G98" s="1494">
        <v>0</v>
      </c>
      <c r="H98" s="227">
        <f t="shared" si="13"/>
        <v>0</v>
      </c>
      <c r="I98" s="227" t="s">
        <v>1001</v>
      </c>
      <c r="J98" s="226">
        <f t="shared" si="14"/>
        <v>0</v>
      </c>
    </row>
    <row r="99" spans="2:11" s="22" customFormat="1" ht="13.1"/>
    <row r="100" spans="2:11" ht="13.1">
      <c r="B100" s="1677" t="s">
        <v>1002</v>
      </c>
      <c r="C100" s="1677"/>
      <c r="D100" s="1677"/>
      <c r="E100" s="1677"/>
      <c r="G100" s="1493">
        <f>SUM(G92:G98)+SUM(G83:G89)+SUM(G72:G78)+SUM(G64:G69)</f>
        <v>0</v>
      </c>
      <c r="H100" s="227">
        <f>SUM(H92:H98)+SUM(H83:H89)+SUM(H72:H78)+SUM(H64:H69)</f>
        <v>0</v>
      </c>
      <c r="I100" s="227">
        <f>SUM(I92:I98)+SUM(I83:I89)+SUM(I72:I78)+SUM(I64:I69)</f>
        <v>0</v>
      </c>
      <c r="J100" s="226">
        <f>SUM(J92:J98)+SUM(J83:J89)+SUM(J72:J78)+SUM(J64:J69)</f>
        <v>0</v>
      </c>
    </row>
    <row r="101" spans="2:11" ht="13.1">
      <c r="B101" s="131"/>
      <c r="C101" s="131"/>
      <c r="D101" s="131"/>
      <c r="E101" s="131"/>
      <c r="G101" s="229"/>
      <c r="H101" s="632"/>
      <c r="I101" s="633"/>
      <c r="J101" s="633"/>
    </row>
    <row r="102" spans="2:11" ht="13.1">
      <c r="B102" s="1779" t="s">
        <v>513</v>
      </c>
      <c r="C102" s="1779"/>
      <c r="D102" s="1779"/>
      <c r="E102" s="1779"/>
      <c r="F102" s="1779"/>
      <c r="G102" s="1779"/>
      <c r="H102" s="1779"/>
      <c r="I102" s="1779"/>
      <c r="J102" s="1779"/>
      <c r="K102" s="1779"/>
    </row>
    <row r="103" spans="2:11" ht="13.1">
      <c r="B103" s="69" t="s">
        <v>514</v>
      </c>
      <c r="C103" s="231" t="s">
        <v>516</v>
      </c>
      <c r="D103" s="231" t="s">
        <v>517</v>
      </c>
      <c r="E103" s="231" t="s">
        <v>596</v>
      </c>
      <c r="F103" s="22"/>
      <c r="G103" s="1403" t="s">
        <v>627</v>
      </c>
      <c r="H103" s="299"/>
      <c r="I103" s="300"/>
      <c r="J103" s="22"/>
      <c r="K103" s="22"/>
    </row>
    <row r="104" spans="2:11" ht="13.1">
      <c r="B104" s="22" t="s">
        <v>515</v>
      </c>
      <c r="C104" s="232">
        <v>58.75</v>
      </c>
      <c r="D104" s="234">
        <v>47.6</v>
      </c>
      <c r="E104" s="375"/>
      <c r="F104" s="22"/>
      <c r="G104" s="301" t="s">
        <v>628</v>
      </c>
      <c r="H104" s="22"/>
      <c r="I104" s="302"/>
      <c r="J104" s="22"/>
      <c r="K104" s="22"/>
    </row>
    <row r="105" spans="2:11" ht="13.1">
      <c r="B105" s="22" t="s">
        <v>520</v>
      </c>
      <c r="C105" s="232">
        <v>57.15</v>
      </c>
      <c r="D105" s="232">
        <v>45.97</v>
      </c>
      <c r="E105" s="375"/>
      <c r="F105" s="22"/>
      <c r="G105" s="301" t="s">
        <v>629</v>
      </c>
      <c r="H105" s="22"/>
      <c r="I105" s="302"/>
      <c r="J105" s="22"/>
      <c r="K105" s="22"/>
    </row>
    <row r="106" spans="2:11" ht="13.1">
      <c r="B106" s="22" t="s">
        <v>520</v>
      </c>
      <c r="C106" s="232"/>
      <c r="D106" s="232">
        <v>46.02</v>
      </c>
      <c r="E106" s="375"/>
      <c r="F106" s="22"/>
      <c r="G106" s="301"/>
      <c r="H106" s="22"/>
      <c r="I106" s="302"/>
      <c r="J106" s="22"/>
      <c r="K106" s="22"/>
    </row>
    <row r="107" spans="2:11" ht="13.1">
      <c r="B107" s="22" t="s">
        <v>521</v>
      </c>
      <c r="C107" s="234">
        <v>55.68</v>
      </c>
      <c r="D107" s="232">
        <v>44.7</v>
      </c>
      <c r="E107" s="375"/>
      <c r="F107" s="22"/>
      <c r="G107" s="301" t="s">
        <v>630</v>
      </c>
      <c r="H107" s="22"/>
      <c r="I107" s="302"/>
      <c r="J107" s="22"/>
      <c r="K107" s="22"/>
    </row>
    <row r="108" spans="2:11" ht="13.1">
      <c r="B108" s="69" t="s">
        <v>522</v>
      </c>
      <c r="C108" s="235" t="s">
        <v>516</v>
      </c>
      <c r="D108" s="235" t="s">
        <v>517</v>
      </c>
      <c r="E108" s="235" t="s">
        <v>596</v>
      </c>
      <c r="F108" s="22"/>
      <c r="G108" s="301"/>
      <c r="H108" s="22"/>
      <c r="I108" s="302"/>
      <c r="J108" s="22"/>
      <c r="K108" s="22"/>
    </row>
    <row r="109" spans="2:11" ht="13.1">
      <c r="B109" s="22" t="s">
        <v>523</v>
      </c>
      <c r="C109" s="232">
        <v>58.75</v>
      </c>
      <c r="D109" s="232">
        <v>47.62</v>
      </c>
      <c r="E109" s="232">
        <v>71.45</v>
      </c>
      <c r="F109" s="22"/>
      <c r="G109" s="301"/>
      <c r="H109" s="22"/>
      <c r="I109" s="302"/>
      <c r="J109" s="22"/>
      <c r="K109" s="22"/>
    </row>
    <row r="110" spans="2:11" ht="13.1">
      <c r="B110" s="22" t="s">
        <v>524</v>
      </c>
      <c r="C110" s="232">
        <v>58.75</v>
      </c>
      <c r="D110" s="232">
        <v>47.62</v>
      </c>
      <c r="E110" s="232">
        <v>71.45</v>
      </c>
      <c r="F110" s="22"/>
      <c r="G110" s="301"/>
      <c r="H110" s="22"/>
      <c r="I110" s="302"/>
      <c r="J110" s="22"/>
      <c r="K110" s="22"/>
    </row>
    <row r="111" spans="2:11" ht="13.1">
      <c r="B111" s="22" t="s">
        <v>525</v>
      </c>
      <c r="C111" s="233">
        <v>56.01</v>
      </c>
      <c r="D111" s="233">
        <v>45.49</v>
      </c>
      <c r="E111" s="233">
        <v>67.72</v>
      </c>
      <c r="F111" s="22"/>
      <c r="G111" s="182"/>
      <c r="H111" s="183"/>
      <c r="I111" s="303"/>
      <c r="J111" s="22"/>
      <c r="K111" s="22"/>
    </row>
    <row r="112" spans="2:11" ht="13.1">
      <c r="B112" s="1779" t="s">
        <v>549</v>
      </c>
      <c r="C112" s="1779"/>
      <c r="D112" s="1779"/>
      <c r="E112" s="1779"/>
      <c r="F112" s="1779"/>
      <c r="G112" s="1779"/>
      <c r="H112" s="1779"/>
      <c r="I112" s="1779"/>
      <c r="J112" s="1779"/>
      <c r="K112" s="1779"/>
    </row>
    <row r="113" spans="2:11" ht="13.1">
      <c r="B113" s="251"/>
      <c r="C113" s="251"/>
      <c r="D113" s="251" t="s">
        <v>266</v>
      </c>
      <c r="E113" s="251"/>
      <c r="F113" s="251"/>
      <c r="G113" s="251"/>
      <c r="H113" s="251"/>
      <c r="I113" s="251"/>
      <c r="J113" s="251"/>
      <c r="K113" s="251"/>
    </row>
    <row r="114" spans="2:11" ht="13.1">
      <c r="B114" s="22" t="s">
        <v>550</v>
      </c>
      <c r="C114" s="22"/>
      <c r="D114" s="22" t="s">
        <v>936</v>
      </c>
      <c r="E114" s="22"/>
      <c r="F114" s="22"/>
      <c r="G114" s="22"/>
      <c r="H114" s="22"/>
      <c r="I114" s="22"/>
      <c r="J114" s="22"/>
      <c r="K114" s="22"/>
    </row>
    <row r="115" spans="2:11" ht="13.1">
      <c r="B115" s="22" t="s">
        <v>551</v>
      </c>
      <c r="C115" s="22"/>
      <c r="D115" s="22"/>
      <c r="E115" s="22"/>
      <c r="F115" s="22"/>
      <c r="G115" s="22"/>
      <c r="H115" s="22"/>
      <c r="I115" s="22"/>
      <c r="J115" s="22"/>
      <c r="K115" s="22"/>
    </row>
    <row r="116" spans="2:11" ht="13.1">
      <c r="B116" s="22" t="s">
        <v>552</v>
      </c>
      <c r="C116" s="22"/>
      <c r="D116" s="22">
        <v>0</v>
      </c>
      <c r="E116" s="22"/>
      <c r="F116" s="22"/>
      <c r="G116" s="22"/>
      <c r="H116" s="22"/>
      <c r="I116" s="22"/>
      <c r="J116" s="22"/>
      <c r="K116" s="22"/>
    </row>
    <row r="117" spans="2:11" ht="13.75" thickBot="1">
      <c r="B117" s="22" t="s">
        <v>553</v>
      </c>
      <c r="C117" s="22"/>
      <c r="D117" s="22" t="s">
        <v>554</v>
      </c>
      <c r="E117" s="22"/>
      <c r="F117" s="22"/>
      <c r="G117" s="22"/>
      <c r="H117" s="22"/>
      <c r="I117" s="22"/>
      <c r="J117" s="22"/>
      <c r="K117" s="22"/>
    </row>
    <row r="118" spans="2:11" ht="13.75" thickBot="1">
      <c r="B118" s="253" t="s">
        <v>934</v>
      </c>
      <c r="C118" s="142"/>
      <c r="D118" s="142"/>
      <c r="E118" s="143"/>
      <c r="F118" s="22"/>
      <c r="G118" s="22"/>
      <c r="H118" s="22"/>
      <c r="I118" s="22"/>
      <c r="J118" s="22"/>
      <c r="K118" s="22"/>
    </row>
    <row r="119" spans="2:11" ht="13.75" thickBot="1">
      <c r="B119" s="137" t="s">
        <v>558</v>
      </c>
      <c r="C119" s="22"/>
      <c r="D119" s="22"/>
      <c r="E119" s="1492">
        <v>0</v>
      </c>
      <c r="F119" s="22"/>
      <c r="G119" s="22"/>
      <c r="H119" s="22"/>
      <c r="I119" s="22"/>
      <c r="J119" s="22"/>
      <c r="K119" s="22"/>
    </row>
    <row r="120" spans="2:11" ht="13.75" thickBot="1">
      <c r="B120" s="138" t="s">
        <v>935</v>
      </c>
      <c r="C120" s="139"/>
      <c r="D120" s="139"/>
      <c r="E120" s="252">
        <f>0.007854*(E119*E119)</f>
        <v>0</v>
      </c>
      <c r="F120" s="22"/>
      <c r="G120" s="22"/>
      <c r="H120" s="22"/>
      <c r="I120" s="22"/>
      <c r="J120" s="22"/>
      <c r="K120" s="22"/>
    </row>
    <row r="121" spans="2:11" ht="13.1">
      <c r="B121" s="22"/>
      <c r="C121" s="22"/>
      <c r="D121" s="22"/>
      <c r="E121" s="22"/>
      <c r="F121" s="22"/>
      <c r="G121" s="22"/>
      <c r="H121" s="22"/>
      <c r="I121" s="22"/>
      <c r="J121" s="22"/>
      <c r="K121" s="22"/>
    </row>
    <row r="122" spans="2:11" ht="13.1">
      <c r="B122" s="22"/>
      <c r="C122" s="22"/>
      <c r="D122" s="22"/>
      <c r="E122" s="22"/>
      <c r="F122" s="22"/>
      <c r="G122" s="22"/>
      <c r="H122" s="22"/>
      <c r="I122" s="22"/>
      <c r="J122" s="22"/>
      <c r="K122" s="22"/>
    </row>
    <row r="123" spans="2:11" ht="13.1">
      <c r="B123" s="22"/>
      <c r="C123" s="22"/>
      <c r="D123" s="22"/>
      <c r="E123" s="22"/>
      <c r="F123" s="22"/>
      <c r="G123" s="22"/>
      <c r="H123" s="22"/>
      <c r="I123" s="22"/>
      <c r="J123" s="22"/>
      <c r="K123" s="22"/>
    </row>
    <row r="124" spans="2:11" ht="13.1">
      <c r="B124" s="22"/>
      <c r="C124" s="22"/>
      <c r="D124" s="22"/>
      <c r="E124" s="22"/>
      <c r="F124" s="22"/>
      <c r="G124" s="22"/>
      <c r="H124" s="22"/>
      <c r="I124" s="22"/>
      <c r="J124" s="22"/>
      <c r="K124" s="22"/>
    </row>
    <row r="125" spans="2:11" ht="13.1">
      <c r="B125" s="22"/>
      <c r="C125" s="22"/>
      <c r="D125" s="22"/>
      <c r="E125" s="22"/>
      <c r="F125" s="22"/>
      <c r="G125" s="22"/>
      <c r="H125" s="22"/>
      <c r="I125" s="22"/>
      <c r="J125" s="22"/>
      <c r="K125" s="22"/>
    </row>
    <row r="126" spans="2:11" ht="13.1">
      <c r="B126" s="22"/>
      <c r="C126" s="22"/>
      <c r="D126" s="22"/>
      <c r="E126" s="22"/>
      <c r="F126" s="22"/>
      <c r="G126" s="22"/>
      <c r="H126" s="22"/>
      <c r="I126" s="22"/>
      <c r="J126" s="22"/>
      <c r="K126" s="22"/>
    </row>
    <row r="127" spans="2:11" ht="13.1">
      <c r="B127" s="22"/>
      <c r="C127" s="22"/>
      <c r="D127" s="22"/>
      <c r="E127" s="22"/>
      <c r="F127" s="22"/>
      <c r="G127" s="22"/>
      <c r="H127" s="22"/>
      <c r="I127" s="22"/>
      <c r="J127" s="22"/>
      <c r="K127" s="22"/>
    </row>
    <row r="128" spans="2:11" ht="13.1">
      <c r="B128" s="22"/>
      <c r="C128" s="22"/>
      <c r="D128" s="22"/>
      <c r="E128" s="22"/>
      <c r="F128" s="22"/>
      <c r="G128" s="22"/>
      <c r="H128" s="22"/>
      <c r="I128" s="22"/>
      <c r="J128" s="22"/>
      <c r="K128" s="22"/>
    </row>
    <row r="129" spans="2:11" ht="13.1">
      <c r="B129" s="22"/>
      <c r="C129" s="22"/>
      <c r="D129" s="22"/>
      <c r="E129" s="22"/>
      <c r="F129" s="22"/>
      <c r="G129" s="22"/>
      <c r="H129" s="22"/>
      <c r="I129" s="22"/>
      <c r="J129" s="22"/>
      <c r="K129" s="22"/>
    </row>
    <row r="130" spans="2:11" ht="13.1">
      <c r="B130" s="22"/>
      <c r="C130" s="22"/>
      <c r="D130" s="22"/>
      <c r="E130" s="22"/>
      <c r="F130" s="22"/>
      <c r="G130" s="22"/>
      <c r="H130" s="22"/>
      <c r="I130" s="22"/>
      <c r="J130" s="22"/>
      <c r="K130" s="22"/>
    </row>
    <row r="131" spans="2:11" ht="13.1">
      <c r="B131" s="22"/>
      <c r="C131" s="22"/>
      <c r="D131" s="22"/>
      <c r="E131" s="22"/>
      <c r="F131" s="22"/>
      <c r="G131" s="22"/>
      <c r="H131" s="22"/>
      <c r="I131" s="22"/>
      <c r="J131" s="22"/>
      <c r="K131" s="22"/>
    </row>
    <row r="132" spans="2:11" ht="13.1">
      <c r="B132" s="22"/>
      <c r="C132" s="22"/>
      <c r="D132" s="22"/>
      <c r="E132" s="22"/>
      <c r="F132" s="22"/>
      <c r="G132" s="22"/>
      <c r="H132" s="22"/>
      <c r="I132" s="22"/>
      <c r="J132" s="22"/>
      <c r="K132" s="22"/>
    </row>
    <row r="133" spans="2:11" ht="13.1">
      <c r="B133" s="22"/>
      <c r="C133" s="22"/>
      <c r="D133" s="22"/>
      <c r="E133" s="22"/>
      <c r="F133" s="22"/>
      <c r="G133" s="22"/>
      <c r="H133" s="22"/>
      <c r="I133" s="22"/>
      <c r="J133" s="22"/>
      <c r="K133" s="22"/>
    </row>
    <row r="134" spans="2:11" ht="13.1">
      <c r="B134" s="22"/>
      <c r="C134" s="22"/>
      <c r="D134" s="22"/>
      <c r="E134" s="22"/>
      <c r="F134" s="22"/>
      <c r="G134" s="22"/>
      <c r="H134" s="22"/>
      <c r="I134" s="22"/>
      <c r="J134" s="22"/>
      <c r="K134" s="22"/>
    </row>
    <row r="135" spans="2:11" ht="13.1">
      <c r="B135" s="22"/>
      <c r="C135" s="22"/>
      <c r="D135" s="22"/>
      <c r="E135" s="22"/>
      <c r="F135" s="22"/>
      <c r="G135" s="22"/>
      <c r="H135" s="22"/>
      <c r="I135" s="22"/>
      <c r="J135" s="22"/>
      <c r="K135" s="22"/>
    </row>
    <row r="136" spans="2:11" ht="13.1">
      <c r="B136" s="22"/>
      <c r="C136" s="22"/>
      <c r="D136" s="22"/>
      <c r="E136" s="22"/>
      <c r="F136" s="22"/>
      <c r="G136" s="22"/>
      <c r="H136" s="22"/>
      <c r="I136" s="22"/>
      <c r="J136" s="22"/>
      <c r="K136" s="22"/>
    </row>
    <row r="137" spans="2:11" ht="13.1">
      <c r="B137" s="22"/>
      <c r="C137" s="22"/>
      <c r="D137" s="22"/>
      <c r="E137" s="22"/>
      <c r="F137" s="22"/>
      <c r="G137" s="22"/>
      <c r="H137" s="22"/>
      <c r="I137" s="22"/>
      <c r="J137" s="22"/>
      <c r="K137" s="22"/>
    </row>
    <row r="138" spans="2:11" ht="13.1">
      <c r="B138" s="22"/>
      <c r="C138" s="22"/>
      <c r="D138" s="22"/>
      <c r="E138" s="22"/>
      <c r="F138" s="22"/>
      <c r="G138" s="22"/>
      <c r="H138" s="22"/>
      <c r="I138" s="22"/>
      <c r="J138" s="22"/>
      <c r="K138" s="22"/>
    </row>
    <row r="139" spans="2:11" ht="13.1">
      <c r="B139" s="22"/>
      <c r="C139" s="22"/>
      <c r="D139" s="22"/>
      <c r="E139" s="22"/>
      <c r="F139" s="22"/>
      <c r="G139" s="22"/>
      <c r="H139" s="22"/>
      <c r="I139" s="22"/>
      <c r="J139" s="22"/>
      <c r="K139" s="22"/>
    </row>
    <row r="140" spans="2:11" ht="13.1">
      <c r="B140" s="22"/>
      <c r="C140" s="22"/>
      <c r="D140" s="22"/>
      <c r="E140" s="22"/>
      <c r="F140" s="22"/>
      <c r="G140" s="22"/>
      <c r="H140" s="22"/>
      <c r="I140" s="22"/>
      <c r="J140" s="22"/>
      <c r="K140" s="22"/>
    </row>
    <row r="141" spans="2:11" ht="13.1">
      <c r="B141" s="22"/>
      <c r="C141" s="22"/>
      <c r="D141" s="22"/>
      <c r="E141" s="22"/>
      <c r="F141" s="22"/>
      <c r="G141" s="22"/>
      <c r="H141" s="22"/>
      <c r="I141" s="22"/>
      <c r="J141" s="22"/>
      <c r="K141" s="22"/>
    </row>
    <row r="142" spans="2:11" ht="13.1">
      <c r="B142" s="22"/>
      <c r="C142" s="22"/>
      <c r="D142" s="22"/>
      <c r="E142" s="22"/>
      <c r="F142" s="22"/>
      <c r="G142" s="22"/>
      <c r="H142" s="22"/>
      <c r="I142" s="22"/>
      <c r="J142" s="22"/>
      <c r="K142" s="22"/>
    </row>
    <row r="143" spans="2:11" ht="13.1">
      <c r="B143" s="22"/>
      <c r="C143" s="22"/>
      <c r="D143" s="22"/>
      <c r="E143" s="22"/>
      <c r="F143" s="22"/>
      <c r="G143" s="22"/>
      <c r="H143" s="22"/>
      <c r="I143" s="22"/>
      <c r="J143" s="22"/>
      <c r="K143" s="22"/>
    </row>
    <row r="144" spans="2:11" ht="13.1">
      <c r="B144" s="22"/>
      <c r="C144" s="22"/>
      <c r="D144" s="22"/>
      <c r="E144" s="22"/>
      <c r="F144" s="22"/>
      <c r="G144" s="22"/>
      <c r="H144" s="22"/>
      <c r="I144" s="22"/>
      <c r="J144" s="22"/>
      <c r="K144" s="22"/>
    </row>
    <row r="145" spans="2:11" ht="13.1">
      <c r="B145" s="22"/>
      <c r="C145" s="22"/>
      <c r="D145" s="22"/>
      <c r="E145" s="22"/>
      <c r="F145" s="22"/>
      <c r="G145" s="22"/>
      <c r="H145" s="22"/>
      <c r="I145" s="22"/>
      <c r="J145" s="22"/>
      <c r="K145" s="22"/>
    </row>
    <row r="146" spans="2:11" ht="13.1">
      <c r="B146" s="22"/>
      <c r="C146" s="22"/>
      <c r="D146" s="22"/>
      <c r="E146" s="22"/>
      <c r="F146" s="22"/>
      <c r="G146" s="22"/>
      <c r="H146" s="22"/>
      <c r="I146" s="22"/>
      <c r="J146" s="22"/>
      <c r="K146" s="22"/>
    </row>
    <row r="147" spans="2:11" ht="13.1">
      <c r="B147" s="22"/>
      <c r="C147" s="22"/>
      <c r="D147" s="22"/>
      <c r="E147" s="22"/>
      <c r="F147" s="22"/>
      <c r="G147" s="22"/>
      <c r="H147" s="22"/>
      <c r="I147" s="22"/>
      <c r="J147" s="22"/>
      <c r="K147" s="22"/>
    </row>
    <row r="148" spans="2:11" ht="13.1">
      <c r="B148" s="22"/>
      <c r="C148" s="22"/>
      <c r="D148" s="22"/>
      <c r="E148" s="22"/>
      <c r="F148" s="22"/>
      <c r="G148" s="22"/>
      <c r="H148" s="22"/>
      <c r="I148" s="22"/>
      <c r="J148" s="22"/>
      <c r="K148" s="22"/>
    </row>
    <row r="149" spans="2:11" ht="13.1">
      <c r="B149" s="22"/>
      <c r="C149" s="22"/>
      <c r="D149" s="22"/>
      <c r="E149" s="22"/>
      <c r="F149" s="22"/>
      <c r="G149" s="22"/>
      <c r="H149" s="22"/>
      <c r="I149" s="22"/>
      <c r="J149" s="22"/>
      <c r="K149" s="22"/>
    </row>
    <row r="150" spans="2:11" ht="13.1">
      <c r="B150" s="22"/>
      <c r="C150" s="22"/>
      <c r="D150" s="22"/>
      <c r="E150" s="22"/>
      <c r="F150" s="22"/>
      <c r="G150" s="22"/>
      <c r="H150" s="22"/>
      <c r="I150" s="22"/>
      <c r="J150" s="22"/>
      <c r="K150" s="22"/>
    </row>
    <row r="153" spans="2:11" s="22" customFormat="1" ht="13.1"/>
    <row r="154" spans="2:11" s="22" customFormat="1" ht="13.1"/>
    <row r="155" spans="2:11" s="22" customFormat="1" ht="13.1"/>
    <row r="156" spans="2:11" s="22" customFormat="1" ht="13.1"/>
    <row r="157" spans="2:11" s="22" customFormat="1" ht="13.1"/>
    <row r="158" spans="2:11" s="22" customFormat="1" ht="13.1"/>
    <row r="159" spans="2:11" s="22" customFormat="1" ht="13.1"/>
    <row r="160" spans="2:11" s="22" customFormat="1" ht="13.1"/>
    <row r="161" s="22" customFormat="1" ht="13.1"/>
    <row r="162" s="22" customFormat="1" ht="13.1"/>
    <row r="163" s="22" customFormat="1" ht="13.1"/>
    <row r="164" s="22" customFormat="1" ht="13.1"/>
    <row r="165" s="22" customFormat="1" ht="13.1"/>
    <row r="166" s="22" customFormat="1" ht="13.1"/>
    <row r="167" s="22" customFormat="1" ht="13.1"/>
    <row r="168" s="22" customFormat="1" ht="13.1"/>
    <row r="169" s="22" customFormat="1" ht="13.1"/>
    <row r="170" s="22" customFormat="1" ht="13.1"/>
    <row r="171" s="22" customFormat="1" ht="13.1"/>
    <row r="172" s="22" customFormat="1" ht="13.1"/>
    <row r="173" s="22" customFormat="1" ht="13.1"/>
    <row r="174" s="22" customFormat="1" ht="13.1"/>
    <row r="175" s="22" customFormat="1" ht="13.1"/>
    <row r="176" s="22" customFormat="1" ht="13.1"/>
    <row r="177" s="22" customFormat="1" ht="13.1"/>
    <row r="178" s="22" customFormat="1" ht="13.1"/>
    <row r="179" s="22" customFormat="1" ht="13.1"/>
    <row r="180" s="22" customFormat="1" ht="13.1"/>
  </sheetData>
  <sheetProtection selectLockedCells="1"/>
  <mergeCells count="12">
    <mergeCell ref="K7:N7"/>
    <mergeCell ref="I32:J32"/>
    <mergeCell ref="B100:E100"/>
    <mergeCell ref="B102:K102"/>
    <mergeCell ref="B112:K112"/>
    <mergeCell ref="B53:K53"/>
    <mergeCell ref="F32:G32"/>
    <mergeCell ref="F29:J29"/>
    <mergeCell ref="F30:G30"/>
    <mergeCell ref="I30:J30"/>
    <mergeCell ref="F31:G31"/>
    <mergeCell ref="I31:J31"/>
  </mergeCells>
  <phoneticPr fontId="0" type="noConversion"/>
  <pageMargins left="0" right="0" top="0" bottom="0" header="0.5" footer="0.5"/>
  <pageSetup scale="95" orientation="portrait" horizontalDpi="360"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63" r:id="rId4" name="Button 63">
              <controlPr defaultSize="0" print="0" autoFill="0" autoPict="0" macro="[0]!BACKTOMENU">
                <anchor moveWithCells="1">
                  <from>
                    <xdr:col>1</xdr:col>
                    <xdr:colOff>0</xdr:colOff>
                    <xdr:row>0</xdr:row>
                    <xdr:rowOff>0</xdr:rowOff>
                  </from>
                  <to>
                    <xdr:col>1</xdr:col>
                    <xdr:colOff>582386</xdr:colOff>
                    <xdr:row>1</xdr:row>
                    <xdr:rowOff>38100</xdr:rowOff>
                  </to>
                </anchor>
              </controlPr>
            </control>
          </mc:Choice>
        </mc:AlternateContent>
        <mc:AlternateContent xmlns:mc="http://schemas.openxmlformats.org/markup-compatibility/2006">
          <mc:Choice Requires="x14">
            <control shapeId="51265" r:id="rId5" name="Button 65">
              <controlPr defaultSize="0" print="0" autoFill="0" autoPict="0" macro="[0]!GOTOSUMMARY">
                <anchor moveWithCells="1">
                  <from>
                    <xdr:col>10</xdr:col>
                    <xdr:colOff>19050</xdr:colOff>
                    <xdr:row>0</xdr:row>
                    <xdr:rowOff>10886</xdr:rowOff>
                  </from>
                  <to>
                    <xdr:col>10</xdr:col>
                    <xdr:colOff>601436</xdr:colOff>
                    <xdr:row>1</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C16F3-6AF5-4053-8576-250E53706C3B}">
  <sheetPr codeName="Sheet11"/>
  <dimension ref="A1:I50"/>
  <sheetViews>
    <sheetView showGridLines="0" showZeros="0" zoomScale="150" workbookViewId="0">
      <selection activeCell="C20" sqref="C20"/>
    </sheetView>
  </sheetViews>
  <sheetFormatPr defaultRowHeight="12.9"/>
  <sheetData>
    <row r="1" spans="1:9">
      <c r="A1" s="42"/>
      <c r="B1" s="1792">
        <f>Summary!A2</f>
        <v>0</v>
      </c>
      <c r="C1" s="1792"/>
      <c r="D1" s="1792"/>
      <c r="E1" s="1792"/>
      <c r="F1" s="1792"/>
      <c r="G1" s="1792"/>
      <c r="H1" s="1792"/>
      <c r="I1" s="43"/>
    </row>
    <row r="2" spans="1:9">
      <c r="A2" s="44"/>
      <c r="B2" s="1742"/>
      <c r="C2" s="1742"/>
      <c r="D2" s="1742"/>
      <c r="E2" s="1742"/>
      <c r="F2" s="1742"/>
      <c r="G2" s="1742"/>
      <c r="H2" s="1742"/>
      <c r="I2" s="45"/>
    </row>
    <row r="3" spans="1:9">
      <c r="A3" s="44"/>
      <c r="I3" s="45"/>
    </row>
    <row r="4" spans="1:9">
      <c r="A4" s="44"/>
      <c r="I4" s="45"/>
    </row>
    <row r="5" spans="1:9" ht="13.1">
      <c r="A5" s="1793" t="s">
        <v>1263</v>
      </c>
      <c r="B5" s="1664"/>
      <c r="C5" s="1664"/>
      <c r="D5" s="1664"/>
      <c r="E5" s="1664"/>
      <c r="F5" s="1664"/>
      <c r="G5" s="1664"/>
      <c r="H5" s="1664"/>
      <c r="I5" s="1794"/>
    </row>
    <row r="6" spans="1:9" ht="13.5" thickBot="1">
      <c r="A6" s="311" t="s">
        <v>634</v>
      </c>
      <c r="B6" s="1799">
        <f>Summary!C6</f>
        <v>0</v>
      </c>
      <c r="C6" s="1799"/>
      <c r="D6" s="1799"/>
      <c r="E6" s="1799"/>
      <c r="F6" s="1799"/>
      <c r="G6" s="653" t="s">
        <v>221</v>
      </c>
      <c r="H6" s="1797"/>
      <c r="I6" s="1800"/>
    </row>
    <row r="7" spans="1:9">
      <c r="A7" s="311"/>
      <c r="B7" s="653"/>
      <c r="C7" s="653"/>
      <c r="D7" s="653"/>
      <c r="E7" s="653"/>
      <c r="F7" s="653"/>
      <c r="G7" s="653"/>
      <c r="H7" s="653"/>
      <c r="I7" s="654"/>
    </row>
    <row r="8" spans="1:9" ht="13.5" thickBot="1">
      <c r="A8" s="311" t="s">
        <v>1264</v>
      </c>
      <c r="B8" s="1798">
        <f>Summary!C8</f>
        <v>0</v>
      </c>
      <c r="C8" s="1799"/>
      <c r="D8" s="1799"/>
      <c r="E8" s="653" t="s">
        <v>1267</v>
      </c>
      <c r="F8" s="653"/>
      <c r="G8" s="657"/>
      <c r="H8" s="655" t="s">
        <v>1268</v>
      </c>
      <c r="I8" s="656"/>
    </row>
    <row r="9" spans="1:9">
      <c r="A9" s="311"/>
      <c r="B9" s="653"/>
      <c r="C9" s="653"/>
      <c r="D9" s="653"/>
      <c r="E9" s="653"/>
      <c r="F9" s="653"/>
      <c r="G9" s="653"/>
      <c r="H9" s="653"/>
      <c r="I9" s="654"/>
    </row>
    <row r="10" spans="1:9" ht="13.5" thickBot="1">
      <c r="A10" s="311" t="s">
        <v>1265</v>
      </c>
      <c r="B10" s="653"/>
      <c r="C10" s="1797"/>
      <c r="D10" s="1797"/>
      <c r="E10" s="653" t="s">
        <v>1269</v>
      </c>
      <c r="F10" s="653"/>
      <c r="G10" s="1795"/>
      <c r="H10" s="1795"/>
      <c r="I10" s="1796"/>
    </row>
    <row r="11" spans="1:9">
      <c r="A11" s="311"/>
      <c r="B11" s="653"/>
      <c r="C11" s="653"/>
      <c r="D11" s="653"/>
      <c r="E11" s="653"/>
      <c r="F11" s="653"/>
      <c r="G11" s="653"/>
      <c r="H11" s="653"/>
      <c r="I11" s="654"/>
    </row>
    <row r="12" spans="1:9" ht="13.5" thickBot="1">
      <c r="A12" s="311" t="s">
        <v>1350</v>
      </c>
      <c r="B12" s="653"/>
      <c r="C12" s="1401"/>
      <c r="D12" s="653" t="s">
        <v>1270</v>
      </c>
      <c r="E12" s="1401"/>
      <c r="F12" s="653" t="s">
        <v>337</v>
      </c>
      <c r="G12" s="653"/>
      <c r="H12" s="653"/>
      <c r="I12" s="654"/>
    </row>
    <row r="13" spans="1:9">
      <c r="A13" s="311"/>
      <c r="B13" s="653"/>
      <c r="C13" s="653"/>
      <c r="D13" s="653"/>
      <c r="E13" s="653"/>
      <c r="F13" s="653"/>
      <c r="G13" s="653"/>
      <c r="H13" s="653"/>
      <c r="I13" s="654"/>
    </row>
    <row r="14" spans="1:9">
      <c r="A14" s="311" t="s">
        <v>1266</v>
      </c>
      <c r="B14" s="653"/>
      <c r="C14" s="653"/>
      <c r="D14" s="1801">
        <f>Summary!C33</f>
        <v>0</v>
      </c>
      <c r="E14" s="1801"/>
      <c r="F14" s="1801">
        <f>Summary!C34</f>
        <v>0</v>
      </c>
      <c r="G14" s="1801"/>
      <c r="H14" s="1801">
        <f>Summary!C35</f>
        <v>0</v>
      </c>
      <c r="I14" s="1803"/>
    </row>
    <row r="15" spans="1:9">
      <c r="A15" s="1142"/>
      <c r="B15" s="1143"/>
      <c r="C15" s="1143"/>
      <c r="D15" s="1143"/>
      <c r="E15" s="1143"/>
      <c r="F15" s="1143"/>
      <c r="G15" s="1143"/>
      <c r="H15" s="1143"/>
      <c r="I15" s="1144"/>
    </row>
    <row r="16" spans="1:9">
      <c r="A16" s="1802">
        <f>Summary!F33</f>
        <v>0</v>
      </c>
      <c r="B16" s="1737"/>
      <c r="C16" s="1737">
        <f>Summary!F34</f>
        <v>0</v>
      </c>
      <c r="D16" s="1737"/>
      <c r="E16" s="1737">
        <f>Summary!F35</f>
        <v>0</v>
      </c>
      <c r="F16" s="1737"/>
      <c r="G16" s="1145"/>
      <c r="H16" s="1145"/>
      <c r="I16" s="1146"/>
    </row>
    <row r="17" spans="1:9">
      <c r="A17" s="1142"/>
      <c r="B17" s="1143"/>
      <c r="C17" s="1143"/>
      <c r="D17" s="1143"/>
      <c r="E17" s="1143"/>
      <c r="F17" s="1143"/>
      <c r="G17" s="1143"/>
      <c r="H17" s="1143"/>
      <c r="I17" s="1144"/>
    </row>
    <row r="18" spans="1:9">
      <c r="A18" s="1802">
        <f>Summary!H33</f>
        <v>0</v>
      </c>
      <c r="B18" s="1737"/>
      <c r="C18" s="1737">
        <f>Summary!H34</f>
        <v>0</v>
      </c>
      <c r="D18" s="1737"/>
      <c r="E18" s="1737">
        <f>Summary!H35</f>
        <v>0</v>
      </c>
      <c r="F18" s="1737"/>
      <c r="G18" s="1145"/>
      <c r="H18" s="1145"/>
      <c r="I18" s="1146"/>
    </row>
    <row r="19" spans="1:9">
      <c r="A19" s="1142"/>
      <c r="B19" s="1143"/>
      <c r="C19" s="1143"/>
      <c r="D19" s="1143"/>
      <c r="E19" s="1143"/>
      <c r="F19" s="1143"/>
      <c r="G19" s="1143"/>
      <c r="H19" s="1143"/>
      <c r="I19" s="1144"/>
    </row>
    <row r="20" spans="1:9">
      <c r="A20" s="1147"/>
      <c r="B20" s="1145"/>
      <c r="C20" s="1145"/>
      <c r="D20" s="1145"/>
      <c r="E20" s="1145"/>
      <c r="F20" s="1145"/>
      <c r="G20" s="1145"/>
      <c r="H20" s="1145"/>
      <c r="I20" s="1146"/>
    </row>
    <row r="21" spans="1:9">
      <c r="A21" s="44"/>
      <c r="I21" s="45"/>
    </row>
    <row r="22" spans="1:9" ht="13.1">
      <c r="A22" s="137" t="s">
        <v>1301</v>
      </c>
      <c r="I22" s="45"/>
    </row>
    <row r="23" spans="1:9">
      <c r="A23" s="1142"/>
      <c r="B23" s="1143"/>
      <c r="C23" s="1143"/>
      <c r="D23" s="1143"/>
      <c r="E23" s="1143"/>
      <c r="F23" s="1143"/>
      <c r="G23" s="1143"/>
      <c r="H23" s="1143"/>
      <c r="I23" s="1144"/>
    </row>
    <row r="24" spans="1:9">
      <c r="A24" s="1802">
        <f>D14</f>
        <v>0</v>
      </c>
      <c r="B24" s="1737"/>
      <c r="C24" s="1145"/>
      <c r="D24" s="1737">
        <f>F14</f>
        <v>0</v>
      </c>
      <c r="E24" s="1737"/>
      <c r="F24" s="1145"/>
      <c r="G24" s="1737">
        <f>H14</f>
        <v>0</v>
      </c>
      <c r="H24" s="1737"/>
      <c r="I24" s="1146"/>
    </row>
    <row r="25" spans="1:9">
      <c r="A25" s="1142"/>
      <c r="B25" s="1143"/>
      <c r="C25" s="1143"/>
      <c r="D25" s="1143"/>
      <c r="E25" s="1143"/>
      <c r="F25" s="1143"/>
      <c r="G25" s="1143"/>
      <c r="H25" s="1143"/>
      <c r="I25" s="1144"/>
    </row>
    <row r="26" spans="1:9">
      <c r="A26" s="1802">
        <f>A16</f>
        <v>0</v>
      </c>
      <c r="B26" s="1737"/>
      <c r="C26" s="1145"/>
      <c r="D26" s="1737">
        <f>C16</f>
        <v>0</v>
      </c>
      <c r="E26" s="1737"/>
      <c r="F26" s="1145"/>
      <c r="G26" s="1737">
        <f>E16</f>
        <v>0</v>
      </c>
      <c r="H26" s="1737"/>
      <c r="I26" s="1146"/>
    </row>
    <row r="27" spans="1:9">
      <c r="A27" s="1142"/>
      <c r="B27" s="1143"/>
      <c r="C27" s="1143"/>
      <c r="D27" s="1143"/>
      <c r="E27" s="1143"/>
      <c r="F27" s="1143"/>
      <c r="G27" s="1143"/>
      <c r="H27" s="1143"/>
      <c r="I27" s="1144"/>
    </row>
    <row r="28" spans="1:9">
      <c r="A28" s="1802">
        <f>A18</f>
        <v>0</v>
      </c>
      <c r="B28" s="1737"/>
      <c r="C28" s="1145"/>
      <c r="D28" s="1737">
        <f>C18</f>
        <v>0</v>
      </c>
      <c r="E28" s="1737"/>
      <c r="F28" s="1145"/>
      <c r="G28" s="1737">
        <f>E18</f>
        <v>0</v>
      </c>
      <c r="H28" s="1737"/>
      <c r="I28" s="1146"/>
    </row>
    <row r="29" spans="1:9">
      <c r="A29" s="1142"/>
      <c r="B29" s="1143"/>
      <c r="C29" s="1143"/>
      <c r="D29" s="1143"/>
      <c r="E29" s="1143"/>
      <c r="F29" s="1143"/>
      <c r="G29" s="1143"/>
      <c r="H29" s="1143"/>
      <c r="I29" s="1144"/>
    </row>
    <row r="30" spans="1:9">
      <c r="A30" s="1147"/>
      <c r="B30" s="1145"/>
      <c r="C30" s="1145"/>
      <c r="D30" s="1145"/>
      <c r="E30" s="1145"/>
      <c r="F30" s="1145"/>
      <c r="G30" s="1145"/>
      <c r="H30" s="1145"/>
      <c r="I30" s="1146"/>
    </row>
    <row r="31" spans="1:9">
      <c r="A31" s="1142"/>
      <c r="B31" s="1143"/>
      <c r="C31" s="1143"/>
      <c r="D31" s="1143"/>
      <c r="E31" s="1143"/>
      <c r="F31" s="1143"/>
      <c r="G31" s="1143"/>
      <c r="H31" s="1143"/>
      <c r="I31" s="1144"/>
    </row>
    <row r="32" spans="1:9">
      <c r="A32" s="1147"/>
      <c r="B32" s="1145"/>
      <c r="C32" s="1145"/>
      <c r="D32" s="1145"/>
      <c r="E32" s="1145"/>
      <c r="F32" s="1145"/>
      <c r="G32" s="1145"/>
      <c r="H32" s="1145"/>
      <c r="I32" s="1146"/>
    </row>
    <row r="33" spans="1:9">
      <c r="A33" s="1142"/>
      <c r="B33" s="1143"/>
      <c r="C33" s="1143"/>
      <c r="D33" s="1143"/>
      <c r="E33" s="1143"/>
      <c r="F33" s="1143"/>
      <c r="G33" s="1143"/>
      <c r="H33" s="1143"/>
      <c r="I33" s="1144"/>
    </row>
    <row r="34" spans="1:9">
      <c r="A34" s="1147"/>
      <c r="B34" s="1145"/>
      <c r="C34" s="1145"/>
      <c r="D34" s="1145"/>
      <c r="E34" s="1145"/>
      <c r="F34" s="1145"/>
      <c r="G34" s="1145"/>
      <c r="H34" s="1145"/>
      <c r="I34" s="1146"/>
    </row>
    <row r="35" spans="1:9">
      <c r="A35" s="1142"/>
      <c r="B35" s="1143"/>
      <c r="C35" s="1143"/>
      <c r="D35" s="1143"/>
      <c r="E35" s="1143"/>
      <c r="F35" s="1143"/>
      <c r="G35" s="1143"/>
      <c r="H35" s="1143"/>
      <c r="I35" s="1144"/>
    </row>
    <row r="36" spans="1:9">
      <c r="A36" s="1147"/>
      <c r="B36" s="1145"/>
      <c r="C36" s="1145"/>
      <c r="D36" s="1145"/>
      <c r="E36" s="1145"/>
      <c r="F36" s="1145"/>
      <c r="G36" s="1145"/>
      <c r="H36" s="1145"/>
      <c r="I36" s="1146"/>
    </row>
    <row r="37" spans="1:9">
      <c r="A37" s="1142"/>
      <c r="B37" s="1143"/>
      <c r="C37" s="1143"/>
      <c r="D37" s="1143"/>
      <c r="E37" s="1143"/>
      <c r="F37" s="1143"/>
      <c r="G37" s="1143"/>
      <c r="H37" s="1143"/>
      <c r="I37" s="1144"/>
    </row>
    <row r="38" spans="1:9">
      <c r="A38" s="1147" t="s">
        <v>1286</v>
      </c>
      <c r="B38" s="1737"/>
      <c r="C38" s="1737"/>
      <c r="D38" s="1737"/>
      <c r="E38" s="1737"/>
      <c r="F38" s="1737"/>
      <c r="G38" s="1737"/>
      <c r="H38" s="1737"/>
      <c r="I38" s="1791"/>
    </row>
    <row r="39" spans="1:9">
      <c r="A39" s="1142"/>
      <c r="B39" s="1143"/>
      <c r="C39" s="1143"/>
      <c r="D39" s="1143"/>
      <c r="E39" s="1143"/>
      <c r="F39" s="1143"/>
      <c r="G39" s="1143"/>
      <c r="H39" s="1143"/>
      <c r="I39" s="1144"/>
    </row>
    <row r="40" spans="1:9">
      <c r="A40" s="1147" t="s">
        <v>1285</v>
      </c>
      <c r="B40" s="1737"/>
      <c r="C40" s="1737"/>
      <c r="D40" s="1737"/>
      <c r="E40" s="1737"/>
      <c r="F40" s="1737"/>
      <c r="G40" s="1737"/>
      <c r="H40" s="1737"/>
      <c r="I40" s="1791"/>
    </row>
    <row r="41" spans="1:9">
      <c r="A41" s="1142"/>
      <c r="B41" s="1143"/>
      <c r="C41" s="1143"/>
      <c r="D41" s="1143"/>
      <c r="E41" s="1143"/>
      <c r="F41" s="1143"/>
      <c r="G41" s="1143"/>
      <c r="H41" s="1143"/>
      <c r="I41" s="1144"/>
    </row>
    <row r="42" spans="1:9">
      <c r="A42" s="1147"/>
      <c r="B42" s="1145"/>
      <c r="C42" s="1145"/>
      <c r="D42" s="1145"/>
      <c r="E42" s="1145"/>
      <c r="F42" s="1145"/>
      <c r="G42" s="1145"/>
      <c r="H42" s="1145"/>
      <c r="I42" s="1146"/>
    </row>
    <row r="43" spans="1:9">
      <c r="A43" s="1142"/>
      <c r="B43" s="1143"/>
      <c r="C43" s="1143"/>
      <c r="D43" s="1143"/>
      <c r="E43" s="1143"/>
      <c r="F43" s="1143"/>
      <c r="G43" s="1143"/>
      <c r="H43" s="1143"/>
      <c r="I43" s="1144"/>
    </row>
    <row r="44" spans="1:9">
      <c r="A44" s="1147"/>
      <c r="B44" s="1145"/>
      <c r="C44" s="1145"/>
      <c r="D44" s="1145"/>
      <c r="E44" s="1145"/>
      <c r="F44" s="1145"/>
      <c r="G44" s="1145"/>
      <c r="H44" s="1145"/>
      <c r="I44" s="1146"/>
    </row>
    <row r="45" spans="1:9">
      <c r="A45" s="1142"/>
      <c r="B45" s="1143"/>
      <c r="C45" s="1143"/>
      <c r="D45" s="1143"/>
      <c r="E45" s="1143"/>
      <c r="F45" s="1143"/>
      <c r="G45" s="1143"/>
      <c r="H45" s="1143"/>
      <c r="I45" s="1144"/>
    </row>
    <row r="46" spans="1:9">
      <c r="A46" s="1147"/>
      <c r="B46" s="1145"/>
      <c r="C46" s="1145"/>
      <c r="D46" s="1145"/>
      <c r="E46" s="1145"/>
      <c r="F46" s="1145"/>
      <c r="G46" s="1145"/>
      <c r="H46" s="1145"/>
      <c r="I46" s="1146"/>
    </row>
    <row r="47" spans="1:9" ht="13.5" thickBot="1">
      <c r="A47" s="1148"/>
      <c r="B47" s="1149"/>
      <c r="C47" s="1149"/>
      <c r="D47" s="1149"/>
      <c r="E47" s="1149"/>
      <c r="F47" s="1149"/>
      <c r="G47" s="1149"/>
      <c r="H47" s="1149"/>
      <c r="I47" s="1150"/>
    </row>
    <row r="48" spans="1:9">
      <c r="A48" s="44"/>
      <c r="I48" s="45"/>
    </row>
    <row r="49" spans="1:9" ht="13.75" thickBot="1">
      <c r="A49" s="44"/>
      <c r="D49" s="22" t="s">
        <v>1302</v>
      </c>
      <c r="F49" s="21">
        <f>Summary!C63</f>
        <v>0</v>
      </c>
      <c r="G49" s="21"/>
      <c r="H49" s="21"/>
      <c r="I49" s="47"/>
    </row>
    <row r="50" spans="1:9" ht="13.5" thickBot="1">
      <c r="A50" s="46"/>
      <c r="B50" s="21"/>
      <c r="C50" s="21"/>
      <c r="D50" s="21"/>
      <c r="E50" s="21"/>
      <c r="F50" s="21"/>
      <c r="G50" s="21"/>
      <c r="H50" s="21"/>
      <c r="I50" s="47"/>
    </row>
  </sheetData>
  <mergeCells count="27">
    <mergeCell ref="F14:G14"/>
    <mergeCell ref="H14:I14"/>
    <mergeCell ref="D24:E24"/>
    <mergeCell ref="G24:H24"/>
    <mergeCell ref="C16:D16"/>
    <mergeCell ref="E16:F16"/>
    <mergeCell ref="D28:E28"/>
    <mergeCell ref="A24:B24"/>
    <mergeCell ref="D26:E26"/>
    <mergeCell ref="G26:H26"/>
    <mergeCell ref="G28:H28"/>
    <mergeCell ref="B40:I40"/>
    <mergeCell ref="B1:H2"/>
    <mergeCell ref="A5:I5"/>
    <mergeCell ref="G10:I10"/>
    <mergeCell ref="C10:D10"/>
    <mergeCell ref="B8:D8"/>
    <mergeCell ref="B6:F6"/>
    <mergeCell ref="H6:I6"/>
    <mergeCell ref="D14:E14"/>
    <mergeCell ref="A16:B16"/>
    <mergeCell ref="A26:B26"/>
    <mergeCell ref="B38:I38"/>
    <mergeCell ref="A18:B18"/>
    <mergeCell ref="C18:D18"/>
    <mergeCell ref="E18:F18"/>
    <mergeCell ref="A28:B28"/>
  </mergeCells>
  <phoneticPr fontId="0" type="noConversion"/>
  <pageMargins left="0.75" right="0.75" top="1" bottom="1" header="0.5" footer="0.5"/>
  <pageSetup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226" r:id="rId4" name="Button 2">
              <controlPr defaultSize="0" print="0" autoFill="0" autoPict="0" macro="[0]!BACKTOMENU">
                <anchor moveWithCells="1">
                  <from>
                    <xdr:col>0</xdr:col>
                    <xdr:colOff>0</xdr:colOff>
                    <xdr:row>0</xdr:row>
                    <xdr:rowOff>0</xdr:rowOff>
                  </from>
                  <to>
                    <xdr:col>0</xdr:col>
                    <xdr:colOff>533400</xdr:colOff>
                    <xdr:row>1</xdr:row>
                    <xdr:rowOff>48986</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32402-4203-4BDF-9467-53AAF41369E1}">
  <sheetPr>
    <tabColor indexed="14"/>
  </sheetPr>
  <dimension ref="A1:S59"/>
  <sheetViews>
    <sheetView topLeftCell="A42" workbookViewId="0">
      <selection activeCell="C9" sqref="C9"/>
    </sheetView>
  </sheetViews>
  <sheetFormatPr defaultColWidth="9.15234375" defaultRowHeight="13.1"/>
  <cols>
    <col min="1" max="1" width="1.421875" style="5" customWidth="1"/>
    <col min="2" max="2" width="45" style="1414" customWidth="1"/>
    <col min="3" max="3" width="92.84375" style="1165" customWidth="1"/>
    <col min="4" max="4" width="18.265625" style="5" customWidth="1"/>
    <col min="5" max="16384" width="9.15234375" style="5"/>
  </cols>
  <sheetData>
    <row r="1" spans="1:19" ht="22.5" customHeight="1">
      <c r="A1" s="1804">
        <v>1</v>
      </c>
      <c r="B1" s="1805"/>
      <c r="C1" s="1805"/>
      <c r="D1" s="1805"/>
      <c r="E1" s="1805"/>
      <c r="F1" s="1805"/>
      <c r="G1" s="1805"/>
      <c r="H1" s="1805"/>
      <c r="I1" s="1805"/>
      <c r="J1" s="1805"/>
      <c r="K1" s="1805"/>
      <c r="L1" s="1805"/>
      <c r="M1" s="1805"/>
      <c r="N1" s="1805"/>
      <c r="O1" s="1805"/>
      <c r="P1" s="1805"/>
      <c r="Q1" s="1805"/>
      <c r="R1" s="1805"/>
      <c r="S1" s="1806"/>
    </row>
    <row r="2" spans="1:19">
      <c r="B2" s="1414" t="s">
        <v>453</v>
      </c>
      <c r="C2" s="1632"/>
    </row>
    <row r="3" spans="1:19">
      <c r="B3" s="1414" t="s">
        <v>426</v>
      </c>
      <c r="C3" s="1415"/>
    </row>
    <row r="4" spans="1:19">
      <c r="B4" s="1414" t="s">
        <v>427</v>
      </c>
      <c r="C4" s="1415"/>
    </row>
    <row r="5" spans="1:19">
      <c r="B5" s="1414" t="s">
        <v>282</v>
      </c>
    </row>
    <row r="6" spans="1:19">
      <c r="B6" s="1414" t="s">
        <v>428</v>
      </c>
    </row>
    <row r="7" spans="1:19">
      <c r="B7" s="1414" t="s">
        <v>407</v>
      </c>
    </row>
    <row r="8" spans="1:19">
      <c r="B8" s="1414" t="s">
        <v>1112</v>
      </c>
    </row>
    <row r="9" spans="1:19">
      <c r="B9" s="1414" t="s">
        <v>429</v>
      </c>
    </row>
    <row r="10" spans="1:19">
      <c r="B10" s="1414" t="s">
        <v>430</v>
      </c>
    </row>
    <row r="11" spans="1:19">
      <c r="B11" s="1414" t="s">
        <v>431</v>
      </c>
      <c r="C11" s="1165" t="s">
        <v>1001</v>
      </c>
    </row>
    <row r="12" spans="1:19">
      <c r="B12" s="1414" t="s">
        <v>432</v>
      </c>
    </row>
    <row r="13" spans="1:19">
      <c r="B13" s="1414" t="s">
        <v>433</v>
      </c>
      <c r="C13" s="1421"/>
    </row>
    <row r="14" spans="1:19">
      <c r="B14" s="1414" t="s">
        <v>434</v>
      </c>
      <c r="C14" s="1421"/>
    </row>
    <row r="15" spans="1:19">
      <c r="B15" s="1414" t="s">
        <v>435</v>
      </c>
      <c r="C15" s="1421">
        <v>0.45</v>
      </c>
    </row>
    <row r="16" spans="1:19">
      <c r="B16" s="1414" t="s">
        <v>436</v>
      </c>
    </row>
    <row r="17" spans="2:3">
      <c r="B17" s="1414" t="s">
        <v>437</v>
      </c>
    </row>
    <row r="18" spans="2:3">
      <c r="B18" s="1414" t="s">
        <v>380</v>
      </c>
    </row>
    <row r="19" spans="2:3">
      <c r="B19" s="1414" t="s">
        <v>438</v>
      </c>
    </row>
    <row r="20" spans="2:3">
      <c r="B20" s="1414" t="s">
        <v>137</v>
      </c>
    </row>
    <row r="21" spans="2:3">
      <c r="B21" s="1414" t="s">
        <v>463</v>
      </c>
    </row>
    <row r="22" spans="2:3">
      <c r="B22" s="1414" t="s">
        <v>179</v>
      </c>
    </row>
    <row r="23" spans="2:3">
      <c r="B23" s="1414" t="s">
        <v>179</v>
      </c>
    </row>
    <row r="24" spans="2:3">
      <c r="B24" s="1414" t="s">
        <v>462</v>
      </c>
    </row>
    <row r="25" spans="2:3">
      <c r="B25" s="1414" t="s">
        <v>1617</v>
      </c>
      <c r="C25" s="1421"/>
    </row>
    <row r="26" spans="2:3">
      <c r="B26" s="1414" t="s">
        <v>169</v>
      </c>
      <c r="C26" s="1421"/>
    </row>
    <row r="27" spans="2:3">
      <c r="B27" s="1414" t="s">
        <v>145</v>
      </c>
    </row>
    <row r="28" spans="2:3">
      <c r="B28" s="1414" t="s">
        <v>439</v>
      </c>
      <c r="C28" s="1421"/>
    </row>
    <row r="29" spans="2:3" ht="12.9">
      <c r="B29" s="1807" t="s">
        <v>440</v>
      </c>
      <c r="C29" s="1809"/>
    </row>
    <row r="30" spans="2:3" ht="12.9">
      <c r="B30" s="1808"/>
      <c r="C30" s="1810"/>
    </row>
    <row r="31" spans="2:3">
      <c r="B31" s="1417" t="s">
        <v>441</v>
      </c>
    </row>
    <row r="32" spans="2:3">
      <c r="B32" s="1414" t="s">
        <v>1618</v>
      </c>
    </row>
    <row r="33" spans="2:2">
      <c r="B33" s="1414" t="s">
        <v>443</v>
      </c>
    </row>
    <row r="34" spans="2:2">
      <c r="B34" s="1414" t="s">
        <v>425</v>
      </c>
    </row>
    <row r="35" spans="2:2">
      <c r="B35" s="1414" t="s">
        <v>425</v>
      </c>
    </row>
    <row r="36" spans="2:2">
      <c r="B36" s="1414" t="s">
        <v>425</v>
      </c>
    </row>
    <row r="37" spans="2:2">
      <c r="B37" s="1417" t="s">
        <v>442</v>
      </c>
    </row>
    <row r="38" spans="2:2">
      <c r="B38" s="1414" t="s">
        <v>443</v>
      </c>
    </row>
    <row r="39" spans="2:2">
      <c r="B39" s="1414" t="str">
        <f>B32</f>
        <v>Shot density, charge size, phasing, total shots</v>
      </c>
    </row>
    <row r="40" spans="2:2">
      <c r="B40" s="1414" t="s">
        <v>425</v>
      </c>
    </row>
    <row r="41" spans="2:2">
      <c r="B41" s="1414" t="s">
        <v>425</v>
      </c>
    </row>
    <row r="42" spans="2:2">
      <c r="B42" s="1414" t="s">
        <v>425</v>
      </c>
    </row>
    <row r="43" spans="2:2">
      <c r="B43" s="1417" t="s">
        <v>444</v>
      </c>
    </row>
    <row r="44" spans="2:2">
      <c r="B44" s="1414" t="s">
        <v>443</v>
      </c>
    </row>
    <row r="45" spans="2:2">
      <c r="B45" s="1414" t="str">
        <f>B39</f>
        <v>Shot density, charge size, phasing, total shots</v>
      </c>
    </row>
    <row r="46" spans="2:2">
      <c r="B46" s="1414" t="s">
        <v>425</v>
      </c>
    </row>
    <row r="47" spans="2:2">
      <c r="B47" s="1414" t="s">
        <v>425</v>
      </c>
    </row>
    <row r="48" spans="2:2">
      <c r="B48" s="1414" t="s">
        <v>425</v>
      </c>
    </row>
    <row r="49" spans="2:2" ht="12.9">
      <c r="B49" s="1807" t="s">
        <v>445</v>
      </c>
    </row>
    <row r="50" spans="2:2" ht="12.9">
      <c r="B50" s="1808"/>
    </row>
    <row r="51" spans="2:2">
      <c r="B51" s="1414" t="s">
        <v>446</v>
      </c>
    </row>
    <row r="52" spans="2:2">
      <c r="B52" s="1414" t="s">
        <v>447</v>
      </c>
    </row>
    <row r="53" spans="2:2">
      <c r="B53" s="1414" t="s">
        <v>448</v>
      </c>
    </row>
    <row r="54" spans="2:2">
      <c r="B54" s="1414" t="s">
        <v>451</v>
      </c>
    </row>
    <row r="55" spans="2:2">
      <c r="B55" s="1414" t="s">
        <v>449</v>
      </c>
    </row>
    <row r="56" spans="2:2">
      <c r="B56" s="1414" t="s">
        <v>339</v>
      </c>
    </row>
    <row r="57" spans="2:2">
      <c r="B57" s="1414" t="s">
        <v>450</v>
      </c>
    </row>
    <row r="58" spans="2:2">
      <c r="B58" s="1414" t="s">
        <v>734</v>
      </c>
    </row>
    <row r="59" spans="2:2">
      <c r="B59" s="1414" t="s">
        <v>452</v>
      </c>
    </row>
  </sheetData>
  <protectedRanges>
    <protectedRange sqref="C2:C28 C31:C96" name="Range1"/>
  </protectedRanges>
  <mergeCells count="4">
    <mergeCell ref="A1:S1"/>
    <mergeCell ref="B29:B30"/>
    <mergeCell ref="B49:B50"/>
    <mergeCell ref="C29:C30"/>
  </mergeCells>
  <phoneticPr fontId="118" type="noConversion"/>
  <pageMargins left="0.75" right="0.75" top="1" bottom="1" header="0.5" footer="0.5"/>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80897" r:id="rId3" name="Button 1">
              <controlPr defaultSize="0" print="0" autoFill="0" autoPict="0" macro="[0]!BACKTOMENU">
                <anchor moveWithCells="1">
                  <from>
                    <xdr:col>2</xdr:col>
                    <xdr:colOff>1213757</xdr:colOff>
                    <xdr:row>0</xdr:row>
                    <xdr:rowOff>10886</xdr:rowOff>
                  </from>
                  <to>
                    <xdr:col>2</xdr:col>
                    <xdr:colOff>2579914</xdr:colOff>
                    <xdr:row>1</xdr:row>
                    <xdr:rowOff>10886</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6567A-0064-4FEB-AA02-849EDDF8A5A6}">
  <sheetPr codeName="Sheet13">
    <tabColor indexed="8"/>
  </sheetPr>
  <dimension ref="A1:I305"/>
  <sheetViews>
    <sheetView showGridLines="0" showZeros="0" view="pageBreakPreview" topLeftCell="A16" zoomScale="120" zoomScaleNormal="110" zoomScaleSheetLayoutView="120" workbookViewId="0">
      <selection activeCell="F13" sqref="F13"/>
    </sheetView>
  </sheetViews>
  <sheetFormatPr defaultRowHeight="12.9"/>
  <cols>
    <col min="1" max="1" width="7.57421875" style="951" customWidth="1"/>
    <col min="2" max="2" width="28.69140625" style="951" customWidth="1"/>
    <col min="3" max="6" width="9.15234375" style="951" customWidth="1"/>
    <col min="7" max="7" width="16.15234375" style="951" customWidth="1"/>
    <col min="8" max="9" width="10.265625" style="951" customWidth="1"/>
  </cols>
  <sheetData>
    <row r="1" spans="1:9" ht="17.25" customHeight="1">
      <c r="A1" s="141" t="s">
        <v>1189</v>
      </c>
      <c r="B1" s="949"/>
      <c r="C1" s="142" t="s">
        <v>1450</v>
      </c>
      <c r="D1" s="142"/>
      <c r="E1" s="1811">
        <f>DATA!C2</f>
        <v>0</v>
      </c>
      <c r="F1" s="1811"/>
      <c r="G1" s="1811"/>
      <c r="H1" s="1811"/>
      <c r="I1" s="1812"/>
    </row>
    <row r="2" spans="1:9" ht="15" customHeight="1">
      <c r="A2" s="1849"/>
      <c r="B2" s="1818"/>
      <c r="C2" s="22"/>
      <c r="D2" s="122" t="s">
        <v>130</v>
      </c>
      <c r="E2" s="1818">
        <f>DATA!C5</f>
        <v>0</v>
      </c>
      <c r="F2" s="1818"/>
      <c r="G2" s="1162"/>
      <c r="I2" s="952"/>
    </row>
    <row r="3" spans="1:9" ht="13.1">
      <c r="A3" s="950"/>
      <c r="B3" s="131" t="s">
        <v>334</v>
      </c>
      <c r="C3" s="1850">
        <f>DATA!C3</f>
        <v>0</v>
      </c>
      <c r="D3" s="1850"/>
      <c r="E3" s="1850"/>
      <c r="F3" s="1850"/>
      <c r="G3" s="1162"/>
      <c r="I3" s="952"/>
    </row>
    <row r="4" spans="1:9" ht="13.1">
      <c r="A4" s="950"/>
      <c r="B4" s="131" t="s">
        <v>283</v>
      </c>
      <c r="C4" s="1851">
        <f>DATA!C4</f>
        <v>0</v>
      </c>
      <c r="D4" s="1851"/>
      <c r="E4" s="1851"/>
      <c r="F4" s="1851"/>
      <c r="G4" s="953"/>
      <c r="H4" s="953"/>
      <c r="I4" s="468"/>
    </row>
    <row r="5" spans="1:9" ht="13.1">
      <c r="A5" s="950"/>
      <c r="B5" s="125" t="s">
        <v>131</v>
      </c>
      <c r="C5" s="1496">
        <f>Register!A2</f>
        <v>0</v>
      </c>
      <c r="D5" s="1495"/>
      <c r="E5" s="1495"/>
      <c r="F5" s="1495"/>
      <c r="G5" s="953"/>
      <c r="H5" s="953"/>
      <c r="I5" s="468"/>
    </row>
    <row r="6" spans="1:9" ht="13.1">
      <c r="A6" s="950"/>
      <c r="B6" s="125" t="s">
        <v>132</v>
      </c>
      <c r="C6" s="1496">
        <f>DATA!C6</f>
        <v>0</v>
      </c>
      <c r="D6" s="1495"/>
      <c r="E6" s="1495"/>
      <c r="F6" s="1495"/>
      <c r="G6" s="953"/>
      <c r="H6" s="953"/>
      <c r="I6" s="468"/>
    </row>
    <row r="7" spans="1:9" ht="13.1">
      <c r="A7" s="950"/>
      <c r="B7" s="125" t="s">
        <v>407</v>
      </c>
      <c r="C7" s="1496">
        <f>DATA!C7</f>
        <v>0</v>
      </c>
      <c r="D7" s="1495"/>
      <c r="E7" s="1495"/>
      <c r="F7" s="1495"/>
      <c r="G7" s="953"/>
      <c r="H7" s="953"/>
      <c r="I7" s="468"/>
    </row>
    <row r="8" spans="1:9" ht="13.1">
      <c r="A8" s="950"/>
      <c r="B8" s="125" t="s">
        <v>1112</v>
      </c>
      <c r="C8" s="1496">
        <f>DATA!C8</f>
        <v>0</v>
      </c>
      <c r="D8" s="1495"/>
      <c r="E8" s="1495"/>
      <c r="F8" s="1495"/>
      <c r="G8" s="953"/>
      <c r="H8" s="953"/>
      <c r="I8" s="468"/>
    </row>
    <row r="9" spans="1:9" ht="13.1">
      <c r="A9" s="950"/>
      <c r="B9" s="125" t="s">
        <v>133</v>
      </c>
      <c r="C9" s="1496">
        <f>DATA!C9</f>
        <v>0</v>
      </c>
      <c r="D9" s="1497"/>
      <c r="E9" s="1495"/>
      <c r="F9" s="1495"/>
      <c r="G9" s="953"/>
      <c r="H9" s="953"/>
      <c r="I9" s="468"/>
    </row>
    <row r="10" spans="1:9" ht="13.1">
      <c r="A10" s="950"/>
      <c r="B10" s="115" t="s">
        <v>381</v>
      </c>
      <c r="C10" s="1496">
        <f>DATA!C10</f>
        <v>0</v>
      </c>
      <c r="D10" s="1498" t="str">
        <f>IF(C11="N/A"," ",IF(C11="Yes"," ","BHP/Rods"))</f>
        <v xml:space="preserve"> </v>
      </c>
      <c r="E10" s="1499" t="str">
        <f>IF(D10&gt;" ","X"," ")</f>
        <v xml:space="preserve"> </v>
      </c>
      <c r="F10" s="1495"/>
      <c r="G10" s="953"/>
      <c r="H10" s="1416" t="str">
        <f>IF(D10&gt;" "," ",IF(DATA!C12="ESP","ESP"," "))</f>
        <v xml:space="preserve"> </v>
      </c>
      <c r="I10" s="1420" t="str">
        <f>IF(H10&gt;" ","Yes"," ")</f>
        <v xml:space="preserve"> </v>
      </c>
    </row>
    <row r="11" spans="1:9" ht="13.1">
      <c r="A11" s="950"/>
      <c r="B11" s="115" t="s">
        <v>1331</v>
      </c>
      <c r="C11" s="163" t="str">
        <f>DATA!C11</f>
        <v>N/A</v>
      </c>
      <c r="D11" s="953"/>
      <c r="E11" s="953"/>
      <c r="F11" s="953"/>
      <c r="G11" s="953"/>
      <c r="H11" s="775"/>
      <c r="I11" s="468"/>
    </row>
    <row r="12" spans="1:9" ht="13.1">
      <c r="A12" s="950"/>
      <c r="B12" s="125" t="s">
        <v>1542</v>
      </c>
      <c r="C12" s="131" t="s">
        <v>134</v>
      </c>
      <c r="D12" s="1496">
        <f>DATA!C13</f>
        <v>0</v>
      </c>
      <c r="E12" s="131" t="s">
        <v>135</v>
      </c>
      <c r="F12" s="1496">
        <f>DATA!C14</f>
        <v>0</v>
      </c>
      <c r="G12" s="131" t="s">
        <v>136</v>
      </c>
      <c r="H12" s="163">
        <f>SUM(D12,-F12)</f>
        <v>0</v>
      </c>
      <c r="I12" s="468"/>
    </row>
    <row r="13" spans="1:9" ht="13.1">
      <c r="A13" s="950"/>
      <c r="B13" s="115"/>
      <c r="C13" s="1677" t="s">
        <v>435</v>
      </c>
      <c r="D13" s="1677"/>
      <c r="E13" s="1500">
        <f>DATA!C15</f>
        <v>0.45</v>
      </c>
      <c r="F13" s="1495" t="s">
        <v>1526</v>
      </c>
      <c r="G13" s="131" t="s">
        <v>372</v>
      </c>
      <c r="H13" s="4">
        <f>IF(H12=0,0,H12-E13)</f>
        <v>0</v>
      </c>
      <c r="I13" s="468"/>
    </row>
    <row r="14" spans="1:9" ht="13.1">
      <c r="A14" s="950"/>
      <c r="B14" s="125" t="s">
        <v>645</v>
      </c>
      <c r="C14" s="163">
        <f>DATA!C16</f>
        <v>0</v>
      </c>
      <c r="D14" s="953"/>
      <c r="E14" s="953"/>
      <c r="F14" s="1677" t="s">
        <v>646</v>
      </c>
      <c r="G14" s="1677"/>
      <c r="H14" s="37">
        <f>DATA!C17</f>
        <v>0</v>
      </c>
      <c r="I14" s="952"/>
    </row>
    <row r="15" spans="1:9" ht="13.1">
      <c r="A15" s="950"/>
      <c r="B15" s="125" t="s">
        <v>380</v>
      </c>
      <c r="C15" s="163">
        <f>DATA!C18</f>
        <v>0</v>
      </c>
      <c r="D15" s="953"/>
      <c r="E15" s="22" t="s">
        <v>1187</v>
      </c>
      <c r="F15" s="22">
        <f>DATA!C19</f>
        <v>0</v>
      </c>
      <c r="I15" s="952"/>
    </row>
    <row r="16" spans="1:9" ht="13.1">
      <c r="A16" s="950"/>
      <c r="B16" s="125"/>
      <c r="C16" s="1875" t="s">
        <v>1519</v>
      </c>
      <c r="D16" s="1876"/>
      <c r="E16" s="1876"/>
      <c r="F16" s="1876"/>
      <c r="G16" s="1876"/>
      <c r="H16" s="1876"/>
      <c r="I16" s="1877"/>
    </row>
    <row r="17" spans="1:9" ht="13.1">
      <c r="A17" s="950"/>
      <c r="B17" s="125" t="s">
        <v>137</v>
      </c>
      <c r="C17" s="1872">
        <f>DATA!C20</f>
        <v>0</v>
      </c>
      <c r="D17" s="1873"/>
      <c r="E17" s="1873"/>
      <c r="F17" s="1873"/>
      <c r="G17" s="1873"/>
      <c r="H17" s="1873"/>
      <c r="I17" s="1874"/>
    </row>
    <row r="18" spans="1:9" ht="13.1">
      <c r="A18" s="950"/>
      <c r="B18" s="125" t="s">
        <v>463</v>
      </c>
      <c r="C18" s="1872">
        <f>DATA!C21</f>
        <v>0</v>
      </c>
      <c r="D18" s="1873"/>
      <c r="E18" s="1873"/>
      <c r="F18" s="1873"/>
      <c r="G18" s="1873"/>
      <c r="H18" s="1873"/>
      <c r="I18" s="1874"/>
    </row>
    <row r="19" spans="1:9" ht="13.1">
      <c r="A19" s="950"/>
      <c r="B19" s="125" t="s">
        <v>179</v>
      </c>
      <c r="C19" s="1872">
        <f>DATA!C22</f>
        <v>0</v>
      </c>
      <c r="D19" s="1873"/>
      <c r="E19" s="1873"/>
      <c r="F19" s="1873"/>
      <c r="G19" s="1873"/>
      <c r="H19" s="1873"/>
      <c r="I19" s="1874"/>
    </row>
    <row r="20" spans="1:9" ht="13.1">
      <c r="A20" s="950"/>
      <c r="B20" s="125" t="s">
        <v>179</v>
      </c>
      <c r="C20" s="1872">
        <f>DATA!C23</f>
        <v>0</v>
      </c>
      <c r="D20" s="1873"/>
      <c r="E20" s="1873"/>
      <c r="F20" s="1873"/>
      <c r="G20" s="1873"/>
      <c r="H20" s="1873"/>
      <c r="I20" s="1874"/>
    </row>
    <row r="21" spans="1:9" ht="13.1">
      <c r="A21" s="950"/>
      <c r="B21" s="125" t="s">
        <v>462</v>
      </c>
      <c r="C21" s="1872">
        <f>DATA!C24</f>
        <v>0</v>
      </c>
      <c r="D21" s="1873"/>
      <c r="E21" s="1873"/>
      <c r="F21" s="1873"/>
      <c r="G21" s="1873"/>
      <c r="H21" s="1873"/>
      <c r="I21" s="1874"/>
    </row>
    <row r="22" spans="1:9" ht="13.1">
      <c r="A22" s="950"/>
      <c r="B22" s="125" t="s">
        <v>138</v>
      </c>
      <c r="C22" s="488">
        <f>DATA!C25</f>
        <v>0</v>
      </c>
      <c r="D22" s="953"/>
      <c r="E22" s="953" t="s">
        <v>1022</v>
      </c>
      <c r="F22" s="1309" t="s">
        <v>1543</v>
      </c>
      <c r="G22" s="1328">
        <f>DATA!C28</f>
        <v>0</v>
      </c>
      <c r="H22" s="953" t="s">
        <v>360</v>
      </c>
      <c r="I22" s="468"/>
    </row>
    <row r="23" spans="1:9" ht="13.1">
      <c r="A23" s="950"/>
      <c r="B23" s="125" t="s">
        <v>144</v>
      </c>
      <c r="C23" s="488">
        <f>DATA!C26</f>
        <v>0</v>
      </c>
      <c r="D23" s="953"/>
      <c r="E23" s="954"/>
      <c r="F23" s="953"/>
      <c r="G23" s="335" t="s">
        <v>336</v>
      </c>
      <c r="H23" s="953"/>
      <c r="I23" s="468"/>
    </row>
    <row r="24" spans="1:9" ht="13.1">
      <c r="A24" s="950"/>
      <c r="B24" s="125" t="s">
        <v>145</v>
      </c>
      <c r="C24" s="488">
        <f>DATA!C27</f>
        <v>0</v>
      </c>
      <c r="D24" s="953"/>
      <c r="E24" s="953" t="s">
        <v>1022</v>
      </c>
      <c r="F24" s="953"/>
      <c r="G24" s="953"/>
      <c r="H24" s="953"/>
      <c r="I24" s="468"/>
    </row>
    <row r="25" spans="1:9" ht="13.1">
      <c r="A25" s="950"/>
      <c r="B25" s="115" t="s">
        <v>346</v>
      </c>
      <c r="C25" s="1677" t="s">
        <v>347</v>
      </c>
      <c r="D25" s="1854"/>
      <c r="E25" s="954"/>
      <c r="F25" s="1855" t="s">
        <v>1021</v>
      </c>
      <c r="G25" s="1854"/>
      <c r="H25" s="954"/>
      <c r="I25" s="468"/>
    </row>
    <row r="26" spans="1:9" ht="13.1">
      <c r="A26" s="950"/>
      <c r="B26" s="125" t="s">
        <v>486</v>
      </c>
      <c r="C26" s="1831"/>
      <c r="D26" s="1832"/>
      <c r="E26" s="1832"/>
      <c r="F26" s="1837"/>
      <c r="G26" s="1831"/>
      <c r="H26" s="1832"/>
      <c r="I26" s="1833"/>
    </row>
    <row r="27" spans="1:9" ht="13.1">
      <c r="A27" s="950"/>
      <c r="B27" s="23"/>
      <c r="C27" s="1831">
        <v>0</v>
      </c>
      <c r="D27" s="1832"/>
      <c r="E27" s="1832"/>
      <c r="F27" s="1837"/>
      <c r="G27" s="1831"/>
      <c r="H27" s="1832"/>
      <c r="I27" s="1833"/>
    </row>
    <row r="28" spans="1:9" ht="13.1">
      <c r="A28" s="950"/>
      <c r="B28" s="23"/>
      <c r="C28" s="1831">
        <v>0</v>
      </c>
      <c r="D28" s="1832"/>
      <c r="E28" s="1832"/>
      <c r="F28" s="1837"/>
      <c r="G28" s="1831"/>
      <c r="H28" s="1832"/>
      <c r="I28" s="1833"/>
    </row>
    <row r="29" spans="1:9" ht="13.1">
      <c r="A29" s="950"/>
      <c r="B29" s="23"/>
      <c r="C29" s="1831">
        <v>0</v>
      </c>
      <c r="D29" s="1832"/>
      <c r="E29" s="1832"/>
      <c r="F29" s="1837"/>
      <c r="G29" s="1831"/>
      <c r="H29" s="1832"/>
      <c r="I29" s="1833"/>
    </row>
    <row r="30" spans="1:9" ht="13.1">
      <c r="A30" s="950"/>
      <c r="B30" s="23"/>
      <c r="C30" s="1831">
        <v>0</v>
      </c>
      <c r="D30" s="1832"/>
      <c r="E30" s="1832"/>
      <c r="F30" s="1837"/>
      <c r="G30" s="1831"/>
      <c r="H30" s="1832"/>
      <c r="I30" s="1833"/>
    </row>
    <row r="31" spans="1:9">
      <c r="A31" s="950"/>
      <c r="B31" s="304" t="s">
        <v>348</v>
      </c>
      <c r="C31" s="1840" t="s">
        <v>1332</v>
      </c>
      <c r="D31" s="1840"/>
      <c r="E31" s="1373">
        <f>DATA!C33</f>
        <v>0</v>
      </c>
      <c r="F31" s="1375" t="s">
        <v>1332</v>
      </c>
      <c r="G31" s="1374">
        <f>DATA!C38</f>
        <v>0</v>
      </c>
      <c r="H31" s="244" t="s">
        <v>1332</v>
      </c>
      <c r="I31" s="1376">
        <f>DATA!C44</f>
        <v>0</v>
      </c>
    </row>
    <row r="32" spans="1:9" ht="13.1">
      <c r="A32" s="1501" t="s">
        <v>587</v>
      </c>
      <c r="B32" s="125" t="s">
        <v>146</v>
      </c>
      <c r="C32" s="955">
        <f>DATA!C31</f>
        <v>0</v>
      </c>
      <c r="D32" s="956"/>
      <c r="E32" s="957"/>
      <c r="F32" s="955">
        <f>DATA!C37</f>
        <v>0</v>
      </c>
      <c r="G32" s="958"/>
      <c r="H32" s="1175">
        <f>DATA!C43</f>
        <v>0</v>
      </c>
      <c r="I32" s="1174"/>
    </row>
    <row r="33" spans="1:9" ht="13.1">
      <c r="A33" s="1502" t="s">
        <v>360</v>
      </c>
      <c r="B33" s="131" t="s">
        <v>1545</v>
      </c>
      <c r="C33" s="1852">
        <f>DATA!C34</f>
        <v>0</v>
      </c>
      <c r="D33" s="1853"/>
      <c r="E33" s="1827"/>
      <c r="F33" s="1826">
        <f>DATA!C40</f>
        <v>0</v>
      </c>
      <c r="G33" s="1827"/>
      <c r="H33" s="1826">
        <f>DATA!C46</f>
        <v>0</v>
      </c>
      <c r="I33" s="1836"/>
    </row>
    <row r="34" spans="1:9" ht="13.1">
      <c r="A34" s="950"/>
      <c r="B34" s="115"/>
      <c r="C34" s="1852">
        <f>DATA!C35</f>
        <v>0</v>
      </c>
      <c r="D34" s="1853"/>
      <c r="E34" s="1827"/>
      <c r="F34" s="1826">
        <f>DATA!C41</f>
        <v>0</v>
      </c>
      <c r="G34" s="1827"/>
      <c r="H34" s="1826">
        <f>DATA!C47</f>
        <v>0</v>
      </c>
      <c r="I34" s="1836"/>
    </row>
    <row r="35" spans="1:9" ht="13.1">
      <c r="A35" s="950"/>
      <c r="B35" s="115"/>
      <c r="C35" s="1828">
        <f>DATA!C36</f>
        <v>0</v>
      </c>
      <c r="D35" s="1829"/>
      <c r="E35" s="1830"/>
      <c r="F35" s="1880">
        <f>DATA!C42</f>
        <v>0</v>
      </c>
      <c r="G35" s="1830"/>
      <c r="H35" s="1880">
        <f>DATA!C48</f>
        <v>0</v>
      </c>
      <c r="I35" s="1885"/>
    </row>
    <row r="36" spans="1:9" ht="13.1">
      <c r="A36" s="950"/>
      <c r="B36" s="115" t="str">
        <f>IF(C36=0," ",C32)</f>
        <v xml:space="preserve"> </v>
      </c>
      <c r="C36" s="1878">
        <f>DATA!C32</f>
        <v>0</v>
      </c>
      <c r="D36" s="1878"/>
      <c r="E36" s="1878"/>
      <c r="F36" s="1878"/>
      <c r="G36" s="1878"/>
      <c r="H36" s="1878"/>
      <c r="I36" s="1879"/>
    </row>
    <row r="37" spans="1:9" ht="13.1">
      <c r="A37" s="950"/>
      <c r="B37" s="115" t="str">
        <f>IF(C37=0," ",F32)</f>
        <v xml:space="preserve"> </v>
      </c>
      <c r="C37" s="1841">
        <f>DATA!C39</f>
        <v>0</v>
      </c>
      <c r="D37" s="1841"/>
      <c r="E37" s="1841"/>
      <c r="F37" s="1841"/>
      <c r="G37" s="1841"/>
      <c r="H37" s="1841"/>
      <c r="I37" s="1842"/>
    </row>
    <row r="38" spans="1:9" ht="13.1">
      <c r="A38" s="950"/>
      <c r="B38" s="115" t="str">
        <f>IF(C38=0," ",H32)</f>
        <v xml:space="preserve"> </v>
      </c>
      <c r="C38" s="1841">
        <f>DATA!C45</f>
        <v>0</v>
      </c>
      <c r="D38" s="1841"/>
      <c r="E38" s="1841"/>
      <c r="F38" s="1841"/>
      <c r="G38" s="1841"/>
      <c r="H38" s="1841"/>
      <c r="I38" s="1842"/>
    </row>
    <row r="39" spans="1:9" ht="13.1">
      <c r="A39" s="950"/>
      <c r="B39" s="115"/>
      <c r="C39" s="959" t="s">
        <v>115</v>
      </c>
      <c r="D39" s="953"/>
      <c r="E39" s="953"/>
      <c r="F39" s="959"/>
    </row>
    <row r="40" spans="1:9" ht="13.1">
      <c r="A40" s="950"/>
      <c r="B40" s="23"/>
      <c r="C40" s="56"/>
      <c r="D40" s="953"/>
      <c r="E40" s="953"/>
      <c r="F40" s="56"/>
    </row>
    <row r="41" spans="1:9" ht="13.1">
      <c r="A41" s="950"/>
      <c r="B41" s="125" t="s">
        <v>150</v>
      </c>
      <c r="C41" s="1843" t="s">
        <v>115</v>
      </c>
      <c r="D41" s="1844"/>
      <c r="E41" s="953"/>
      <c r="F41" s="953"/>
    </row>
    <row r="42" spans="1:9" ht="13.1">
      <c r="A42" s="950"/>
      <c r="B42" s="125"/>
      <c r="C42" s="1398"/>
      <c r="D42" s="1398"/>
      <c r="E42" s="953"/>
      <c r="F42" s="953"/>
      <c r="G42" s="1399"/>
      <c r="H42" s="1399"/>
      <c r="I42" s="1400"/>
    </row>
    <row r="43" spans="1:9" ht="13.1">
      <c r="A43" s="950"/>
      <c r="B43" s="125"/>
      <c r="C43" s="1398"/>
      <c r="D43" s="1398"/>
      <c r="E43" s="953"/>
      <c r="F43" s="953"/>
      <c r="G43" s="1399"/>
      <c r="H43" s="1399"/>
      <c r="I43" s="1400"/>
    </row>
    <row r="44" spans="1:9" ht="13.1">
      <c r="A44" s="950"/>
      <c r="B44" s="125"/>
      <c r="C44" s="1398"/>
      <c r="D44" s="1398"/>
      <c r="E44" s="953"/>
      <c r="F44" s="953"/>
      <c r="G44" s="1399"/>
      <c r="H44" s="1399"/>
      <c r="I44" s="1400"/>
    </row>
    <row r="45" spans="1:9" ht="13.1">
      <c r="A45" s="950"/>
      <c r="B45" s="125"/>
      <c r="C45" s="1398"/>
      <c r="D45" s="1398"/>
      <c r="E45" s="953"/>
      <c r="F45" s="953"/>
      <c r="G45" s="1399"/>
      <c r="H45" s="1399"/>
      <c r="I45" s="1400"/>
    </row>
    <row r="46" spans="1:9" ht="13.1">
      <c r="A46" s="950"/>
      <c r="B46" s="125"/>
      <c r="C46" s="1398"/>
      <c r="D46" s="1398"/>
      <c r="E46" s="953"/>
      <c r="F46" s="953"/>
      <c r="G46" s="1399"/>
      <c r="H46" s="1399"/>
      <c r="I46" s="1400"/>
    </row>
    <row r="47" spans="1:9" ht="13.1">
      <c r="A47" s="950"/>
      <c r="B47" s="125"/>
      <c r="C47" s="1398"/>
      <c r="D47" s="1398"/>
      <c r="E47" s="953"/>
      <c r="F47" s="953"/>
      <c r="G47" s="1399"/>
      <c r="H47" s="1399"/>
      <c r="I47" s="1400"/>
    </row>
    <row r="48" spans="1:9" ht="13.1">
      <c r="A48" s="950"/>
      <c r="B48" s="125"/>
      <c r="C48" s="1843" t="s">
        <v>115</v>
      </c>
      <c r="D48" s="1844"/>
      <c r="E48" s="953"/>
      <c r="F48" s="953"/>
      <c r="G48" s="1399"/>
      <c r="H48" s="1399"/>
      <c r="I48" s="1400"/>
    </row>
    <row r="49" spans="1:9" ht="13.1">
      <c r="A49" s="950"/>
      <c r="B49" s="125"/>
      <c r="C49" s="1398"/>
      <c r="D49" s="1398"/>
      <c r="E49" s="953"/>
      <c r="F49" s="953"/>
      <c r="G49" s="1399"/>
      <c r="H49" s="1399"/>
      <c r="I49" s="1400"/>
    </row>
    <row r="50" spans="1:9" ht="13.1">
      <c r="A50" s="950"/>
      <c r="B50" s="125"/>
      <c r="C50" s="1398"/>
      <c r="D50" s="1398"/>
      <c r="E50" s="953"/>
      <c r="F50" s="953"/>
      <c r="G50" s="1399"/>
      <c r="H50" s="1399"/>
      <c r="I50" s="1400"/>
    </row>
    <row r="51" spans="1:9" ht="13.1">
      <c r="A51" s="950"/>
      <c r="B51" s="125"/>
      <c r="C51" s="1398"/>
      <c r="D51" s="1398"/>
      <c r="E51" s="953"/>
      <c r="F51" s="953"/>
      <c r="G51" s="1399"/>
      <c r="H51" s="1399"/>
      <c r="I51" s="1400"/>
    </row>
    <row r="52" spans="1:9" ht="13.1">
      <c r="A52" s="950"/>
      <c r="B52" s="125"/>
      <c r="C52" s="1398"/>
      <c r="D52" s="1398"/>
      <c r="E52" s="953"/>
      <c r="F52" s="953"/>
      <c r="G52" s="1399"/>
      <c r="H52" s="1399"/>
      <c r="I52" s="1400"/>
    </row>
    <row r="53" spans="1:9" ht="13.1">
      <c r="A53" s="950"/>
      <c r="B53" s="125"/>
      <c r="C53" s="1398"/>
      <c r="D53" s="1398"/>
      <c r="E53" s="953"/>
      <c r="F53" s="953"/>
      <c r="G53" s="1399"/>
      <c r="H53" s="1399"/>
      <c r="I53" s="1400"/>
    </row>
    <row r="54" spans="1:9" ht="13.1">
      <c r="A54" s="950"/>
      <c r="B54" s="125"/>
      <c r="C54" s="1398"/>
      <c r="D54" s="1398"/>
      <c r="E54" s="953"/>
      <c r="F54" s="953"/>
      <c r="G54" s="1399"/>
      <c r="H54" s="1399"/>
      <c r="I54" s="1400"/>
    </row>
    <row r="55" spans="1:9" ht="13.1">
      <c r="A55" s="950"/>
      <c r="B55" s="125"/>
      <c r="C55" s="1398"/>
      <c r="D55" s="1398"/>
      <c r="E55" s="953"/>
      <c r="F55" s="953"/>
      <c r="G55" s="1399"/>
      <c r="H55" s="1399"/>
      <c r="I55" s="1400"/>
    </row>
    <row r="56" spans="1:9" ht="13.1">
      <c r="A56" s="950"/>
      <c r="B56" s="125"/>
      <c r="C56" s="1398"/>
      <c r="D56" s="1398"/>
      <c r="E56" s="953"/>
      <c r="F56" s="953"/>
      <c r="G56" s="1399"/>
      <c r="H56" s="1399"/>
      <c r="I56" s="1400"/>
    </row>
    <row r="57" spans="1:9" ht="13.1">
      <c r="A57" s="950"/>
      <c r="B57" s="23"/>
      <c r="C57" s="1883">
        <v>0</v>
      </c>
      <c r="D57" s="1883"/>
      <c r="E57" s="1883"/>
      <c r="F57" s="1883"/>
      <c r="G57" s="1883"/>
      <c r="H57" s="1883"/>
      <c r="I57" s="1884"/>
    </row>
    <row r="58" spans="1:9">
      <c r="A58" s="202" t="str">
        <f>IF(DATA!C51=0," ","Plant:")</f>
        <v xml:space="preserve"> </v>
      </c>
      <c r="B58" s="203">
        <f>DATA!C53</f>
        <v>0</v>
      </c>
      <c r="C58" s="1418"/>
      <c r="D58" s="1418"/>
      <c r="E58" s="1418"/>
      <c r="F58" s="1418"/>
      <c r="G58" s="1418"/>
      <c r="H58" s="1418"/>
      <c r="I58" s="1419"/>
    </row>
    <row r="59" spans="1:9" ht="13.1">
      <c r="A59" s="1824" t="str">
        <f>IF(DATA!C51=0," ",CONCATENATE(DATA!B51," ",DATA!C51))</f>
        <v xml:space="preserve"> </v>
      </c>
      <c r="B59" s="1825"/>
      <c r="C59" s="1871" t="str">
        <f>IF(E59=0,"  ","Field Operator:")</f>
        <v xml:space="preserve">  </v>
      </c>
      <c r="D59" s="1871"/>
      <c r="E59" s="1871">
        <f>DATA!C54</f>
        <v>0</v>
      </c>
      <c r="F59" s="1871"/>
      <c r="G59" s="1418"/>
      <c r="H59" s="1418"/>
      <c r="I59" s="1419"/>
    </row>
    <row r="60" spans="1:9" ht="13.1">
      <c r="A60" s="615" t="str">
        <f>IF(A59=" "," ","Cell:")</f>
        <v xml:space="preserve"> </v>
      </c>
      <c r="B60" s="646">
        <f>DATA!C52</f>
        <v>0</v>
      </c>
      <c r="C60" s="1871" t="str">
        <f>IF(E60=0," ","Phone Number:")</f>
        <v xml:space="preserve"> </v>
      </c>
      <c r="D60" s="1871"/>
      <c r="E60" s="1871">
        <f>DATA!C55</f>
        <v>0</v>
      </c>
      <c r="F60" s="1871"/>
      <c r="G60" s="1418"/>
      <c r="H60" s="1418"/>
      <c r="I60" s="1419"/>
    </row>
    <row r="61" spans="1:9" ht="13.75" thickBot="1">
      <c r="A61" s="615" t="str">
        <f>IF(A59=" "," ","Office:")</f>
        <v xml:space="preserve"> </v>
      </c>
      <c r="B61" s="646">
        <f>DATA!C53</f>
        <v>0</v>
      </c>
      <c r="C61" s="1838"/>
      <c r="D61" s="1838"/>
      <c r="E61" s="1838"/>
      <c r="F61" s="1838"/>
      <c r="G61" s="1838"/>
      <c r="H61" s="1838"/>
      <c r="I61" s="1839"/>
    </row>
    <row r="62" spans="1:9" ht="13.75" thickBot="1">
      <c r="A62" s="961"/>
      <c r="B62" s="647" t="s">
        <v>339</v>
      </c>
      <c r="C62" s="1869">
        <f>DATA!C56</f>
        <v>0</v>
      </c>
      <c r="D62" s="1870"/>
      <c r="E62" s="962">
        <f>DATA!C57</f>
        <v>0</v>
      </c>
      <c r="F62" s="963" t="s">
        <v>345</v>
      </c>
      <c r="G62" s="1881" t="str">
        <f>CONCATENATE(C8,".","XLS")</f>
        <v>0.XLS</v>
      </c>
      <c r="H62" s="1882"/>
      <c r="I62" s="468"/>
    </row>
    <row r="63" spans="1:9" ht="13.75" thickBot="1">
      <c r="A63" s="964"/>
      <c r="B63" s="648" t="s">
        <v>151</v>
      </c>
      <c r="C63" s="1856"/>
      <c r="D63" s="1857"/>
      <c r="E63" s="1858"/>
      <c r="F63" s="1821"/>
      <c r="G63" s="1822"/>
      <c r="H63" s="965"/>
      <c r="I63" s="966"/>
    </row>
    <row r="64" spans="1:9">
      <c r="A64"/>
      <c r="B64"/>
      <c r="C64"/>
      <c r="D64"/>
      <c r="E64"/>
      <c r="F64"/>
      <c r="G64"/>
      <c r="H64"/>
      <c r="I64"/>
    </row>
    <row r="65" spans="1:9">
      <c r="A65"/>
      <c r="B65"/>
      <c r="C65"/>
      <c r="D65"/>
      <c r="E65"/>
      <c r="F65"/>
      <c r="G65"/>
      <c r="H65" s="208" t="s">
        <v>153</v>
      </c>
      <c r="I65"/>
    </row>
    <row r="66" spans="1:9" ht="13.5" thickBot="1">
      <c r="A66"/>
      <c r="B66"/>
      <c r="C66"/>
      <c r="D66"/>
      <c r="E66"/>
      <c r="F66"/>
      <c r="G66"/>
      <c r="H66"/>
      <c r="I66"/>
    </row>
    <row r="67" spans="1:9" ht="13.5" thickBot="1">
      <c r="A67" s="1859" t="s">
        <v>409</v>
      </c>
      <c r="B67" s="1860"/>
      <c r="C67" s="960" t="s">
        <v>418</v>
      </c>
      <c r="D67"/>
      <c r="E67"/>
      <c r="F67"/>
      <c r="G67"/>
      <c r="H67"/>
      <c r="I67"/>
    </row>
    <row r="68" spans="1:9" ht="13.5" thickBot="1">
      <c r="A68" s="1865" t="str">
        <f>IF(C67="Yes","Pull-Test Data"," ")</f>
        <v xml:space="preserve"> </v>
      </c>
      <c r="B68" s="1866"/>
      <c r="C68" s="468"/>
      <c r="D68"/>
      <c r="E68"/>
      <c r="F68"/>
      <c r="G68"/>
      <c r="H68"/>
      <c r="I68"/>
    </row>
    <row r="69" spans="1:9" ht="13.5" thickBot="1">
      <c r="A69" s="1867" t="str">
        <f>IF(A68="Pull-Test Data","Date Tested:"," ")</f>
        <v xml:space="preserve"> </v>
      </c>
      <c r="B69" s="1868"/>
      <c r="C69" s="1209">
        <v>0</v>
      </c>
      <c r="D69"/>
      <c r="E69"/>
      <c r="F69"/>
      <c r="G69"/>
      <c r="H69"/>
      <c r="I69"/>
    </row>
    <row r="70" spans="1:9" ht="13.5" thickBot="1">
      <c r="A70" s="1867" t="str">
        <f>IF(C67="Yes","Company Used:"," ")</f>
        <v xml:space="preserve"> </v>
      </c>
      <c r="B70" s="1868"/>
      <c r="C70" s="1210"/>
      <c r="D70"/>
      <c r="E70"/>
      <c r="F70"/>
      <c r="G70"/>
      <c r="H70"/>
      <c r="I70"/>
    </row>
    <row r="71" spans="1:9" ht="13.5" thickBot="1">
      <c r="A71" s="1834" t="str">
        <f>IF(C67="Yes","Pull Test Amount:"," ")</f>
        <v xml:space="preserve"> </v>
      </c>
      <c r="B71" s="1835"/>
      <c r="C71" s="1210"/>
      <c r="D71"/>
      <c r="E71"/>
      <c r="F71"/>
      <c r="G71"/>
      <c r="H71"/>
      <c r="I71"/>
    </row>
    <row r="72" spans="1:9">
      <c r="A72"/>
      <c r="B72"/>
      <c r="C72"/>
      <c r="D72"/>
      <c r="E72"/>
      <c r="F72"/>
      <c r="G72"/>
      <c r="H72"/>
      <c r="I72"/>
    </row>
    <row r="73" spans="1:9">
      <c r="A73"/>
      <c r="B73"/>
      <c r="C73"/>
      <c r="D73"/>
      <c r="E73"/>
      <c r="F73"/>
      <c r="G73"/>
      <c r="H73"/>
      <c r="I73"/>
    </row>
    <row r="74" spans="1:9">
      <c r="A74"/>
      <c r="B74"/>
      <c r="C74"/>
      <c r="D74"/>
      <c r="E74"/>
      <c r="F74"/>
      <c r="G74"/>
      <c r="H74"/>
      <c r="I74"/>
    </row>
    <row r="75" spans="1:9">
      <c r="A75"/>
      <c r="B75"/>
      <c r="C75"/>
      <c r="D75"/>
      <c r="E75"/>
      <c r="F75"/>
      <c r="G75"/>
      <c r="H75"/>
      <c r="I75"/>
    </row>
    <row r="76" spans="1:9">
      <c r="A76"/>
      <c r="B76"/>
      <c r="C76"/>
      <c r="D76"/>
      <c r="E76"/>
      <c r="F76"/>
      <c r="G76"/>
      <c r="H76"/>
      <c r="I76"/>
    </row>
    <row r="77" spans="1:9">
      <c r="A77"/>
      <c r="B77"/>
      <c r="C77"/>
      <c r="D77"/>
      <c r="E77"/>
      <c r="F77"/>
      <c r="G77"/>
      <c r="H77"/>
      <c r="I77"/>
    </row>
    <row r="78" spans="1:9">
      <c r="A78"/>
      <c r="B78"/>
      <c r="C78"/>
      <c r="D78"/>
      <c r="E78"/>
      <c r="F78"/>
      <c r="G78"/>
      <c r="H78"/>
      <c r="I78"/>
    </row>
    <row r="79" spans="1:9">
      <c r="A79"/>
      <c r="B79"/>
      <c r="C79"/>
      <c r="D79"/>
      <c r="E79"/>
      <c r="F79"/>
      <c r="G79"/>
      <c r="H79"/>
      <c r="I79"/>
    </row>
    <row r="80" spans="1:9">
      <c r="A80"/>
      <c r="B80"/>
      <c r="C80"/>
      <c r="D80"/>
      <c r="E80"/>
      <c r="F80"/>
      <c r="G80"/>
      <c r="H80"/>
      <c r="I8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spans="1:9">
      <c r="A113"/>
      <c r="B113"/>
      <c r="C113"/>
      <c r="D113"/>
      <c r="E113"/>
      <c r="F113"/>
      <c r="G113"/>
      <c r="H113"/>
      <c r="I113"/>
    </row>
    <row r="114" spans="1:9">
      <c r="A114"/>
      <c r="B114"/>
      <c r="C114"/>
      <c r="D114"/>
      <c r="E114"/>
      <c r="F114"/>
      <c r="G114"/>
      <c r="H114"/>
      <c r="I114"/>
    </row>
    <row r="115" spans="1:9">
      <c r="A115"/>
      <c r="B115"/>
      <c r="C115"/>
      <c r="D115"/>
      <c r="E115"/>
      <c r="F115"/>
      <c r="G115"/>
      <c r="H115"/>
      <c r="I115"/>
    </row>
    <row r="116" spans="1:9">
      <c r="A116"/>
      <c r="B116"/>
      <c r="C116"/>
      <c r="D116"/>
      <c r="E116"/>
      <c r="F116"/>
      <c r="G116"/>
      <c r="H116"/>
      <c r="I116"/>
    </row>
    <row r="117" spans="1:9">
      <c r="A117"/>
      <c r="B117"/>
      <c r="C117"/>
      <c r="D117"/>
      <c r="E117"/>
      <c r="F117"/>
      <c r="G117"/>
      <c r="H117"/>
      <c r="I117"/>
    </row>
    <row r="118" spans="1:9">
      <c r="A118"/>
      <c r="B118"/>
      <c r="C118"/>
      <c r="D118"/>
      <c r="E118"/>
      <c r="F118"/>
      <c r="G118"/>
      <c r="H118"/>
      <c r="I118"/>
    </row>
    <row r="119" spans="1:9">
      <c r="A119"/>
      <c r="B119"/>
      <c r="C119"/>
      <c r="D119"/>
      <c r="E119"/>
      <c r="F119"/>
      <c r="G119"/>
      <c r="H119"/>
      <c r="I119"/>
    </row>
    <row r="120" spans="1:9">
      <c r="A120"/>
      <c r="B120"/>
      <c r="C120"/>
      <c r="D120"/>
      <c r="E120"/>
      <c r="F120"/>
      <c r="G120"/>
      <c r="H120"/>
      <c r="I120"/>
    </row>
    <row r="121" spans="1:9">
      <c r="A121"/>
      <c r="B121"/>
      <c r="C121"/>
      <c r="D121"/>
      <c r="E121"/>
      <c r="F121"/>
      <c r="G121"/>
      <c r="H121"/>
      <c r="I121"/>
    </row>
    <row r="122" spans="1:9" ht="13.5" thickBot="1">
      <c r="A122"/>
      <c r="B122"/>
      <c r="C122"/>
      <c r="D122"/>
      <c r="E122"/>
      <c r="F122"/>
      <c r="G122"/>
      <c r="H122"/>
      <c r="I122"/>
    </row>
    <row r="123" spans="1:9" ht="13.1">
      <c r="A123" s="967"/>
      <c r="B123" s="209"/>
      <c r="C123" s="968"/>
      <c r="D123" s="968"/>
      <c r="E123" s="968"/>
      <c r="F123" s="969"/>
      <c r="G123" s="969"/>
      <c r="H123" s="969"/>
      <c r="I123" s="970"/>
    </row>
    <row r="124" spans="1:9" ht="13.1">
      <c r="A124" s="950"/>
      <c r="B124" s="37" t="s">
        <v>152</v>
      </c>
      <c r="C124" s="56">
        <f>C6</f>
        <v>0</v>
      </c>
      <c r="D124" s="971"/>
      <c r="H124" s="208" t="s">
        <v>1294</v>
      </c>
      <c r="I124" s="952"/>
    </row>
    <row r="125" spans="1:9" ht="13.1">
      <c r="A125" s="950"/>
      <c r="B125" s="37" t="s">
        <v>154</v>
      </c>
      <c r="I125" s="952"/>
    </row>
    <row r="126" spans="1:9" ht="13.1">
      <c r="A126" s="950"/>
      <c r="B126" s="23"/>
      <c r="C126" s="972"/>
      <c r="D126" s="972"/>
      <c r="E126" s="972"/>
      <c r="F126" s="972"/>
      <c r="G126" s="972"/>
      <c r="H126" s="972"/>
      <c r="I126" s="973"/>
    </row>
    <row r="127" spans="1:9" ht="13.1">
      <c r="A127" s="99" t="s">
        <v>418</v>
      </c>
      <c r="B127" s="24" t="s">
        <v>155</v>
      </c>
      <c r="C127" s="972"/>
      <c r="D127" s="972"/>
      <c r="E127" s="25" t="s">
        <v>156</v>
      </c>
      <c r="G127" s="25" t="s">
        <v>157</v>
      </c>
      <c r="I127" s="952"/>
    </row>
    <row r="128" spans="1:9" ht="13.1">
      <c r="A128" s="201"/>
      <c r="B128" s="1823"/>
      <c r="C128" s="1823"/>
      <c r="D128" s="1823"/>
      <c r="E128" s="126">
        <v>0</v>
      </c>
      <c r="G128" s="126">
        <f>IF(E128=0,0,E147-E128)</f>
        <v>0</v>
      </c>
      <c r="H128" s="951">
        <v>0</v>
      </c>
      <c r="I128" s="952"/>
    </row>
    <row r="129" spans="1:9" ht="13.1">
      <c r="A129" s="201"/>
      <c r="B129" s="1823"/>
      <c r="C129" s="1823"/>
      <c r="D129" s="1823"/>
      <c r="E129" s="126">
        <v>0</v>
      </c>
      <c r="G129" s="126">
        <f>IF(E129=0,0,E147-E129-E128)</f>
        <v>0</v>
      </c>
      <c r="H129" s="951">
        <v>0</v>
      </c>
      <c r="I129" s="952"/>
    </row>
    <row r="130" spans="1:9" ht="13.1">
      <c r="A130" s="201"/>
      <c r="B130" s="1823"/>
      <c r="C130" s="1823"/>
      <c r="D130" s="1823"/>
      <c r="E130" s="126">
        <v>0</v>
      </c>
      <c r="G130" s="126">
        <f t="shared" ref="G130:G143" si="0">IF(E130=0,0,G129-E130)</f>
        <v>0</v>
      </c>
      <c r="H130" s="951">
        <v>0</v>
      </c>
      <c r="I130" s="952"/>
    </row>
    <row r="131" spans="1:9" ht="13.1">
      <c r="A131" s="201"/>
      <c r="B131" s="1823"/>
      <c r="C131" s="1823"/>
      <c r="D131" s="1823"/>
      <c r="E131" s="126">
        <v>0</v>
      </c>
      <c r="G131" s="126">
        <f t="shared" si="0"/>
        <v>0</v>
      </c>
      <c r="H131" s="951">
        <v>0</v>
      </c>
      <c r="I131" s="952"/>
    </row>
    <row r="132" spans="1:9" ht="13.1">
      <c r="A132" s="201"/>
      <c r="B132" s="1823"/>
      <c r="C132" s="1823"/>
      <c r="D132" s="1823"/>
      <c r="E132" s="126">
        <v>0</v>
      </c>
      <c r="G132" s="126">
        <f t="shared" si="0"/>
        <v>0</v>
      </c>
      <c r="H132" s="951">
        <v>0</v>
      </c>
      <c r="I132" s="952"/>
    </row>
    <row r="133" spans="1:9" ht="13.1">
      <c r="A133" s="201"/>
      <c r="B133" s="1823"/>
      <c r="C133" s="1823"/>
      <c r="D133" s="1823"/>
      <c r="E133" s="126">
        <v>0</v>
      </c>
      <c r="G133" s="126">
        <f t="shared" si="0"/>
        <v>0</v>
      </c>
      <c r="H133" s="951">
        <v>0</v>
      </c>
      <c r="I133" s="952"/>
    </row>
    <row r="134" spans="1:9" ht="13.1">
      <c r="A134" s="201"/>
      <c r="B134" s="1823"/>
      <c r="C134" s="1823"/>
      <c r="D134" s="1823"/>
      <c r="E134" s="126">
        <v>0</v>
      </c>
      <c r="G134" s="126">
        <f t="shared" si="0"/>
        <v>0</v>
      </c>
      <c r="H134" s="951">
        <v>0</v>
      </c>
      <c r="I134" s="952"/>
    </row>
    <row r="135" spans="1:9" ht="13.1">
      <c r="A135" s="201"/>
      <c r="B135" s="1823"/>
      <c r="C135" s="1823"/>
      <c r="D135" s="1823"/>
      <c r="E135" s="126">
        <v>0</v>
      </c>
      <c r="G135" s="126">
        <f t="shared" si="0"/>
        <v>0</v>
      </c>
      <c r="H135" s="951">
        <v>0</v>
      </c>
      <c r="I135" s="952"/>
    </row>
    <row r="136" spans="1:9" ht="13.1">
      <c r="A136" s="201"/>
      <c r="B136" s="1823"/>
      <c r="C136" s="1823"/>
      <c r="D136" s="1823"/>
      <c r="E136" s="126">
        <v>0</v>
      </c>
      <c r="G136" s="126">
        <f t="shared" si="0"/>
        <v>0</v>
      </c>
      <c r="H136" s="951">
        <v>0</v>
      </c>
      <c r="I136" s="952"/>
    </row>
    <row r="137" spans="1:9" ht="13.1">
      <c r="A137" s="201"/>
      <c r="B137" s="1823"/>
      <c r="C137" s="1823"/>
      <c r="D137" s="1823"/>
      <c r="E137" s="126">
        <v>0</v>
      </c>
      <c r="G137" s="126">
        <f t="shared" si="0"/>
        <v>0</v>
      </c>
      <c r="I137" s="952"/>
    </row>
    <row r="138" spans="1:9" ht="13.1">
      <c r="A138" s="201"/>
      <c r="B138" s="1823"/>
      <c r="C138" s="1823"/>
      <c r="D138" s="1823"/>
      <c r="E138" s="126">
        <v>0</v>
      </c>
      <c r="G138" s="126">
        <f t="shared" si="0"/>
        <v>0</v>
      </c>
      <c r="I138" s="952"/>
    </row>
    <row r="139" spans="1:9" ht="13.1">
      <c r="A139" s="201"/>
      <c r="B139" s="1823"/>
      <c r="C139" s="1823"/>
      <c r="D139" s="1823"/>
      <c r="E139" s="126">
        <v>0</v>
      </c>
      <c r="G139" s="126">
        <f t="shared" si="0"/>
        <v>0</v>
      </c>
      <c r="I139" s="952"/>
    </row>
    <row r="140" spans="1:9" ht="13.1">
      <c r="A140" s="201"/>
      <c r="B140" s="1823"/>
      <c r="C140" s="1823"/>
      <c r="D140" s="1823"/>
      <c r="E140" s="126">
        <v>0</v>
      </c>
      <c r="G140" s="126">
        <f t="shared" si="0"/>
        <v>0</v>
      </c>
      <c r="I140" s="952"/>
    </row>
    <row r="141" spans="1:9" ht="13.1">
      <c r="A141" s="201"/>
      <c r="B141" s="1823"/>
      <c r="C141" s="1823"/>
      <c r="D141" s="1823"/>
      <c r="E141" s="126">
        <v>0</v>
      </c>
      <c r="G141" s="126">
        <f t="shared" si="0"/>
        <v>0</v>
      </c>
      <c r="I141" s="952"/>
    </row>
    <row r="142" spans="1:9" ht="13.1">
      <c r="A142" s="201"/>
      <c r="B142" s="1823"/>
      <c r="C142" s="1823"/>
      <c r="D142" s="1823"/>
      <c r="E142" s="126">
        <v>0</v>
      </c>
      <c r="G142" s="126">
        <f t="shared" si="0"/>
        <v>0</v>
      </c>
      <c r="I142" s="952"/>
    </row>
    <row r="143" spans="1:9" ht="13.1">
      <c r="A143" s="201"/>
      <c r="B143" s="1823"/>
      <c r="C143" s="1823"/>
      <c r="D143" s="1823"/>
      <c r="E143" s="126"/>
      <c r="G143" s="126">
        <f t="shared" si="0"/>
        <v>0</v>
      </c>
      <c r="I143" s="952"/>
    </row>
    <row r="144" spans="1:9" ht="13.75" thickBot="1">
      <c r="A144" s="201"/>
      <c r="B144" s="1823"/>
      <c r="C144" s="1823"/>
      <c r="D144" s="1823"/>
      <c r="E144" s="126">
        <v>0</v>
      </c>
      <c r="G144" s="126">
        <f>IF(E144=0,0,G142-E144)</f>
        <v>0</v>
      </c>
      <c r="I144" s="952"/>
    </row>
    <row r="145" spans="1:9" ht="13.75" thickBot="1">
      <c r="A145" s="950"/>
      <c r="B145" s="127" t="s">
        <v>158</v>
      </c>
      <c r="E145" s="974">
        <f>SUM(E128:E144)</f>
        <v>0</v>
      </c>
      <c r="G145" s="126"/>
      <c r="I145" s="952"/>
    </row>
    <row r="146" spans="1:9" ht="13.75" thickBot="1">
      <c r="A146" s="950"/>
      <c r="B146" s="127" t="s">
        <v>159</v>
      </c>
      <c r="E146" s="974">
        <f>IF(SUM(H12,-E13)&lt;0,0,SUM(H12,-E13))</f>
        <v>0</v>
      </c>
      <c r="G146" s="126"/>
      <c r="I146" s="952"/>
    </row>
    <row r="147" spans="1:9" ht="14.4" thickTop="1" thickBot="1">
      <c r="A147" s="950"/>
      <c r="B147" s="131" t="s">
        <v>1598</v>
      </c>
      <c r="C147" s="972"/>
      <c r="D147" s="972"/>
      <c r="E147" s="975">
        <f>SUM(E145,E146)</f>
        <v>0</v>
      </c>
      <c r="F147" s="951" t="s">
        <v>360</v>
      </c>
      <c r="I147" s="952"/>
    </row>
    <row r="148" spans="1:9" ht="13.75" thickTop="1">
      <c r="A148" s="950"/>
      <c r="B148" s="23"/>
      <c r="C148" s="972"/>
      <c r="D148" s="972"/>
      <c r="E148" s="972"/>
      <c r="F148" s="972"/>
      <c r="G148" s="972"/>
      <c r="H148" s="972"/>
      <c r="I148" s="973"/>
    </row>
    <row r="149" spans="1:9" ht="13.1">
      <c r="A149" s="158" t="str">
        <f>IF(C10="gas"," ",IF(E10="Yes","Quantity"," "))</f>
        <v xml:space="preserve"> </v>
      </c>
      <c r="B149" s="37" t="str">
        <f>IF(A149="Quantity","Sucker Rod String (bottom up)"," ")</f>
        <v xml:space="preserve"> </v>
      </c>
      <c r="G149" s="69" t="str">
        <f>IF(A149="Quantity","Length"," ")</f>
        <v xml:space="preserve"> </v>
      </c>
      <c r="I149" s="952"/>
    </row>
    <row r="150" spans="1:9" ht="13.1">
      <c r="A150" s="157"/>
      <c r="B150" s="41"/>
      <c r="C150" s="972"/>
      <c r="D150" s="972"/>
      <c r="E150" s="972"/>
      <c r="F150" s="972"/>
      <c r="G150" s="126">
        <v>0</v>
      </c>
      <c r="H150" s="972"/>
      <c r="I150" s="973"/>
    </row>
    <row r="151" spans="1:9" ht="13.1">
      <c r="A151" s="157"/>
      <c r="B151" s="41"/>
      <c r="C151" s="972" t="s">
        <v>115</v>
      </c>
      <c r="D151" s="972"/>
      <c r="E151" s="972"/>
      <c r="F151" s="972"/>
      <c r="G151" s="126">
        <v>0</v>
      </c>
      <c r="H151" s="972"/>
      <c r="I151" s="973"/>
    </row>
    <row r="152" spans="1:9" ht="13.1">
      <c r="A152" s="157"/>
      <c r="B152" s="41"/>
      <c r="C152" s="972"/>
      <c r="D152" s="972"/>
      <c r="E152" s="972"/>
      <c r="F152" s="972"/>
      <c r="G152" s="126">
        <f t="shared" ref="G152:G161" si="1">A152*7.62</f>
        <v>0</v>
      </c>
      <c r="H152" s="972"/>
      <c r="I152" s="973"/>
    </row>
    <row r="153" spans="1:9" ht="13.1">
      <c r="A153" s="157"/>
      <c r="B153" s="41"/>
      <c r="C153" s="972"/>
      <c r="D153" s="972"/>
      <c r="E153" s="972"/>
      <c r="F153" s="972"/>
      <c r="G153" s="126">
        <f t="shared" si="1"/>
        <v>0</v>
      </c>
      <c r="H153" s="972"/>
      <c r="I153" s="973"/>
    </row>
    <row r="154" spans="1:9" ht="13.1">
      <c r="A154" s="157"/>
      <c r="B154" s="41"/>
      <c r="C154" s="972"/>
      <c r="D154" s="972"/>
      <c r="E154" s="972"/>
      <c r="F154" s="972">
        <v>0</v>
      </c>
      <c r="G154" s="126">
        <f t="shared" si="1"/>
        <v>0</v>
      </c>
      <c r="H154" s="972"/>
      <c r="I154" s="973"/>
    </row>
    <row r="155" spans="1:9" ht="13.1">
      <c r="A155" s="157"/>
      <c r="B155" s="41"/>
      <c r="C155" s="972"/>
      <c r="D155" s="972"/>
      <c r="E155" s="972"/>
      <c r="F155" s="972"/>
      <c r="G155" s="126">
        <f t="shared" si="1"/>
        <v>0</v>
      </c>
      <c r="H155" s="972"/>
      <c r="I155" s="973"/>
    </row>
    <row r="156" spans="1:9" ht="13.1">
      <c r="A156" s="157"/>
      <c r="B156" s="41"/>
      <c r="C156" s="972"/>
      <c r="D156" s="972"/>
      <c r="E156" s="972"/>
      <c r="F156" s="972"/>
      <c r="G156" s="126">
        <f t="shared" si="1"/>
        <v>0</v>
      </c>
      <c r="H156" s="972"/>
      <c r="I156" s="973"/>
    </row>
    <row r="157" spans="1:9" ht="13.1">
      <c r="A157" s="157"/>
      <c r="B157" s="41"/>
      <c r="C157" s="972"/>
      <c r="D157" s="972"/>
      <c r="E157" s="972"/>
      <c r="F157" s="972"/>
      <c r="G157" s="126">
        <f t="shared" si="1"/>
        <v>0</v>
      </c>
      <c r="H157" s="972"/>
      <c r="I157" s="973"/>
    </row>
    <row r="158" spans="1:9" ht="13.1">
      <c r="A158" s="157"/>
      <c r="B158" s="41"/>
      <c r="C158" s="972"/>
      <c r="D158" s="972"/>
      <c r="E158" s="972"/>
      <c r="F158" s="972"/>
      <c r="G158" s="126">
        <f t="shared" si="1"/>
        <v>0</v>
      </c>
      <c r="H158" s="972"/>
      <c r="I158" s="973"/>
    </row>
    <row r="159" spans="1:9" ht="13.1">
      <c r="A159" s="157"/>
      <c r="B159" s="41"/>
      <c r="C159" s="972"/>
      <c r="D159" s="972"/>
      <c r="E159" s="972"/>
      <c r="F159" s="972"/>
      <c r="G159" s="126">
        <f t="shared" si="1"/>
        <v>0</v>
      </c>
      <c r="H159" s="972"/>
      <c r="I159" s="973"/>
    </row>
    <row r="160" spans="1:9" ht="13.1">
      <c r="A160" s="157"/>
      <c r="B160" s="41"/>
      <c r="C160" s="972"/>
      <c r="D160" s="972"/>
      <c r="E160" s="972"/>
      <c r="F160" s="972"/>
      <c r="G160" s="126">
        <f t="shared" si="1"/>
        <v>0</v>
      </c>
      <c r="H160" s="972"/>
      <c r="I160" s="973"/>
    </row>
    <row r="161" spans="1:9" ht="13.1">
      <c r="A161" s="157">
        <v>0</v>
      </c>
      <c r="B161" s="41">
        <v>0</v>
      </c>
      <c r="C161" s="972"/>
      <c r="D161" s="972"/>
      <c r="E161" s="972"/>
      <c r="F161" s="972"/>
      <c r="G161" s="126">
        <f t="shared" si="1"/>
        <v>0</v>
      </c>
      <c r="H161" s="972"/>
      <c r="I161" s="973"/>
    </row>
    <row r="162" spans="1:9" ht="13.1">
      <c r="A162" s="157">
        <v>0</v>
      </c>
      <c r="B162" s="41">
        <v>0</v>
      </c>
      <c r="C162" s="1188" t="s">
        <v>1381</v>
      </c>
      <c r="D162" s="1189"/>
      <c r="E162" s="1190"/>
      <c r="F162" s="1351">
        <f>E145*D21</f>
        <v>0</v>
      </c>
      <c r="G162" s="976">
        <v>0</v>
      </c>
      <c r="H162" s="972"/>
      <c r="I162" s="973"/>
    </row>
    <row r="163" spans="1:9" ht="13.1">
      <c r="A163" s="157"/>
      <c r="B163" s="23"/>
      <c r="C163" s="1188" t="str">
        <f>IF(F163&lt;0,"Compression",IF(F163&gt;0,"Tension","Neutral"))</f>
        <v>Neutral</v>
      </c>
      <c r="D163" s="1189"/>
      <c r="E163" s="1190"/>
      <c r="F163" s="1351"/>
      <c r="G163" s="976"/>
      <c r="H163" s="972"/>
      <c r="I163" s="973"/>
    </row>
    <row r="164" spans="1:9" ht="13.1">
      <c r="A164" s="157"/>
      <c r="B164" s="23"/>
      <c r="C164" s="1188" t="s">
        <v>1382</v>
      </c>
      <c r="D164" s="1189"/>
      <c r="E164" s="1190"/>
      <c r="F164" s="1351">
        <f>F162+F163</f>
        <v>0</v>
      </c>
      <c r="G164" s="972"/>
      <c r="H164" s="972"/>
      <c r="I164" s="973"/>
    </row>
    <row r="165" spans="1:9" ht="13.1">
      <c r="A165" s="977"/>
      <c r="B165" s="125" t="s">
        <v>160</v>
      </c>
      <c r="C165" s="978">
        <f>DATA!C59</f>
        <v>0</v>
      </c>
      <c r="D165" s="953"/>
      <c r="E165" s="953"/>
      <c r="F165" s="953"/>
      <c r="G165" s="953"/>
      <c r="H165" s="953"/>
      <c r="I165" s="468"/>
    </row>
    <row r="166" spans="1:9" ht="13.1">
      <c r="A166" s="950"/>
      <c r="B166" s="23"/>
      <c r="C166" s="953"/>
      <c r="D166" s="953"/>
      <c r="E166" s="953"/>
      <c r="F166" s="953"/>
      <c r="G166" s="953"/>
      <c r="H166" s="953"/>
      <c r="I166" s="468"/>
    </row>
    <row r="167" spans="1:9" ht="13.95">
      <c r="A167" s="950"/>
      <c r="B167" s="125" t="s">
        <v>161</v>
      </c>
      <c r="C167" s="979"/>
      <c r="D167" s="980"/>
      <c r="E167" s="980"/>
      <c r="F167" s="980"/>
      <c r="G167" s="980"/>
      <c r="H167" s="980"/>
      <c r="I167" s="981"/>
    </row>
    <row r="168" spans="1:9" ht="13.95">
      <c r="A168" s="982"/>
      <c r="B168" s="983"/>
      <c r="C168" s="979">
        <v>0</v>
      </c>
      <c r="D168" s="980"/>
      <c r="E168" s="980"/>
      <c r="F168" s="980"/>
      <c r="G168" s="980"/>
      <c r="H168" s="980"/>
      <c r="I168" s="981"/>
    </row>
    <row r="169" spans="1:9" ht="13.95">
      <c r="A169" s="982"/>
      <c r="B169" s="983"/>
      <c r="C169" s="979"/>
      <c r="D169" s="980"/>
      <c r="E169" s="980"/>
      <c r="F169" s="980"/>
      <c r="G169" s="980"/>
      <c r="H169" s="980"/>
      <c r="I169" s="981"/>
    </row>
    <row r="170" spans="1:9" ht="13.95">
      <c r="A170" s="982"/>
      <c r="B170" s="983"/>
      <c r="C170" s="979"/>
      <c r="D170" s="980"/>
      <c r="E170" s="980"/>
      <c r="F170" s="980"/>
      <c r="G170" s="980"/>
      <c r="H170" s="980"/>
      <c r="I170" s="981"/>
    </row>
    <row r="171" spans="1:9" ht="13.95">
      <c r="A171" s="982"/>
      <c r="B171" s="983"/>
      <c r="C171" s="979"/>
      <c r="D171" s="980"/>
      <c r="E171" s="980"/>
      <c r="F171" s="980"/>
      <c r="G171" s="980"/>
      <c r="H171" s="980"/>
      <c r="I171" s="981"/>
    </row>
    <row r="172" spans="1:9" ht="13.1">
      <c r="A172" s="982"/>
      <c r="B172" s="69" t="s">
        <v>354</v>
      </c>
      <c r="C172" s="978"/>
      <c r="D172" s="953"/>
      <c r="E172" s="953"/>
      <c r="F172" s="953"/>
      <c r="G172" s="953"/>
      <c r="H172" s="953"/>
      <c r="I172" s="468"/>
    </row>
    <row r="173" spans="1:9">
      <c r="A173" s="950"/>
      <c r="C173" s="953"/>
      <c r="D173" s="953"/>
      <c r="E173" s="953"/>
      <c r="F173" s="953"/>
      <c r="G173" s="953"/>
      <c r="H173" s="953"/>
      <c r="I173" s="468"/>
    </row>
    <row r="174" spans="1:9" ht="13.1">
      <c r="A174" s="950"/>
      <c r="B174" s="131" t="s">
        <v>355</v>
      </c>
      <c r="C174" s="163" t="e">
        <f>VLOOKUP(C5,Register!A2:AN4591,3)</f>
        <v>#N/A</v>
      </c>
      <c r="D174" s="953"/>
      <c r="E174" s="953"/>
      <c r="F174" s="953"/>
      <c r="G174" s="953"/>
      <c r="H174" s="953"/>
      <c r="I174" s="468"/>
    </row>
    <row r="175" spans="1:9" ht="13.1">
      <c r="A175" s="950"/>
      <c r="B175" s="131" t="s">
        <v>356</v>
      </c>
      <c r="C175" s="163" t="str">
        <f>IF(C6=0," ",VLOOKUP(C5,Register!A2:AN4735,2))</f>
        <v xml:space="preserve"> </v>
      </c>
      <c r="D175" s="953"/>
      <c r="E175" s="953"/>
      <c r="F175" s="953"/>
      <c r="G175" s="953"/>
      <c r="H175" s="953"/>
      <c r="I175" s="468"/>
    </row>
    <row r="176" spans="1:9" ht="13.1">
      <c r="A176" s="950"/>
      <c r="B176" s="131" t="s">
        <v>357</v>
      </c>
      <c r="C176" s="163" t="str">
        <f>IF(C175=" "," ",VLOOKUP(C5,Register!A2:AN4591,4))</f>
        <v xml:space="preserve"> </v>
      </c>
      <c r="D176" s="953"/>
      <c r="E176" s="953"/>
      <c r="F176" s="953"/>
      <c r="G176" s="953"/>
      <c r="H176" s="953"/>
      <c r="I176" s="468"/>
    </row>
    <row r="177" spans="1:9" ht="13.1">
      <c r="A177" s="950"/>
      <c r="B177" s="131" t="s">
        <v>626</v>
      </c>
      <c r="C177" s="22" t="str">
        <f>IF(C176=" "," ",VLOOKUP(C5,Register!A2:AN4591,5))</f>
        <v xml:space="preserve"> </v>
      </c>
      <c r="D177" s="953"/>
      <c r="E177" s="953"/>
      <c r="F177" s="953"/>
      <c r="G177" s="953"/>
      <c r="H177" s="953"/>
      <c r="I177" s="468"/>
    </row>
    <row r="178" spans="1:9" ht="13.1">
      <c r="A178" s="950"/>
      <c r="B178" s="131" t="s">
        <v>317</v>
      </c>
      <c r="C178" s="1156" t="str">
        <f>IF(C177=" "," ",VLOOKUP(C5,Register!A2:AN4990,6))</f>
        <v xml:space="preserve"> </v>
      </c>
      <c r="D178" s="953"/>
      <c r="E178" s="953"/>
      <c r="F178" s="953"/>
      <c r="G178" s="953"/>
      <c r="H178" s="953"/>
      <c r="I178" s="468"/>
    </row>
    <row r="179" spans="1:9" ht="13.1">
      <c r="A179" s="950"/>
      <c r="B179" s="131"/>
      <c r="C179" s="22"/>
      <c r="D179" s="953"/>
      <c r="E179" s="953"/>
      <c r="F179" s="953"/>
      <c r="G179" s="953"/>
      <c r="H179" s="953"/>
      <c r="I179" s="468"/>
    </row>
    <row r="180" spans="1:9" ht="13.1">
      <c r="A180" s="950"/>
      <c r="B180" s="131"/>
      <c r="C180" s="22"/>
      <c r="D180" s="953"/>
      <c r="E180" s="953"/>
      <c r="F180" s="953"/>
      <c r="G180" s="953"/>
      <c r="H180" s="953"/>
      <c r="I180" s="468"/>
    </row>
    <row r="181" spans="1:9" ht="13.5" thickBot="1">
      <c r="A181" s="984"/>
      <c r="B181" s="985"/>
      <c r="C181" s="965"/>
      <c r="D181" s="965"/>
      <c r="E181" s="965"/>
      <c r="F181" s="965"/>
      <c r="G181" s="965"/>
      <c r="H181" s="965"/>
      <c r="I181" s="966"/>
    </row>
    <row r="182" spans="1:9">
      <c r="A182" s="967"/>
      <c r="B182" s="949"/>
      <c r="C182" s="969"/>
      <c r="D182" s="969"/>
      <c r="E182" s="969"/>
      <c r="F182" s="969"/>
      <c r="G182" s="969"/>
      <c r="H182" s="986" t="s">
        <v>1295</v>
      </c>
      <c r="I182" s="970"/>
    </row>
    <row r="183" spans="1:9" ht="16.100000000000001">
      <c r="A183" s="1816">
        <f>C5</f>
        <v>0</v>
      </c>
      <c r="B183" s="1817"/>
      <c r="C183" s="37" t="s">
        <v>162</v>
      </c>
      <c r="D183" s="23"/>
      <c r="E183" s="23"/>
      <c r="F183" s="23"/>
      <c r="G183" s="23"/>
      <c r="H183" s="23"/>
      <c r="I183" s="39"/>
    </row>
    <row r="184" spans="1:9" ht="16.75" thickBot="1">
      <c r="A184" s="128" t="s">
        <v>115</v>
      </c>
      <c r="C184" s="23"/>
      <c r="D184" s="23"/>
      <c r="E184" s="23"/>
      <c r="F184" s="23"/>
      <c r="G184" s="23"/>
      <c r="H184" s="23"/>
      <c r="I184" s="39"/>
    </row>
    <row r="185" spans="1:9" ht="13.1">
      <c r="A185" s="977"/>
      <c r="B185" s="987" t="str">
        <f>IF(C6=0," ","Well Name:")</f>
        <v xml:space="preserve"> </v>
      </c>
      <c r="C185" s="1845">
        <f>C6</f>
        <v>0</v>
      </c>
      <c r="D185" s="1845"/>
      <c r="E185" s="1845"/>
      <c r="F185" s="1845"/>
      <c r="G185" s="1845"/>
      <c r="H185" s="1846"/>
      <c r="I185" s="952"/>
    </row>
    <row r="186" spans="1:9" ht="13.1">
      <c r="A186" s="950"/>
      <c r="B186" s="988" t="s">
        <v>115</v>
      </c>
      <c r="C186" s="989" t="s">
        <v>115</v>
      </c>
      <c r="D186" s="990"/>
      <c r="E186" s="990"/>
      <c r="F186" s="990"/>
      <c r="G186" s="990"/>
      <c r="H186" s="991"/>
      <c r="I186" s="952"/>
    </row>
    <row r="187" spans="1:9" ht="13.1">
      <c r="A187" s="950"/>
      <c r="B187" s="988" t="str">
        <f>IF(D12=0," ","KB (m):")</f>
        <v xml:space="preserve"> </v>
      </c>
      <c r="C187" s="992">
        <f>D12</f>
        <v>0</v>
      </c>
      <c r="D187" s="990"/>
      <c r="E187" s="990"/>
      <c r="F187" s="990"/>
      <c r="G187" s="990"/>
      <c r="H187" s="991"/>
      <c r="I187" s="952"/>
    </row>
    <row r="188" spans="1:9" ht="13.1">
      <c r="A188" s="950"/>
      <c r="B188" s="988" t="str">
        <f>IF(F12=0," ","GL (m):")</f>
        <v xml:space="preserve"> </v>
      </c>
      <c r="C188" s="992">
        <f>F12</f>
        <v>0</v>
      </c>
      <c r="D188" s="990"/>
      <c r="E188" s="990"/>
      <c r="F188" s="990"/>
      <c r="G188" s="990"/>
      <c r="H188" s="991"/>
      <c r="I188" s="952"/>
    </row>
    <row r="189" spans="1:9" ht="13.1">
      <c r="A189" s="950"/>
      <c r="B189" s="988" t="str">
        <f>IF(C17=0," ",B17)</f>
        <v xml:space="preserve"> </v>
      </c>
      <c r="C189" s="1847">
        <f>C17</f>
        <v>0</v>
      </c>
      <c r="D189" s="1847"/>
      <c r="E189" s="1847"/>
      <c r="F189" s="1847"/>
      <c r="G189" s="1847"/>
      <c r="H189" s="1848"/>
      <c r="I189" s="952"/>
    </row>
    <row r="190" spans="1:9" ht="13.1">
      <c r="A190" s="950"/>
      <c r="B190" s="988" t="str">
        <f>IF(C19=0," ",B19)</f>
        <v xml:space="preserve"> </v>
      </c>
      <c r="C190" s="1847">
        <f>C19</f>
        <v>0</v>
      </c>
      <c r="D190" s="1847"/>
      <c r="E190" s="1847"/>
      <c r="F190" s="1847"/>
      <c r="G190" s="1847"/>
      <c r="H190" s="1848"/>
      <c r="I190" s="952"/>
    </row>
    <row r="191" spans="1:9" ht="13.1">
      <c r="A191" s="950"/>
      <c r="B191" s="988" t="str">
        <f>IF(C20&gt;0,B20," ")</f>
        <v xml:space="preserve"> </v>
      </c>
      <c r="C191" s="1847">
        <f>C20</f>
        <v>0</v>
      </c>
      <c r="D191" s="1847"/>
      <c r="E191" s="1847"/>
      <c r="F191" s="1847"/>
      <c r="G191" s="1847"/>
      <c r="H191" s="1848"/>
      <c r="I191" s="952"/>
    </row>
    <row r="192" spans="1:9" ht="13.1">
      <c r="A192" s="950"/>
      <c r="B192" s="988" t="str">
        <f>IF(C21&gt;0,B21," ")</f>
        <v xml:space="preserve"> </v>
      </c>
      <c r="C192" s="1847">
        <f>C21</f>
        <v>0</v>
      </c>
      <c r="D192" s="1847"/>
      <c r="E192" s="1847"/>
      <c r="F192" s="1847"/>
      <c r="G192" s="1847"/>
      <c r="H192" s="1848"/>
      <c r="I192" s="952"/>
    </row>
    <row r="193" spans="1:9" ht="13.1">
      <c r="A193" s="950"/>
      <c r="B193" s="988" t="str">
        <f>IF(C18=0," ","Intermediate Casing:")</f>
        <v xml:space="preserve"> </v>
      </c>
      <c r="C193" s="1847">
        <f>C18</f>
        <v>0</v>
      </c>
      <c r="D193" s="1847"/>
      <c r="E193" s="1847"/>
      <c r="F193" s="1847"/>
      <c r="G193" s="1847"/>
      <c r="H193" s="1848"/>
      <c r="I193" s="952"/>
    </row>
    <row r="194" spans="1:9" ht="13.1">
      <c r="A194" s="950"/>
      <c r="B194" s="988" t="str">
        <f>IF(C22=0," ","TD (mKB):")</f>
        <v xml:space="preserve"> </v>
      </c>
      <c r="C194" s="1862">
        <f>Summary!C22</f>
        <v>0</v>
      </c>
      <c r="D194" s="1862"/>
      <c r="E194" s="990"/>
      <c r="F194" s="990"/>
      <c r="G194" s="990"/>
      <c r="H194" s="991"/>
      <c r="I194" s="952"/>
    </row>
    <row r="195" spans="1:9" ht="13.75" thickBot="1">
      <c r="A195" s="950"/>
      <c r="B195" s="993" t="str">
        <f>IF(C23=0," ","PBTD (mKB):")</f>
        <v xml:space="preserve"> </v>
      </c>
      <c r="C195" s="1861">
        <f>C23</f>
        <v>0</v>
      </c>
      <c r="D195" s="1861"/>
      <c r="E195" s="1863"/>
      <c r="F195" s="1863"/>
      <c r="G195" s="1863"/>
      <c r="H195" s="1864"/>
      <c r="I195" s="952"/>
    </row>
    <row r="196" spans="1:9" ht="13.1">
      <c r="A196" s="950"/>
      <c r="C196" s="22"/>
      <c r="I196" s="952"/>
    </row>
    <row r="197" spans="1:9" ht="13.1">
      <c r="A197" s="950"/>
      <c r="B197" s="125" t="s">
        <v>170</v>
      </c>
      <c r="C197" s="1825"/>
      <c r="D197" s="1825"/>
      <c r="E197" s="1825"/>
      <c r="F197" s="1825"/>
      <c r="G197" s="953"/>
      <c r="H197" s="953"/>
      <c r="I197" s="468"/>
    </row>
    <row r="198" spans="1:9" ht="13.1">
      <c r="A198" s="950"/>
      <c r="B198" s="225" t="s">
        <v>171</v>
      </c>
      <c r="C198" s="1825" t="s">
        <v>115</v>
      </c>
      <c r="D198" s="1825"/>
      <c r="E198" s="1825"/>
      <c r="F198" s="1825"/>
      <c r="G198" s="953"/>
      <c r="H198" s="953"/>
      <c r="I198" s="468"/>
    </row>
    <row r="199" spans="1:9" ht="13.1">
      <c r="A199" s="950"/>
      <c r="B199" s="225" t="s">
        <v>172</v>
      </c>
      <c r="C199" s="1825" t="s">
        <v>115</v>
      </c>
      <c r="D199" s="1825"/>
      <c r="E199" s="1825"/>
      <c r="F199" s="1825"/>
      <c r="G199" s="953"/>
      <c r="H199" s="953"/>
      <c r="I199" s="468"/>
    </row>
    <row r="200" spans="1:9" ht="13.1">
      <c r="A200" s="950"/>
      <c r="B200" s="225" t="s">
        <v>173</v>
      </c>
      <c r="C200" s="1825"/>
      <c r="D200" s="1825"/>
      <c r="E200" s="1825"/>
      <c r="F200" s="1825"/>
      <c r="G200" s="953"/>
      <c r="H200" s="953"/>
      <c r="I200" s="468"/>
    </row>
    <row r="201" spans="1:9" ht="13.1">
      <c r="A201" s="950"/>
      <c r="B201" s="225" t="s">
        <v>174</v>
      </c>
      <c r="C201" s="1825"/>
      <c r="D201" s="1825"/>
      <c r="E201" s="1825"/>
      <c r="F201" s="1825"/>
      <c r="G201" s="953"/>
      <c r="H201" s="953"/>
      <c r="I201" s="468"/>
    </row>
    <row r="202" spans="1:9" ht="13.1">
      <c r="A202" s="950"/>
      <c r="B202" s="994"/>
      <c r="C202" s="646"/>
      <c r="D202" s="995"/>
      <c r="E202" s="995"/>
      <c r="F202" s="995"/>
      <c r="G202" s="953"/>
      <c r="H202" s="953"/>
      <c r="I202" s="468"/>
    </row>
    <row r="203" spans="1:9" ht="13.1">
      <c r="A203" s="950"/>
      <c r="B203" s="125" t="s">
        <v>175</v>
      </c>
      <c r="C203" s="1825">
        <v>0</v>
      </c>
      <c r="D203" s="1825"/>
      <c r="E203" s="1825"/>
      <c r="F203" s="1825"/>
      <c r="G203" s="37" t="s">
        <v>489</v>
      </c>
      <c r="H203" s="223">
        <v>1</v>
      </c>
      <c r="I203" s="224">
        <v>2</v>
      </c>
    </row>
    <row r="204" spans="1:9" ht="13.1">
      <c r="A204" s="950"/>
      <c r="B204" s="225" t="s">
        <v>171</v>
      </c>
      <c r="C204" s="1825">
        <v>0</v>
      </c>
      <c r="D204" s="1825"/>
      <c r="E204" s="1825"/>
      <c r="F204" s="1825"/>
      <c r="G204" s="225" t="s">
        <v>490</v>
      </c>
      <c r="H204" s="948">
        <v>0</v>
      </c>
      <c r="I204" s="996">
        <v>0</v>
      </c>
    </row>
    <row r="205" spans="1:9" ht="13.1">
      <c r="A205" s="950"/>
      <c r="B205" s="225" t="s">
        <v>172</v>
      </c>
      <c r="C205" s="1825">
        <f>C200</f>
        <v>0</v>
      </c>
      <c r="D205" s="1825"/>
      <c r="E205" s="1825"/>
      <c r="F205" s="1825"/>
      <c r="G205" s="225" t="s">
        <v>491</v>
      </c>
      <c r="H205" s="948">
        <v>0</v>
      </c>
      <c r="I205" s="996">
        <v>0</v>
      </c>
    </row>
    <row r="206" spans="1:9" ht="13.1">
      <c r="A206" s="950"/>
      <c r="B206" s="225" t="s">
        <v>173</v>
      </c>
      <c r="C206" s="1825"/>
      <c r="D206" s="1825"/>
      <c r="E206" s="1825"/>
      <c r="F206" s="1825"/>
      <c r="G206" s="225" t="s">
        <v>492</v>
      </c>
      <c r="H206" s="948">
        <v>0</v>
      </c>
      <c r="I206" s="996">
        <v>0</v>
      </c>
    </row>
    <row r="207" spans="1:9" ht="13.1">
      <c r="A207" s="950"/>
      <c r="B207" s="225" t="s">
        <v>176</v>
      </c>
      <c r="C207" s="1825"/>
      <c r="D207" s="1825"/>
      <c r="E207" s="1825"/>
      <c r="F207" s="1825"/>
      <c r="G207" s="225" t="s">
        <v>1349</v>
      </c>
      <c r="H207" s="948">
        <v>0</v>
      </c>
      <c r="I207" s="996"/>
    </row>
    <row r="208" spans="1:9" ht="13.1">
      <c r="A208" s="950"/>
      <c r="B208" s="994"/>
      <c r="C208" s="646"/>
      <c r="D208" s="995"/>
      <c r="E208" s="995"/>
      <c r="F208" s="995"/>
      <c r="G208" s="225" t="s">
        <v>493</v>
      </c>
      <c r="H208" s="948"/>
      <c r="I208" s="996"/>
    </row>
    <row r="209" spans="1:9" ht="13.1">
      <c r="A209" s="950"/>
      <c r="B209" s="125" t="s">
        <v>177</v>
      </c>
      <c r="C209" s="1825"/>
      <c r="D209" s="1825"/>
      <c r="E209" s="1825"/>
      <c r="F209" s="1825"/>
      <c r="G209" s="953"/>
      <c r="H209" s="995"/>
      <c r="I209" s="997"/>
    </row>
    <row r="210" spans="1:9" ht="13.1">
      <c r="A210" s="950"/>
      <c r="B210" s="225" t="s">
        <v>171</v>
      </c>
      <c r="C210" s="1825"/>
      <c r="D210" s="1825"/>
      <c r="E210" s="1825"/>
      <c r="F210" s="1825"/>
      <c r="G210" s="125" t="s">
        <v>536</v>
      </c>
      <c r="H210" s="1819"/>
      <c r="I210" s="1820"/>
    </row>
    <row r="211" spans="1:9" ht="13.1">
      <c r="A211" s="950"/>
      <c r="B211" s="225" t="s">
        <v>172</v>
      </c>
      <c r="C211" s="1825">
        <f>C206</f>
        <v>0</v>
      </c>
      <c r="D211" s="1825"/>
      <c r="E211" s="1825"/>
      <c r="F211" s="1825"/>
      <c r="G211" s="225" t="s">
        <v>1349</v>
      </c>
      <c r="H211" s="616"/>
      <c r="I211" s="617"/>
    </row>
    <row r="212" spans="1:9" ht="13.1">
      <c r="A212" s="950"/>
      <c r="B212" s="225" t="s">
        <v>173</v>
      </c>
      <c r="C212" s="1825"/>
      <c r="D212" s="1825"/>
      <c r="E212" s="1825"/>
      <c r="F212" s="1825"/>
      <c r="G212" s="953"/>
      <c r="H212" s="995"/>
      <c r="I212" s="997"/>
    </row>
    <row r="213" spans="1:9" ht="13.1">
      <c r="A213" s="950"/>
      <c r="B213" s="994" t="s">
        <v>1011</v>
      </c>
      <c r="C213" s="948">
        <v>2</v>
      </c>
      <c r="D213" s="995"/>
      <c r="E213" s="995"/>
      <c r="F213" s="995"/>
      <c r="G213" s="953"/>
      <c r="H213" s="995"/>
      <c r="I213" s="997"/>
    </row>
    <row r="214" spans="1:9" ht="13.1">
      <c r="A214" s="950"/>
      <c r="B214" s="125" t="str">
        <f>IF(C213&gt;0,"Master Valve:","Pumping Wellhead Details ")</f>
        <v>Master Valve:</v>
      </c>
      <c r="C214" s="1825">
        <v>0</v>
      </c>
      <c r="D214" s="1825"/>
      <c r="E214" s="1825"/>
      <c r="F214" s="1825"/>
      <c r="G214" s="37" t="s">
        <v>494</v>
      </c>
      <c r="H214" s="995"/>
      <c r="I214" s="997"/>
    </row>
    <row r="215" spans="1:9" ht="13.1">
      <c r="A215" s="950"/>
      <c r="B215" s="225" t="str">
        <f>IF(B214="Master Valve:","Serial #:","Stuffing Box ")</f>
        <v>Serial #:</v>
      </c>
      <c r="C215" s="1825">
        <v>0</v>
      </c>
      <c r="D215" s="1825"/>
      <c r="E215" s="1825"/>
      <c r="F215" s="1825"/>
      <c r="G215" s="225" t="s">
        <v>495</v>
      </c>
      <c r="H215" s="1819"/>
      <c r="I215" s="1820"/>
    </row>
    <row r="216" spans="1:9" ht="13.1">
      <c r="A216" s="950"/>
      <c r="B216" s="225" t="str">
        <f>IF(B215="Serial #:","Bottom:","Flow Tee ")</f>
        <v>Bottom:</v>
      </c>
      <c r="C216" s="1825">
        <f>C212</f>
        <v>0</v>
      </c>
      <c r="D216" s="1825"/>
      <c r="E216" s="1825"/>
      <c r="F216" s="1825"/>
      <c r="G216" s="225" t="s">
        <v>493</v>
      </c>
      <c r="H216" s="1819"/>
      <c r="I216" s="1820"/>
    </row>
    <row r="217" spans="1:9" ht="13.1">
      <c r="A217" s="950"/>
      <c r="B217" s="225" t="str">
        <f>IF(B216="Bottom:","Top:","BOP ")</f>
        <v>Top:</v>
      </c>
      <c r="C217" s="1825">
        <f>C216</f>
        <v>0</v>
      </c>
      <c r="D217" s="1825"/>
      <c r="E217" s="1825"/>
      <c r="F217" s="1825"/>
      <c r="G217" s="225" t="s">
        <v>1349</v>
      </c>
      <c r="H217" s="1819"/>
      <c r="I217" s="1820"/>
    </row>
    <row r="218" spans="1:9" ht="13.1">
      <c r="A218" s="950"/>
      <c r="B218" s="1225"/>
      <c r="C218" s="995"/>
      <c r="D218" s="995"/>
      <c r="E218" s="995"/>
      <c r="F218" s="995"/>
      <c r="G218" s="225" t="s">
        <v>496</v>
      </c>
      <c r="H218" s="1819">
        <v>0</v>
      </c>
      <c r="I218" s="1820"/>
    </row>
    <row r="219" spans="1:9" ht="13.1">
      <c r="A219" s="950"/>
      <c r="B219" s="125" t="str">
        <f>IF(C213=1," ",IF(C213=2,"Master Valve:","Composite Pumping Tee "))</f>
        <v>Master Valve:</v>
      </c>
      <c r="C219" s="1825"/>
      <c r="D219" s="1825"/>
      <c r="E219" s="1825"/>
      <c r="F219" s="1825"/>
      <c r="G219" s="225" t="s">
        <v>491</v>
      </c>
      <c r="H219" s="1819"/>
      <c r="I219" s="1820"/>
    </row>
    <row r="220" spans="1:9" ht="13.1">
      <c r="A220" s="950"/>
      <c r="B220" s="225" t="str">
        <f>IF(C213=1," ",IF(B219="Master Valve:","Serial #:","Serial #:"))</f>
        <v>Serial #:</v>
      </c>
      <c r="C220" s="1825"/>
      <c r="D220" s="1825"/>
      <c r="E220" s="1825"/>
      <c r="F220" s="1825"/>
      <c r="G220" s="225" t="s">
        <v>497</v>
      </c>
      <c r="H220" s="1819"/>
      <c r="I220" s="1820"/>
    </row>
    <row r="221" spans="1:9" ht="13.1">
      <c r="A221" s="950"/>
      <c r="B221" s="225" t="str">
        <f>IF(B220="Serial #:","Bottom:"," ")</f>
        <v>Bottom:</v>
      </c>
      <c r="C221" s="1825">
        <f>IF(C213=2,C216," ")</f>
        <v>0</v>
      </c>
      <c r="D221" s="1825"/>
      <c r="E221" s="1825"/>
      <c r="F221" s="1825"/>
      <c r="G221" s="225" t="s">
        <v>1349</v>
      </c>
      <c r="H221" s="1819"/>
      <c r="I221" s="1820"/>
    </row>
    <row r="222" spans="1:9" ht="13.1">
      <c r="A222" s="950"/>
      <c r="B222" s="225" t="str">
        <f>IF(B221="Bottom:","Top:"," ")</f>
        <v>Top:</v>
      </c>
      <c r="C222" s="1825">
        <f>IF(C213=2,C217," ")</f>
        <v>0</v>
      </c>
      <c r="D222" s="1825"/>
      <c r="E222" s="1825"/>
      <c r="F222" s="1825"/>
      <c r="G222" s="953"/>
      <c r="H222" s="953"/>
      <c r="I222" s="468"/>
    </row>
    <row r="223" spans="1:9">
      <c r="A223" s="950"/>
      <c r="B223" s="1225"/>
      <c r="C223" s="953"/>
      <c r="D223" s="953"/>
      <c r="E223" s="953"/>
      <c r="F223" s="953"/>
      <c r="G223" s="953"/>
      <c r="H223" s="953"/>
      <c r="I223" s="468"/>
    </row>
    <row r="224" spans="1:9" ht="13.1">
      <c r="A224" s="950"/>
      <c r="B224" s="125" t="s">
        <v>800</v>
      </c>
      <c r="C224" s="22"/>
      <c r="D224" s="953"/>
      <c r="E224" s="953"/>
      <c r="F224" s="953"/>
      <c r="G224" s="953"/>
      <c r="H224" s="953"/>
      <c r="I224" s="468"/>
    </row>
    <row r="225" spans="1:9" ht="13.1">
      <c r="A225" s="950"/>
      <c r="B225" s="225" t="s">
        <v>171</v>
      </c>
      <c r="C225" s="22"/>
      <c r="D225" s="953"/>
      <c r="E225" s="953"/>
      <c r="F225" s="953"/>
      <c r="G225" s="953"/>
      <c r="H225" s="953"/>
      <c r="I225" s="468"/>
    </row>
    <row r="226" spans="1:9" ht="13.1">
      <c r="A226" s="950"/>
      <c r="B226" s="225" t="s">
        <v>172</v>
      </c>
      <c r="C226" s="22"/>
      <c r="D226" s="953"/>
      <c r="E226" s="953"/>
      <c r="F226" s="953"/>
      <c r="G226" s="953"/>
      <c r="H226" s="953"/>
      <c r="I226" s="468"/>
    </row>
    <row r="227" spans="1:9" ht="13.1">
      <c r="A227" s="950"/>
      <c r="B227" s="225" t="s">
        <v>173</v>
      </c>
      <c r="C227" s="22"/>
      <c r="D227" s="953"/>
      <c r="E227" s="953"/>
      <c r="F227" s="953"/>
      <c r="G227" s="953"/>
      <c r="H227" s="953"/>
      <c r="I227" s="468"/>
    </row>
    <row r="228" spans="1:9" ht="13.1">
      <c r="A228" s="950"/>
      <c r="B228" s="225" t="s">
        <v>174</v>
      </c>
      <c r="C228" s="22"/>
      <c r="D228" s="953"/>
      <c r="E228" s="953"/>
      <c r="F228" s="953"/>
      <c r="G228" s="953"/>
      <c r="H228" s="953"/>
      <c r="I228" s="468"/>
    </row>
    <row r="229" spans="1:9">
      <c r="A229" s="950"/>
      <c r="B229" s="994"/>
      <c r="C229" s="953"/>
      <c r="D229" s="953"/>
      <c r="E229" s="953"/>
      <c r="F229" s="953"/>
      <c r="G229" s="953"/>
      <c r="H229" s="953"/>
      <c r="I229" s="468"/>
    </row>
    <row r="230" spans="1:9">
      <c r="A230" s="950"/>
      <c r="B230" s="994"/>
      <c r="C230" s="953"/>
      <c r="D230" s="953"/>
      <c r="E230" s="953"/>
      <c r="F230" s="953"/>
      <c r="G230" s="953"/>
      <c r="H230" s="953"/>
      <c r="I230" s="468"/>
    </row>
    <row r="231" spans="1:9">
      <c r="A231" s="950"/>
      <c r="B231" s="994"/>
      <c r="C231" s="953"/>
      <c r="D231" s="953"/>
      <c r="E231" s="953"/>
      <c r="F231" s="953"/>
      <c r="G231" s="953"/>
      <c r="H231" s="953"/>
      <c r="I231" s="468"/>
    </row>
    <row r="232" spans="1:9">
      <c r="A232" s="950"/>
      <c r="B232" s="994"/>
      <c r="C232" s="953"/>
      <c r="D232" s="953"/>
      <c r="E232" s="953"/>
      <c r="F232" s="953"/>
      <c r="G232" s="953"/>
      <c r="H232" s="953"/>
      <c r="I232" s="468"/>
    </row>
    <row r="233" spans="1:9">
      <c r="A233" s="950"/>
      <c r="B233" s="994"/>
      <c r="C233" s="953"/>
      <c r="D233" s="953"/>
      <c r="E233" s="953"/>
      <c r="F233" s="953"/>
      <c r="G233" s="953"/>
      <c r="H233" s="953"/>
      <c r="I233" s="468"/>
    </row>
    <row r="234" spans="1:9">
      <c r="A234" s="950"/>
      <c r="B234" s="994"/>
      <c r="C234" s="953"/>
      <c r="D234" s="953"/>
      <c r="E234" s="953"/>
      <c r="F234" s="953"/>
      <c r="G234" s="953"/>
      <c r="H234" s="953"/>
      <c r="I234" s="468"/>
    </row>
    <row r="235" spans="1:9">
      <c r="A235" s="950"/>
      <c r="B235" s="994"/>
      <c r="C235" s="953"/>
      <c r="D235" s="953"/>
      <c r="E235" s="953"/>
      <c r="F235" s="953"/>
      <c r="G235" s="953"/>
      <c r="H235" s="953"/>
      <c r="I235" s="468"/>
    </row>
    <row r="236" spans="1:9">
      <c r="A236" s="950"/>
      <c r="C236" s="953"/>
      <c r="D236" s="953"/>
      <c r="E236" s="953"/>
      <c r="F236" s="953"/>
      <c r="G236" s="953"/>
      <c r="H236" s="953"/>
      <c r="I236" s="468"/>
    </row>
    <row r="237" spans="1:9">
      <c r="A237" s="950"/>
      <c r="C237" s="953"/>
      <c r="D237" s="953"/>
      <c r="E237" s="953"/>
      <c r="F237" s="953"/>
      <c r="G237" s="953"/>
      <c r="H237" s="953"/>
      <c r="I237" s="468"/>
    </row>
    <row r="238" spans="1:9">
      <c r="A238" s="950"/>
      <c r="C238" s="953"/>
      <c r="D238" s="953"/>
      <c r="E238" s="953"/>
      <c r="F238" s="953"/>
      <c r="G238" s="953"/>
      <c r="H238" s="953"/>
      <c r="I238" s="468"/>
    </row>
    <row r="239" spans="1:9">
      <c r="A239" s="950"/>
      <c r="C239" s="953"/>
      <c r="D239" s="953"/>
      <c r="E239" s="953"/>
      <c r="F239" s="953"/>
      <c r="G239" s="953"/>
      <c r="H239" s="953"/>
      <c r="I239" s="468"/>
    </row>
    <row r="240" spans="1:9">
      <c r="A240" s="950"/>
      <c r="C240" s="953"/>
      <c r="D240" s="953"/>
      <c r="E240" s="953"/>
      <c r="F240" s="953"/>
      <c r="G240" s="953"/>
      <c r="H240" s="953"/>
      <c r="I240" s="468"/>
    </row>
    <row r="241" spans="1:9">
      <c r="A241" s="950"/>
      <c r="C241" s="953"/>
      <c r="D241" s="953"/>
      <c r="E241" s="953"/>
      <c r="F241" s="953"/>
      <c r="G241" s="953"/>
      <c r="H241" s="953"/>
      <c r="I241" s="468"/>
    </row>
    <row r="242" spans="1:9">
      <c r="A242" s="950"/>
      <c r="C242" s="953"/>
      <c r="D242" s="953"/>
      <c r="E242" s="953"/>
      <c r="F242" s="953"/>
      <c r="G242" s="953"/>
      <c r="H242" s="953"/>
      <c r="I242" s="468"/>
    </row>
    <row r="243" spans="1:9" ht="13.5" thickBot="1">
      <c r="A243" s="984"/>
      <c r="B243" s="985"/>
      <c r="C243" s="965"/>
      <c r="D243" s="965"/>
      <c r="E243" s="965"/>
      <c r="F243" s="965"/>
      <c r="G243" s="965"/>
      <c r="H243" s="965"/>
      <c r="I243" s="966"/>
    </row>
    <row r="244" spans="1:9" s="22" customFormat="1" ht="13.1">
      <c r="A244" s="141"/>
      <c r="B244" s="142"/>
      <c r="C244" s="142"/>
      <c r="D244" s="142"/>
      <c r="E244" s="142"/>
      <c r="F244" s="142"/>
      <c r="G244" s="142"/>
      <c r="H244" s="986" t="s">
        <v>1296</v>
      </c>
      <c r="I244" s="143"/>
    </row>
    <row r="245" spans="1:9" s="22" customFormat="1" ht="13.1">
      <c r="A245" s="1813" t="s">
        <v>1546</v>
      </c>
      <c r="B245" s="1814"/>
      <c r="C245" s="1814"/>
      <c r="D245" s="1814"/>
      <c r="E245" s="1814"/>
      <c r="F245" s="1814"/>
      <c r="G245" s="1814"/>
      <c r="H245" s="1814"/>
      <c r="I245" s="1815"/>
    </row>
    <row r="246" spans="1:9" s="22" customFormat="1" ht="13.1">
      <c r="A246" s="137"/>
      <c r="I246" s="144"/>
    </row>
    <row r="247" spans="1:9" s="22" customFormat="1" ht="13.1">
      <c r="A247" s="137"/>
      <c r="I247" s="144"/>
    </row>
    <row r="248" spans="1:9" s="22" customFormat="1" ht="13.1">
      <c r="A248" s="137"/>
      <c r="I248" s="144"/>
    </row>
    <row r="249" spans="1:9" s="22" customFormat="1" ht="13.1">
      <c r="A249" s="137"/>
      <c r="I249" s="144"/>
    </row>
    <row r="250" spans="1:9" s="22" customFormat="1" ht="13.1">
      <c r="A250" s="137"/>
      <c r="I250" s="144"/>
    </row>
    <row r="251" spans="1:9" s="22" customFormat="1" ht="13.1">
      <c r="A251" s="137"/>
      <c r="I251" s="144"/>
    </row>
    <row r="252" spans="1:9" s="22" customFormat="1" ht="13.1">
      <c r="A252" s="137"/>
      <c r="I252" s="144"/>
    </row>
    <row r="253" spans="1:9" s="22" customFormat="1" ht="13.1">
      <c r="A253" s="137"/>
      <c r="I253" s="144"/>
    </row>
    <row r="254" spans="1:9" s="22" customFormat="1" ht="13.1">
      <c r="A254" s="137"/>
      <c r="I254" s="144"/>
    </row>
    <row r="255" spans="1:9" s="22" customFormat="1" ht="13.1">
      <c r="A255" s="137"/>
      <c r="I255" s="144"/>
    </row>
    <row r="256" spans="1:9" s="22" customFormat="1" ht="13.1">
      <c r="A256" s="137"/>
      <c r="I256" s="144"/>
    </row>
    <row r="257" spans="1:9" s="22" customFormat="1" ht="13.1">
      <c r="A257" s="137"/>
      <c r="I257" s="144"/>
    </row>
    <row r="258" spans="1:9" s="22" customFormat="1" ht="13.1">
      <c r="A258" s="137"/>
      <c r="I258" s="144"/>
    </row>
    <row r="259" spans="1:9" s="22" customFormat="1" ht="13.1">
      <c r="A259" s="137"/>
      <c r="I259" s="144"/>
    </row>
    <row r="260" spans="1:9" s="22" customFormat="1" ht="13.1">
      <c r="A260" s="137"/>
      <c r="I260" s="144"/>
    </row>
    <row r="261" spans="1:9" s="22" customFormat="1" ht="13.1">
      <c r="A261" s="137"/>
      <c r="I261" s="144"/>
    </row>
    <row r="262" spans="1:9" s="22" customFormat="1" ht="13.1">
      <c r="A262" s="137"/>
      <c r="I262" s="144"/>
    </row>
    <row r="263" spans="1:9" s="22" customFormat="1" ht="13.1">
      <c r="A263" s="137"/>
      <c r="I263" s="144"/>
    </row>
    <row r="264" spans="1:9" s="22" customFormat="1" ht="13.1">
      <c r="A264" s="137"/>
      <c r="I264" s="144"/>
    </row>
    <row r="265" spans="1:9" s="22" customFormat="1" ht="13.1">
      <c r="A265" s="137"/>
      <c r="I265" s="144"/>
    </row>
    <row r="266" spans="1:9" s="22" customFormat="1" ht="13.1">
      <c r="A266" s="137"/>
      <c r="I266" s="144"/>
    </row>
    <row r="267" spans="1:9" s="22" customFormat="1" ht="13.1">
      <c r="A267" s="137"/>
      <c r="I267" s="144"/>
    </row>
    <row r="268" spans="1:9" s="22" customFormat="1" ht="13.1">
      <c r="A268" s="137"/>
      <c r="I268" s="144"/>
    </row>
    <row r="269" spans="1:9" s="22" customFormat="1" ht="13.1">
      <c r="A269" s="137"/>
      <c r="I269" s="144"/>
    </row>
    <row r="270" spans="1:9" s="22" customFormat="1" ht="13.1">
      <c r="A270" s="137"/>
      <c r="I270" s="144"/>
    </row>
    <row r="271" spans="1:9" s="22" customFormat="1" ht="13.1">
      <c r="A271" s="137"/>
      <c r="I271" s="144"/>
    </row>
    <row r="272" spans="1:9" s="22" customFormat="1" ht="13.1">
      <c r="A272" s="137"/>
      <c r="I272" s="144"/>
    </row>
    <row r="273" spans="1:9" s="22" customFormat="1" ht="13.1">
      <c r="A273" s="137"/>
      <c r="I273" s="144"/>
    </row>
    <row r="274" spans="1:9" s="22" customFormat="1" ht="13.1">
      <c r="A274" s="137"/>
      <c r="I274" s="144"/>
    </row>
    <row r="275" spans="1:9" s="22" customFormat="1" ht="13.1">
      <c r="A275" s="137"/>
      <c r="I275" s="144"/>
    </row>
    <row r="276" spans="1:9" s="22" customFormat="1" ht="13.1">
      <c r="A276" s="137"/>
      <c r="I276" s="144"/>
    </row>
    <row r="277" spans="1:9" s="22" customFormat="1" ht="13.1">
      <c r="A277" s="137"/>
      <c r="I277" s="144"/>
    </row>
    <row r="278" spans="1:9" s="22" customFormat="1" ht="13.1">
      <c r="A278" s="137"/>
      <c r="I278" s="144"/>
    </row>
    <row r="279" spans="1:9" s="22" customFormat="1" ht="13.1">
      <c r="A279" s="137"/>
      <c r="I279" s="144"/>
    </row>
    <row r="280" spans="1:9" s="22" customFormat="1" ht="13.1">
      <c r="A280" s="137"/>
      <c r="I280" s="144"/>
    </row>
    <row r="281" spans="1:9" s="22" customFormat="1" ht="13.1">
      <c r="A281" s="137"/>
      <c r="I281" s="144"/>
    </row>
    <row r="282" spans="1:9" s="22" customFormat="1" ht="13.1">
      <c r="A282" s="137"/>
      <c r="I282" s="144"/>
    </row>
    <row r="283" spans="1:9" s="22" customFormat="1" ht="13.1">
      <c r="A283" s="137"/>
      <c r="I283" s="144"/>
    </row>
    <row r="284" spans="1:9" s="22" customFormat="1" ht="13.1">
      <c r="A284" s="137"/>
      <c r="I284" s="144"/>
    </row>
    <row r="285" spans="1:9" s="22" customFormat="1" ht="13.1">
      <c r="A285" s="137"/>
      <c r="I285" s="144"/>
    </row>
    <row r="286" spans="1:9" s="22" customFormat="1" ht="13.1">
      <c r="A286" s="137"/>
      <c r="I286" s="144"/>
    </row>
    <row r="287" spans="1:9" s="22" customFormat="1" ht="13.1">
      <c r="A287" s="137"/>
      <c r="I287" s="144"/>
    </row>
    <row r="288" spans="1:9" s="22" customFormat="1" ht="13.1">
      <c r="A288" s="137"/>
      <c r="I288" s="144"/>
    </row>
    <row r="289" spans="1:9" s="22" customFormat="1" ht="13.1">
      <c r="A289" s="137"/>
      <c r="I289" s="144"/>
    </row>
    <row r="290" spans="1:9" s="22" customFormat="1" ht="13.1">
      <c r="A290" s="137"/>
      <c r="I290" s="144"/>
    </row>
    <row r="291" spans="1:9" s="22" customFormat="1" ht="13.1">
      <c r="A291" s="137"/>
      <c r="I291" s="144"/>
    </row>
    <row r="292" spans="1:9" s="22" customFormat="1" ht="13.1">
      <c r="A292" s="137"/>
      <c r="I292" s="144"/>
    </row>
    <row r="293" spans="1:9" s="22" customFormat="1" ht="13.1">
      <c r="A293" s="137"/>
      <c r="I293" s="144"/>
    </row>
    <row r="294" spans="1:9" s="22" customFormat="1" ht="13.1">
      <c r="A294" s="137"/>
      <c r="I294" s="144"/>
    </row>
    <row r="295" spans="1:9" s="22" customFormat="1" ht="13.1">
      <c r="A295" s="137"/>
      <c r="I295" s="144"/>
    </row>
    <row r="296" spans="1:9" s="22" customFormat="1" ht="13.1">
      <c r="A296" s="137"/>
      <c r="I296" s="144"/>
    </row>
    <row r="297" spans="1:9" s="22" customFormat="1" ht="13.1">
      <c r="A297" s="137"/>
      <c r="I297" s="144"/>
    </row>
    <row r="298" spans="1:9" s="22" customFormat="1" ht="13.1">
      <c r="A298" s="137"/>
      <c r="I298" s="144"/>
    </row>
    <row r="299" spans="1:9" s="22" customFormat="1" ht="13.1">
      <c r="A299" s="137"/>
      <c r="I299" s="144"/>
    </row>
    <row r="300" spans="1:9" s="22" customFormat="1" ht="13.1">
      <c r="A300" s="137"/>
      <c r="I300" s="144"/>
    </row>
    <row r="301" spans="1:9" s="22" customFormat="1" ht="13.1">
      <c r="A301" s="137"/>
      <c r="I301" s="144"/>
    </row>
    <row r="302" spans="1:9" s="22" customFormat="1" ht="13.1">
      <c r="A302" s="137"/>
      <c r="I302" s="144"/>
    </row>
    <row r="303" spans="1:9" s="22" customFormat="1" ht="13.1">
      <c r="A303" s="137"/>
      <c r="I303" s="144"/>
    </row>
    <row r="304" spans="1:9" s="22" customFormat="1" ht="13.1">
      <c r="A304" s="137"/>
      <c r="I304" s="144"/>
    </row>
    <row r="305" spans="1:9" ht="13.75" thickBot="1">
      <c r="A305" s="138"/>
      <c r="B305" s="139"/>
      <c r="C305" s="139"/>
      <c r="D305" s="139"/>
      <c r="E305" s="139"/>
      <c r="F305" s="139"/>
      <c r="G305" s="139"/>
      <c r="H305" s="139"/>
      <c r="I305" s="206"/>
    </row>
  </sheetData>
  <sheetProtection sheet="1" formatCells="0" formatColumns="0" formatRows="0" insertColumns="0" insertRows="0" deleteColumns="0" deleteRows="0" selectLockedCells="1"/>
  <protectedRanges>
    <protectedRange sqref="C26:I30 C41 C48 A67:B71 A72:I122 A128:I144 A150:I161 F163 A166:I166 C197:F243 H204:I243 A246:I305" name="Range2"/>
    <protectedRange sqref="C26:I30 C41 C48 A64:I122 A128:I164 C197:F243 H204:I243 A246:I305" name="Range1"/>
  </protectedRanges>
  <mergeCells count="114">
    <mergeCell ref="F34:G34"/>
    <mergeCell ref="F35:G35"/>
    <mergeCell ref="H34:I34"/>
    <mergeCell ref="G62:H62"/>
    <mergeCell ref="C27:F27"/>
    <mergeCell ref="C28:F28"/>
    <mergeCell ref="G26:I26"/>
    <mergeCell ref="C57:I57"/>
    <mergeCell ref="C41:D41"/>
    <mergeCell ref="C34:E34"/>
    <mergeCell ref="H35:I35"/>
    <mergeCell ref="C29:F29"/>
    <mergeCell ref="B134:D134"/>
    <mergeCell ref="B129:D129"/>
    <mergeCell ref="A68:B68"/>
    <mergeCell ref="B130:D130"/>
    <mergeCell ref="B131:D131"/>
    <mergeCell ref="A69:B69"/>
    <mergeCell ref="A70:B70"/>
    <mergeCell ref="B133:D133"/>
    <mergeCell ref="B128:D128"/>
    <mergeCell ref="B143:D143"/>
    <mergeCell ref="C195:D195"/>
    <mergeCell ref="C194:D194"/>
    <mergeCell ref="C192:H192"/>
    <mergeCell ref="E195:H195"/>
    <mergeCell ref="B136:D136"/>
    <mergeCell ref="B137:D137"/>
    <mergeCell ref="B138:D138"/>
    <mergeCell ref="B135:D135"/>
    <mergeCell ref="B139:D139"/>
    <mergeCell ref="B144:D144"/>
    <mergeCell ref="A2:B2"/>
    <mergeCell ref="C3:F3"/>
    <mergeCell ref="C4:F4"/>
    <mergeCell ref="C33:E33"/>
    <mergeCell ref="C13:D13"/>
    <mergeCell ref="C25:D25"/>
    <mergeCell ref="F25:G25"/>
    <mergeCell ref="C63:E63"/>
    <mergeCell ref="A67:B67"/>
    <mergeCell ref="G27:I27"/>
    <mergeCell ref="G28:I28"/>
    <mergeCell ref="C26:F26"/>
    <mergeCell ref="C62:D62"/>
    <mergeCell ref="C59:D59"/>
    <mergeCell ref="E59:F59"/>
    <mergeCell ref="C60:D60"/>
    <mergeCell ref="E60:F60"/>
    <mergeCell ref="C21:I21"/>
    <mergeCell ref="C16:I16"/>
    <mergeCell ref="C36:I36"/>
    <mergeCell ref="C17:I17"/>
    <mergeCell ref="C18:I18"/>
    <mergeCell ref="C19:I19"/>
    <mergeCell ref="C20:I20"/>
    <mergeCell ref="H220:I220"/>
    <mergeCell ref="C201:F201"/>
    <mergeCell ref="C197:F197"/>
    <mergeCell ref="C198:F198"/>
    <mergeCell ref="C203:F203"/>
    <mergeCell ref="C220:F220"/>
    <mergeCell ref="C217:F217"/>
    <mergeCell ref="C215:F215"/>
    <mergeCell ref="C200:F200"/>
    <mergeCell ref="C216:F216"/>
    <mergeCell ref="C221:F221"/>
    <mergeCell ref="C222:F222"/>
    <mergeCell ref="C185:H185"/>
    <mergeCell ref="C189:H189"/>
    <mergeCell ref="C190:H190"/>
    <mergeCell ref="C191:H191"/>
    <mergeCell ref="C193:H193"/>
    <mergeCell ref="C214:F214"/>
    <mergeCell ref="C219:F219"/>
    <mergeCell ref="C199:F199"/>
    <mergeCell ref="C209:F209"/>
    <mergeCell ref="C211:F211"/>
    <mergeCell ref="C212:F212"/>
    <mergeCell ref="C204:F204"/>
    <mergeCell ref="C205:F205"/>
    <mergeCell ref="C206:F206"/>
    <mergeCell ref="C207:F207"/>
    <mergeCell ref="C210:F210"/>
    <mergeCell ref="H221:I221"/>
    <mergeCell ref="H216:I216"/>
    <mergeCell ref="H217:I217"/>
    <mergeCell ref="H218:I218"/>
    <mergeCell ref="H219:I219"/>
    <mergeCell ref="H215:I215"/>
    <mergeCell ref="E1:I1"/>
    <mergeCell ref="A245:I245"/>
    <mergeCell ref="A183:B183"/>
    <mergeCell ref="E2:F2"/>
    <mergeCell ref="H210:I210"/>
    <mergeCell ref="F63:G63"/>
    <mergeCell ref="B140:D140"/>
    <mergeCell ref="B141:D141"/>
    <mergeCell ref="B142:D142"/>
    <mergeCell ref="B132:D132"/>
    <mergeCell ref="A59:B59"/>
    <mergeCell ref="F14:G14"/>
    <mergeCell ref="F33:G33"/>
    <mergeCell ref="C35:E35"/>
    <mergeCell ref="G30:I30"/>
    <mergeCell ref="A71:B71"/>
    <mergeCell ref="H33:I33"/>
    <mergeCell ref="C30:F30"/>
    <mergeCell ref="G29:I29"/>
    <mergeCell ref="C61:I61"/>
    <mergeCell ref="C31:D31"/>
    <mergeCell ref="C37:I37"/>
    <mergeCell ref="C38:I38"/>
    <mergeCell ref="C48:D48"/>
  </mergeCells>
  <phoneticPr fontId="0" type="noConversion"/>
  <printOptions horizontalCentered="1" verticalCentered="1"/>
  <pageMargins left="0.25" right="0.25" top="0.25" bottom="0.25" header="0" footer="0"/>
  <pageSetup scale="94" orientation="portrait" horizontalDpi="300" verticalDpi="300" r:id="rId1"/>
  <headerFooter alignWithMargins="0"/>
  <rowBreaks count="4" manualBreakCount="4">
    <brk id="63" max="16383" man="1"/>
    <brk id="122" max="16383" man="1"/>
    <brk id="181" max="16383" man="1"/>
    <brk id="24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35" r:id="rId4" name="Button 15">
              <controlPr defaultSize="0" print="0" autoFill="0" autoPict="0" macro="[0]!BACKTOMENU">
                <anchor moveWithCells="1">
                  <from>
                    <xdr:col>9</xdr:col>
                    <xdr:colOff>29936</xdr:colOff>
                    <xdr:row>0</xdr:row>
                    <xdr:rowOff>8164</xdr:rowOff>
                  </from>
                  <to>
                    <xdr:col>11</xdr:col>
                    <xdr:colOff>97971</xdr:colOff>
                    <xdr:row>0</xdr:row>
                    <xdr:rowOff>209550</xdr:rowOff>
                  </to>
                </anchor>
              </controlPr>
            </control>
          </mc:Choice>
        </mc:AlternateContent>
        <mc:AlternateContent xmlns:mc="http://schemas.openxmlformats.org/markup-compatibility/2006">
          <mc:Choice Requires="x14">
            <control shapeId="5136" r:id="rId5" name="Check Box 16">
              <controlPr defaultSize="0" autoFill="0" autoLine="0" autoPict="0" macro="[0]!GOTOSCVF">
                <anchor moveWithCells="1">
                  <from>
                    <xdr:col>7</xdr:col>
                    <xdr:colOff>40821</xdr:colOff>
                    <xdr:row>23</xdr:row>
                    <xdr:rowOff>146957</xdr:rowOff>
                  </from>
                  <to>
                    <xdr:col>7</xdr:col>
                    <xdr:colOff>364671</xdr:colOff>
                    <xdr:row>25</xdr:row>
                    <xdr:rowOff>38100</xdr:rowOff>
                  </to>
                </anchor>
              </controlPr>
            </control>
          </mc:Choice>
        </mc:AlternateContent>
        <mc:AlternateContent xmlns:mc="http://schemas.openxmlformats.org/markup-compatibility/2006">
          <mc:Choice Requires="x14">
            <control shapeId="5137" r:id="rId6" name="Check Box 17">
              <controlPr defaultSize="0" autoFill="0" autoLine="0" autoPict="0" macro="[0]!GOTOSCVF">
                <anchor moveWithCells="1">
                  <from>
                    <xdr:col>3</xdr:col>
                    <xdr:colOff>617764</xdr:colOff>
                    <xdr:row>23</xdr:row>
                    <xdr:rowOff>136071</xdr:rowOff>
                  </from>
                  <to>
                    <xdr:col>4</xdr:col>
                    <xdr:colOff>293914</xdr:colOff>
                    <xdr:row>25</xdr:row>
                    <xdr:rowOff>29936</xdr:rowOff>
                  </to>
                </anchor>
              </controlPr>
            </control>
          </mc:Choice>
        </mc:AlternateContent>
        <mc:AlternateContent xmlns:mc="http://schemas.openxmlformats.org/markup-compatibility/2006">
          <mc:Choice Requires="x14">
            <control shapeId="5138" r:id="rId7" name="Check Box 18">
              <controlPr defaultSize="0" autoFill="0" autoLine="0" autoPict="0">
                <anchor moveWithCells="1">
                  <from>
                    <xdr:col>4</xdr:col>
                    <xdr:colOff>394607</xdr:colOff>
                    <xdr:row>23</xdr:row>
                    <xdr:rowOff>136071</xdr:rowOff>
                  </from>
                  <to>
                    <xdr:col>5</xdr:col>
                    <xdr:colOff>70757</xdr:colOff>
                    <xdr:row>25</xdr:row>
                    <xdr:rowOff>29936</xdr:rowOff>
                  </to>
                </anchor>
              </controlPr>
            </control>
          </mc:Choice>
        </mc:AlternateContent>
        <mc:AlternateContent xmlns:mc="http://schemas.openxmlformats.org/markup-compatibility/2006">
          <mc:Choice Requires="x14">
            <control shapeId="5140" r:id="rId8" name="Check Box 20">
              <controlPr defaultSize="0" autoFill="0" autoLine="0" autoPict="0" macro="[0]!GOTOCoefficients">
                <anchor moveWithCells="1">
                  <from>
                    <xdr:col>3</xdr:col>
                    <xdr:colOff>617764</xdr:colOff>
                    <xdr:row>21</xdr:row>
                    <xdr:rowOff>136071</xdr:rowOff>
                  </from>
                  <to>
                    <xdr:col>4</xdr:col>
                    <xdr:colOff>293914</xdr:colOff>
                    <xdr:row>23</xdr:row>
                    <xdr:rowOff>29936</xdr:rowOff>
                  </to>
                </anchor>
              </controlPr>
            </control>
          </mc:Choice>
        </mc:AlternateContent>
        <mc:AlternateContent xmlns:mc="http://schemas.openxmlformats.org/markup-compatibility/2006">
          <mc:Choice Requires="x14">
            <control shapeId="5141" r:id="rId9" name="Check Box 21">
              <controlPr defaultSize="0" autoFill="0" autoLine="0" autoPict="0">
                <anchor moveWithCells="1">
                  <from>
                    <xdr:col>4</xdr:col>
                    <xdr:colOff>394607</xdr:colOff>
                    <xdr:row>21</xdr:row>
                    <xdr:rowOff>136071</xdr:rowOff>
                  </from>
                  <to>
                    <xdr:col>5</xdr:col>
                    <xdr:colOff>70757</xdr:colOff>
                    <xdr:row>23</xdr:row>
                    <xdr:rowOff>29936</xdr:rowOff>
                  </to>
                </anchor>
              </controlPr>
            </control>
          </mc:Choice>
        </mc:AlternateContent>
        <mc:AlternateContent xmlns:mc="http://schemas.openxmlformats.org/markup-compatibility/2006">
          <mc:Choice Requires="x14">
            <control shapeId="5143" r:id="rId10" name="Button 23">
              <controlPr defaultSize="0" print="0" autoFill="0" autoPict="0" macro="[0]!printwellsummary">
                <anchor moveWithCells="1">
                  <from>
                    <xdr:col>9</xdr:col>
                    <xdr:colOff>40821</xdr:colOff>
                    <xdr:row>1</xdr:row>
                    <xdr:rowOff>19050</xdr:rowOff>
                  </from>
                  <to>
                    <xdr:col>11</xdr:col>
                    <xdr:colOff>108857</xdr:colOff>
                    <xdr:row>2</xdr:row>
                    <xdr:rowOff>29936</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95B5C69F-EFA5-4C63-A3AB-897363E1CA4D}">
          <x14:formula1>
            <xm:f>'Data Validation'!$C$4:$D$4</xm:f>
          </x14:formula1>
          <xm:sqref>F13</xm:sqref>
        </x14:dataValidation>
        <x14:dataValidation type="list" allowBlank="1" showInputMessage="1" showErrorMessage="1" xr:uid="{9029BF73-22BA-48C7-82A7-15843A1BC58D}">
          <x14:formula1>
            <xm:f>'Data Validation'!$C$7:$D$7</xm:f>
          </x14:formula1>
          <xm:sqref>H22 A33 F147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8861-3DE1-4707-8357-E824CE797CCA}">
  <sheetPr codeName="Sheet12">
    <tabColor indexed="33"/>
  </sheetPr>
  <dimension ref="A1:L51"/>
  <sheetViews>
    <sheetView showGridLines="0" showRowColHeaders="0" workbookViewId="0">
      <selection activeCell="F18" sqref="F18"/>
    </sheetView>
  </sheetViews>
  <sheetFormatPr defaultRowHeight="12.9"/>
  <sheetData>
    <row r="1" spans="1:12">
      <c r="A1" s="1683" t="s">
        <v>1188</v>
      </c>
      <c r="B1" s="1684"/>
      <c r="C1" s="1684"/>
      <c r="D1" s="1684"/>
      <c r="E1" s="1684"/>
      <c r="F1" s="1684"/>
      <c r="G1" s="1684"/>
      <c r="H1" s="1684"/>
      <c r="I1" s="1685"/>
    </row>
    <row r="2" spans="1:12">
      <c r="A2" s="1686"/>
      <c r="B2" s="1687"/>
      <c r="C2" s="1687"/>
      <c r="D2" s="1687"/>
      <c r="E2" s="1687"/>
      <c r="F2" s="1687"/>
      <c r="G2" s="1687"/>
      <c r="H2" s="1687"/>
      <c r="I2" s="1688"/>
    </row>
    <row r="3" spans="1:12">
      <c r="A3" s="44"/>
      <c r="I3" s="45"/>
    </row>
    <row r="4" spans="1:12" ht="13.5" thickBot="1">
      <c r="A4" s="44"/>
      <c r="I4" s="45"/>
    </row>
    <row r="5" spans="1:12" ht="13.5" thickTop="1">
      <c r="A5" s="718"/>
      <c r="B5" s="719"/>
      <c r="C5" s="719"/>
      <c r="D5" s="719"/>
      <c r="E5" s="719"/>
      <c r="F5" s="719"/>
      <c r="G5" s="719"/>
      <c r="H5" s="719"/>
      <c r="I5" s="720"/>
    </row>
    <row r="6" spans="1:12">
      <c r="A6" s="721"/>
      <c r="B6" s="715"/>
      <c r="C6" s="715"/>
      <c r="D6" s="715"/>
      <c r="E6" s="715"/>
      <c r="F6" s="715"/>
      <c r="G6" s="715"/>
      <c r="H6" s="715"/>
      <c r="I6" s="722"/>
    </row>
    <row r="7" spans="1:12" ht="13.5" thickBot="1">
      <c r="A7" s="721"/>
      <c r="B7" s="715"/>
      <c r="C7" s="715"/>
      <c r="D7" s="715"/>
      <c r="E7" s="715"/>
      <c r="F7" s="715"/>
      <c r="G7" s="715"/>
      <c r="H7" s="715"/>
      <c r="I7" s="722"/>
    </row>
    <row r="8" spans="1:12" ht="14.15" thickTop="1" thickBot="1">
      <c r="A8" s="721"/>
      <c r="B8" s="715"/>
      <c r="C8" s="715"/>
      <c r="D8" s="715"/>
      <c r="E8" s="715"/>
      <c r="F8" s="715"/>
      <c r="G8" s="715"/>
      <c r="H8" s="715"/>
      <c r="I8" s="722"/>
      <c r="L8" s="717"/>
    </row>
    <row r="9" spans="1:12" ht="13.5" thickTop="1">
      <c r="A9" s="721"/>
      <c r="B9" s="715"/>
      <c r="C9" s="715"/>
      <c r="D9" s="715"/>
      <c r="E9" s="715"/>
      <c r="F9" s="715"/>
      <c r="G9" s="715"/>
      <c r="H9" s="715"/>
      <c r="I9" s="722"/>
    </row>
    <row r="10" spans="1:12">
      <c r="A10" s="721"/>
      <c r="B10" s="715"/>
      <c r="C10" s="715"/>
      <c r="D10" s="715"/>
      <c r="E10" s="715"/>
      <c r="F10" s="715"/>
      <c r="G10" s="715"/>
      <c r="H10" s="715"/>
      <c r="I10" s="722"/>
    </row>
    <row r="11" spans="1:12">
      <c r="A11" s="721"/>
      <c r="B11" s="715"/>
      <c r="C11" s="715"/>
      <c r="D11" s="715"/>
      <c r="E11" s="715"/>
      <c r="F11" s="715"/>
      <c r="G11" s="715"/>
      <c r="H11" s="715"/>
      <c r="I11" s="722"/>
    </row>
    <row r="12" spans="1:12">
      <c r="A12" s="721"/>
      <c r="B12" s="715"/>
      <c r="C12" s="715"/>
      <c r="D12" s="715"/>
      <c r="E12" s="715"/>
      <c r="F12" s="715"/>
      <c r="G12" s="715"/>
      <c r="H12" s="715"/>
      <c r="I12" s="722"/>
    </row>
    <row r="13" spans="1:12">
      <c r="A13" s="721"/>
      <c r="B13" s="715"/>
      <c r="C13" s="715"/>
      <c r="D13" s="715"/>
      <c r="E13" s="715"/>
      <c r="F13" s="715"/>
      <c r="G13" s="715"/>
      <c r="H13" s="715"/>
      <c r="I13" s="722"/>
    </row>
    <row r="14" spans="1:12">
      <c r="A14" s="721"/>
      <c r="B14" s="715"/>
      <c r="C14" s="715"/>
      <c r="D14" s="715"/>
      <c r="E14" s="715"/>
      <c r="F14" s="715"/>
      <c r="G14" s="715"/>
      <c r="H14" s="715"/>
      <c r="I14" s="722"/>
    </row>
    <row r="15" spans="1:12">
      <c r="A15" s="721"/>
      <c r="B15" s="715"/>
      <c r="C15" s="715"/>
      <c r="D15" s="715"/>
      <c r="E15" s="715"/>
      <c r="F15" s="715"/>
      <c r="G15" s="715"/>
      <c r="H15" s="715"/>
      <c r="I15" s="722"/>
    </row>
    <row r="16" spans="1:12">
      <c r="A16" s="721"/>
      <c r="B16" s="715"/>
      <c r="C16" s="715"/>
      <c r="D16" s="715"/>
      <c r="E16" s="715"/>
      <c r="F16" s="715"/>
      <c r="G16" s="715"/>
      <c r="H16" s="715"/>
      <c r="I16" s="722"/>
    </row>
    <row r="17" spans="1:9">
      <c r="A17" s="721"/>
      <c r="B17" s="715"/>
      <c r="C17" s="715"/>
      <c r="D17" s="715"/>
      <c r="E17" s="715"/>
      <c r="F17" s="715"/>
      <c r="G17" s="715"/>
      <c r="H17" s="715"/>
      <c r="I17" s="722"/>
    </row>
    <row r="18" spans="1:9">
      <c r="A18" s="721"/>
      <c r="B18" s="715"/>
      <c r="C18" s="715"/>
      <c r="D18" s="715"/>
      <c r="E18" s="715"/>
      <c r="F18" s="715"/>
      <c r="G18" s="715"/>
      <c r="H18" s="715"/>
      <c r="I18" s="722"/>
    </row>
    <row r="19" spans="1:9">
      <c r="A19" s="721"/>
      <c r="B19" s="715"/>
      <c r="C19" s="715"/>
      <c r="D19" s="715"/>
      <c r="E19" s="715"/>
      <c r="F19" s="715"/>
      <c r="G19" s="715"/>
      <c r="H19" s="715"/>
      <c r="I19" s="722"/>
    </row>
    <row r="20" spans="1:9">
      <c r="A20" s="721"/>
      <c r="B20" s="715"/>
      <c r="C20" s="715"/>
      <c r="D20" s="715"/>
      <c r="E20" s="715"/>
      <c r="F20" s="715"/>
      <c r="G20" s="715"/>
      <c r="H20" s="715"/>
      <c r="I20" s="722"/>
    </row>
    <row r="21" spans="1:9">
      <c r="A21" s="721"/>
      <c r="B21" s="715"/>
      <c r="C21" s="715"/>
      <c r="D21" s="715"/>
      <c r="E21" s="715"/>
      <c r="F21" s="715"/>
      <c r="G21" s="715"/>
      <c r="H21" s="715"/>
      <c r="I21" s="722"/>
    </row>
    <row r="22" spans="1:9">
      <c r="A22" s="721"/>
      <c r="B22" s="715"/>
      <c r="C22" s="715"/>
      <c r="D22" s="715"/>
      <c r="E22" s="715"/>
      <c r="F22" s="715"/>
      <c r="G22" s="715"/>
      <c r="H22" s="715"/>
      <c r="I22" s="722"/>
    </row>
    <row r="23" spans="1:9">
      <c r="A23" s="721"/>
      <c r="B23" s="715"/>
      <c r="C23" s="715"/>
      <c r="D23" s="715"/>
      <c r="E23" s="715"/>
      <c r="F23" s="715"/>
      <c r="G23" s="715"/>
      <c r="H23" s="715"/>
      <c r="I23" s="722"/>
    </row>
    <row r="24" spans="1:9">
      <c r="A24" s="721"/>
      <c r="B24" s="715"/>
      <c r="C24" s="715"/>
      <c r="D24" s="715"/>
      <c r="E24" s="715"/>
      <c r="F24" s="715"/>
      <c r="G24" s="715"/>
      <c r="H24" s="715"/>
      <c r="I24" s="722"/>
    </row>
    <row r="25" spans="1:9">
      <c r="A25" s="721"/>
      <c r="B25" s="715"/>
      <c r="C25" s="715"/>
      <c r="D25" s="715"/>
      <c r="E25" s="715"/>
      <c r="F25" s="715"/>
      <c r="G25" s="715"/>
      <c r="H25" s="715"/>
      <c r="I25" s="722"/>
    </row>
    <row r="26" spans="1:9" ht="13.5" thickBot="1">
      <c r="A26" s="723"/>
      <c r="B26" s="724"/>
      <c r="C26" s="724"/>
      <c r="D26" s="724"/>
      <c r="E26" s="724"/>
      <c r="F26" s="724"/>
      <c r="G26" s="724"/>
      <c r="H26" s="724"/>
      <c r="I26" s="725"/>
    </row>
    <row r="27" spans="1:9" ht="13.5" thickTop="1">
      <c r="A27" s="44"/>
      <c r="I27" s="45"/>
    </row>
    <row r="28" spans="1:9">
      <c r="A28" s="44"/>
      <c r="I28" s="45"/>
    </row>
    <row r="29" spans="1:9">
      <c r="A29" s="44"/>
      <c r="I29" s="45"/>
    </row>
    <row r="30" spans="1:9">
      <c r="A30" s="44"/>
      <c r="I30" s="45"/>
    </row>
    <row r="31" spans="1:9">
      <c r="A31" s="44"/>
      <c r="I31" s="45"/>
    </row>
    <row r="32" spans="1:9">
      <c r="A32" s="44"/>
      <c r="I32" s="45"/>
    </row>
    <row r="33" spans="1:9">
      <c r="A33" s="44"/>
      <c r="I33" s="45"/>
    </row>
    <row r="34" spans="1:9">
      <c r="A34" s="44"/>
      <c r="I34" s="45"/>
    </row>
    <row r="35" spans="1:9">
      <c r="A35" s="44"/>
      <c r="I35" s="45"/>
    </row>
    <row r="36" spans="1:9">
      <c r="A36" s="44"/>
      <c r="I36" s="45"/>
    </row>
    <row r="37" spans="1:9">
      <c r="A37" s="44"/>
      <c r="I37" s="45"/>
    </row>
    <row r="38" spans="1:9">
      <c r="A38" s="44"/>
      <c r="I38" s="45"/>
    </row>
    <row r="39" spans="1:9">
      <c r="A39" s="44"/>
      <c r="I39" s="45"/>
    </row>
    <row r="40" spans="1:9">
      <c r="A40" s="44"/>
      <c r="I40" s="45"/>
    </row>
    <row r="41" spans="1:9">
      <c r="A41" s="44"/>
      <c r="I41" s="45"/>
    </row>
    <row r="42" spans="1:9">
      <c r="A42" s="44"/>
      <c r="I42" s="45"/>
    </row>
    <row r="43" spans="1:9">
      <c r="A43" s="44"/>
      <c r="I43" s="45"/>
    </row>
    <row r="44" spans="1:9">
      <c r="A44" s="44"/>
      <c r="I44" s="45"/>
    </row>
    <row r="45" spans="1:9">
      <c r="A45" s="44"/>
      <c r="I45" s="45"/>
    </row>
    <row r="46" spans="1:9">
      <c r="A46" s="44"/>
      <c r="I46" s="45"/>
    </row>
    <row r="47" spans="1:9">
      <c r="A47" s="44"/>
      <c r="I47" s="45"/>
    </row>
    <row r="48" spans="1:9">
      <c r="A48" s="44"/>
      <c r="I48" s="45"/>
    </row>
    <row r="49" spans="1:9">
      <c r="A49" s="44"/>
      <c r="I49" s="45"/>
    </row>
    <row r="50" spans="1:9">
      <c r="A50" s="44"/>
      <c r="I50" s="45"/>
    </row>
    <row r="51" spans="1:9" ht="13.5" thickBot="1">
      <c r="A51" s="46"/>
      <c r="B51" s="21"/>
      <c r="C51" s="21"/>
      <c r="D51" s="21"/>
      <c r="E51" s="21"/>
      <c r="F51" s="21"/>
      <c r="G51" s="21"/>
      <c r="H51" s="21"/>
      <c r="I51" s="47"/>
    </row>
  </sheetData>
  <sheetProtection sheet="1" objects="1" scenarios="1"/>
  <mergeCells count="1">
    <mergeCell ref="A1:I2"/>
  </mergeCells>
  <phoneticPr fontId="118" type="noConversion"/>
  <pageMargins left="0.75" right="0.75" top="1" bottom="1" header="0.5" footer="0.5"/>
  <pageSetup orientation="portrait" horizontalDpi="4294967293"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06" r:id="rId4" name="Button 10">
              <controlPr defaultSize="0" print="0" autoFill="0" autoPict="0" macro="[0]!GOTOSUMMARY">
                <anchor moveWithCells="1">
                  <from>
                    <xdr:col>0</xdr:col>
                    <xdr:colOff>0</xdr:colOff>
                    <xdr:row>4</xdr:row>
                    <xdr:rowOff>76200</xdr:rowOff>
                  </from>
                  <to>
                    <xdr:col>1</xdr:col>
                    <xdr:colOff>620486</xdr:colOff>
                    <xdr:row>6</xdr:row>
                    <xdr:rowOff>38100</xdr:rowOff>
                  </to>
                </anchor>
              </controlPr>
            </control>
          </mc:Choice>
        </mc:AlternateContent>
        <mc:AlternateContent xmlns:mc="http://schemas.openxmlformats.org/markup-compatibility/2006">
          <mc:Choice Requires="x14">
            <control shapeId="55307" r:id="rId5" name="Button 11">
              <controlPr defaultSize="0" print="0" autoFill="0" autoPict="0" macro="[0]!GOTOWELLEQUIPMENT">
                <anchor moveWithCells="1">
                  <from>
                    <xdr:col>0</xdr:col>
                    <xdr:colOff>0</xdr:colOff>
                    <xdr:row>6</xdr:row>
                    <xdr:rowOff>38100</xdr:rowOff>
                  </from>
                  <to>
                    <xdr:col>1</xdr:col>
                    <xdr:colOff>620486</xdr:colOff>
                    <xdr:row>7</xdr:row>
                    <xdr:rowOff>160564</xdr:rowOff>
                  </to>
                </anchor>
              </controlPr>
            </control>
          </mc:Choice>
        </mc:AlternateContent>
        <mc:AlternateContent xmlns:mc="http://schemas.openxmlformats.org/markup-compatibility/2006">
          <mc:Choice Requires="x14">
            <control shapeId="55308" r:id="rId6" name="Button 12">
              <controlPr defaultSize="0" print="0" autoFill="0" autoPict="0" macro="[0]!GoToCostControl">
                <anchor moveWithCells="1">
                  <from>
                    <xdr:col>0</xdr:col>
                    <xdr:colOff>0</xdr:colOff>
                    <xdr:row>7</xdr:row>
                    <xdr:rowOff>160564</xdr:rowOff>
                  </from>
                  <to>
                    <xdr:col>1</xdr:col>
                    <xdr:colOff>620486</xdr:colOff>
                    <xdr:row>9</xdr:row>
                    <xdr:rowOff>106136</xdr:rowOff>
                  </to>
                </anchor>
              </controlPr>
            </control>
          </mc:Choice>
        </mc:AlternateContent>
        <mc:AlternateContent xmlns:mc="http://schemas.openxmlformats.org/markup-compatibility/2006">
          <mc:Choice Requires="x14">
            <control shapeId="55309" r:id="rId7" name="Button 13">
              <controlPr defaultSize="0" print="0" autoFill="0" autoPict="0" macro="[0]!GoToPurchord">
                <anchor moveWithCells="1">
                  <from>
                    <xdr:col>0</xdr:col>
                    <xdr:colOff>0</xdr:colOff>
                    <xdr:row>9</xdr:row>
                    <xdr:rowOff>106136</xdr:rowOff>
                  </from>
                  <to>
                    <xdr:col>1</xdr:col>
                    <xdr:colOff>620486</xdr:colOff>
                    <xdr:row>11</xdr:row>
                    <xdr:rowOff>76200</xdr:rowOff>
                  </to>
                </anchor>
              </controlPr>
            </control>
          </mc:Choice>
        </mc:AlternateContent>
        <mc:AlternateContent xmlns:mc="http://schemas.openxmlformats.org/markup-compatibility/2006">
          <mc:Choice Requires="x14">
            <control shapeId="55310" r:id="rId8" name="Button 14">
              <controlPr defaultSize="0" print="0" autoFill="0" autoPict="0" macro="[0]!GoToMasterTally">
                <anchor moveWithCells="1">
                  <from>
                    <xdr:col>0</xdr:col>
                    <xdr:colOff>0</xdr:colOff>
                    <xdr:row>11</xdr:row>
                    <xdr:rowOff>76200</xdr:rowOff>
                  </from>
                  <to>
                    <xdr:col>1</xdr:col>
                    <xdr:colOff>620486</xdr:colOff>
                    <xdr:row>13</xdr:row>
                    <xdr:rowOff>48986</xdr:rowOff>
                  </to>
                </anchor>
              </controlPr>
            </control>
          </mc:Choice>
        </mc:AlternateContent>
        <mc:AlternateContent xmlns:mc="http://schemas.openxmlformats.org/markup-compatibility/2006">
          <mc:Choice Requires="x14">
            <control shapeId="55312" r:id="rId9" name="Button 16">
              <controlPr defaultSize="0" print="0" autoFill="0" autoPict="0" macro="[0]!GoToInputTally">
                <anchor moveWithCells="1">
                  <from>
                    <xdr:col>0</xdr:col>
                    <xdr:colOff>0</xdr:colOff>
                    <xdr:row>13</xdr:row>
                    <xdr:rowOff>48986</xdr:rowOff>
                  </from>
                  <to>
                    <xdr:col>1</xdr:col>
                    <xdr:colOff>620486</xdr:colOff>
                    <xdr:row>15</xdr:row>
                    <xdr:rowOff>19050</xdr:rowOff>
                  </to>
                </anchor>
              </controlPr>
            </control>
          </mc:Choice>
        </mc:AlternateContent>
        <mc:AlternateContent xmlns:mc="http://schemas.openxmlformats.org/markup-compatibility/2006">
          <mc:Choice Requires="x14">
            <control shapeId="55313" r:id="rId10" name="Button 17">
              <controlPr defaultSize="0" print="0" autoFill="0" autoPict="0" macro="[0]!GoToLoad">
                <anchor moveWithCells="1">
                  <from>
                    <xdr:col>0</xdr:col>
                    <xdr:colOff>0</xdr:colOff>
                    <xdr:row>15</xdr:row>
                    <xdr:rowOff>19050</xdr:rowOff>
                  </from>
                  <to>
                    <xdr:col>1</xdr:col>
                    <xdr:colOff>620486</xdr:colOff>
                    <xdr:row>16</xdr:row>
                    <xdr:rowOff>152400</xdr:rowOff>
                  </to>
                </anchor>
              </controlPr>
            </control>
          </mc:Choice>
        </mc:AlternateContent>
        <mc:AlternateContent xmlns:mc="http://schemas.openxmlformats.org/markup-compatibility/2006">
          <mc:Choice Requires="x14">
            <control shapeId="55314" r:id="rId11" name="Button 18">
              <controlPr defaultSize="0" print="0" autoFill="0" autoPict="0" macro="[0]!GoToOperations">
                <anchor moveWithCells="1">
                  <from>
                    <xdr:col>1</xdr:col>
                    <xdr:colOff>612321</xdr:colOff>
                    <xdr:row>4</xdr:row>
                    <xdr:rowOff>76200</xdr:rowOff>
                  </from>
                  <to>
                    <xdr:col>3</xdr:col>
                    <xdr:colOff>601436</xdr:colOff>
                    <xdr:row>6</xdr:row>
                    <xdr:rowOff>38100</xdr:rowOff>
                  </to>
                </anchor>
              </controlPr>
            </control>
          </mc:Choice>
        </mc:AlternateContent>
        <mc:AlternateContent xmlns:mc="http://schemas.openxmlformats.org/markup-compatibility/2006">
          <mc:Choice Requires="x14">
            <control shapeId="55318" r:id="rId12" name="Button 22">
              <controlPr defaultSize="0" print="0" autoFill="0" autoPict="0" macro="[0]!RigInspection">
                <anchor moveWithCells="1">
                  <from>
                    <xdr:col>1</xdr:col>
                    <xdr:colOff>612321</xdr:colOff>
                    <xdr:row>7</xdr:row>
                    <xdr:rowOff>160564</xdr:rowOff>
                  </from>
                  <to>
                    <xdr:col>3</xdr:col>
                    <xdr:colOff>601436</xdr:colOff>
                    <xdr:row>9</xdr:row>
                    <xdr:rowOff>106136</xdr:rowOff>
                  </to>
                </anchor>
              </controlPr>
            </control>
          </mc:Choice>
        </mc:AlternateContent>
        <mc:AlternateContent xmlns:mc="http://schemas.openxmlformats.org/markup-compatibility/2006">
          <mc:Choice Requires="x14">
            <control shapeId="55319" r:id="rId13" name="Button 23">
              <controlPr defaultSize="0" print="0" autoFill="0" autoPict="0" macro="[0]!GoToTransfer">
                <anchor moveWithCells="1">
                  <from>
                    <xdr:col>1</xdr:col>
                    <xdr:colOff>612321</xdr:colOff>
                    <xdr:row>9</xdr:row>
                    <xdr:rowOff>106136</xdr:rowOff>
                  </from>
                  <to>
                    <xdr:col>3</xdr:col>
                    <xdr:colOff>601436</xdr:colOff>
                    <xdr:row>11</xdr:row>
                    <xdr:rowOff>76200</xdr:rowOff>
                  </to>
                </anchor>
              </controlPr>
            </control>
          </mc:Choice>
        </mc:AlternateContent>
        <mc:AlternateContent xmlns:mc="http://schemas.openxmlformats.org/markup-compatibility/2006">
          <mc:Choice Requires="x14">
            <control shapeId="55321" r:id="rId14" name="Button 25">
              <controlPr defaultSize="0" print="0" autoFill="0" autoPict="0" macro="[0]!GOTOSCVF">
                <anchor moveWithCells="1">
                  <from>
                    <xdr:col>1</xdr:col>
                    <xdr:colOff>612321</xdr:colOff>
                    <xdr:row>11</xdr:row>
                    <xdr:rowOff>76200</xdr:rowOff>
                  </from>
                  <to>
                    <xdr:col>3</xdr:col>
                    <xdr:colOff>601436</xdr:colOff>
                    <xdr:row>13</xdr:row>
                    <xdr:rowOff>48986</xdr:rowOff>
                  </to>
                </anchor>
              </controlPr>
            </control>
          </mc:Choice>
        </mc:AlternateContent>
        <mc:AlternateContent xmlns:mc="http://schemas.openxmlformats.org/markup-compatibility/2006">
          <mc:Choice Requires="x14">
            <control shapeId="55322" r:id="rId15" name="Button 26">
              <controlPr defaultSize="0" print="0" autoFill="0" autoPict="0" macro="[0]!GoToDepthCalc">
                <anchor moveWithCells="1">
                  <from>
                    <xdr:col>1</xdr:col>
                    <xdr:colOff>612321</xdr:colOff>
                    <xdr:row>13</xdr:row>
                    <xdr:rowOff>48986</xdr:rowOff>
                  </from>
                  <to>
                    <xdr:col>3</xdr:col>
                    <xdr:colOff>601436</xdr:colOff>
                    <xdr:row>15</xdr:row>
                    <xdr:rowOff>19050</xdr:rowOff>
                  </to>
                </anchor>
              </controlPr>
            </control>
          </mc:Choice>
        </mc:AlternateContent>
        <mc:AlternateContent xmlns:mc="http://schemas.openxmlformats.org/markup-compatibility/2006">
          <mc:Choice Requires="x14">
            <control shapeId="55323" r:id="rId16" name="Button 27">
              <controlPr defaultSize="0" print="0" autoFill="0" autoPict="0" macro="[0]!GOTOCoefficients">
                <anchor moveWithCells="1">
                  <from>
                    <xdr:col>1</xdr:col>
                    <xdr:colOff>612321</xdr:colOff>
                    <xdr:row>15</xdr:row>
                    <xdr:rowOff>19050</xdr:rowOff>
                  </from>
                  <to>
                    <xdr:col>3</xdr:col>
                    <xdr:colOff>601436</xdr:colOff>
                    <xdr:row>16</xdr:row>
                    <xdr:rowOff>152400</xdr:rowOff>
                  </to>
                </anchor>
              </controlPr>
            </control>
          </mc:Choice>
        </mc:AlternateContent>
        <mc:AlternateContent xmlns:mc="http://schemas.openxmlformats.org/markup-compatibility/2006">
          <mc:Choice Requires="x14">
            <control shapeId="55324" r:id="rId17" name="Button 28">
              <controlPr defaultSize="0" print="0" autoFill="0" autoPict="0" macro="[0]!ToGraphicsSheet">
                <anchor moveWithCells="1">
                  <from>
                    <xdr:col>3</xdr:col>
                    <xdr:colOff>593271</xdr:colOff>
                    <xdr:row>4</xdr:row>
                    <xdr:rowOff>76200</xdr:rowOff>
                  </from>
                  <to>
                    <xdr:col>5</xdr:col>
                    <xdr:colOff>582386</xdr:colOff>
                    <xdr:row>6</xdr:row>
                    <xdr:rowOff>38100</xdr:rowOff>
                  </to>
                </anchor>
              </controlPr>
            </control>
          </mc:Choice>
        </mc:AlternateContent>
        <mc:AlternateContent xmlns:mc="http://schemas.openxmlformats.org/markup-compatibility/2006">
          <mc:Choice Requires="x14">
            <control shapeId="55325" r:id="rId18" name="Button 29">
              <controlPr defaultSize="0" print="0" autoFill="0" autoPict="0" macro="[0]!GoToSchematic">
                <anchor moveWithCells="1">
                  <from>
                    <xdr:col>3</xdr:col>
                    <xdr:colOff>593271</xdr:colOff>
                    <xdr:row>6</xdr:row>
                    <xdr:rowOff>38100</xdr:rowOff>
                  </from>
                  <to>
                    <xdr:col>5</xdr:col>
                    <xdr:colOff>582386</xdr:colOff>
                    <xdr:row>7</xdr:row>
                    <xdr:rowOff>160564</xdr:rowOff>
                  </to>
                </anchor>
              </controlPr>
            </control>
          </mc:Choice>
        </mc:AlternateContent>
        <mc:AlternateContent xmlns:mc="http://schemas.openxmlformats.org/markup-compatibility/2006">
          <mc:Choice Requires="x14">
            <control shapeId="55327" r:id="rId19" name="Button 31">
              <controlPr defaultSize="0" print="0" autoFill="0" autoPict="0" macro="[0]!ToTubingRod">
                <anchor moveWithCells="1">
                  <from>
                    <xdr:col>3</xdr:col>
                    <xdr:colOff>593271</xdr:colOff>
                    <xdr:row>9</xdr:row>
                    <xdr:rowOff>106136</xdr:rowOff>
                  </from>
                  <to>
                    <xdr:col>5</xdr:col>
                    <xdr:colOff>582386</xdr:colOff>
                    <xdr:row>11</xdr:row>
                    <xdr:rowOff>76200</xdr:rowOff>
                  </to>
                </anchor>
              </controlPr>
            </control>
          </mc:Choice>
        </mc:AlternateContent>
        <mc:AlternateContent xmlns:mc="http://schemas.openxmlformats.org/markup-compatibility/2006">
          <mc:Choice Requires="x14">
            <control shapeId="55329" r:id="rId20" name="Button 33">
              <controlPr defaultSize="0" print="0" autoFill="0" autoPict="0" macro="[0]!ToProgram">
                <anchor moveWithCells="1">
                  <from>
                    <xdr:col>3</xdr:col>
                    <xdr:colOff>593271</xdr:colOff>
                    <xdr:row>13</xdr:row>
                    <xdr:rowOff>48986</xdr:rowOff>
                  </from>
                  <to>
                    <xdr:col>5</xdr:col>
                    <xdr:colOff>582386</xdr:colOff>
                    <xdr:row>15</xdr:row>
                    <xdr:rowOff>19050</xdr:rowOff>
                  </to>
                </anchor>
              </controlPr>
            </control>
          </mc:Choice>
        </mc:AlternateContent>
        <mc:AlternateContent xmlns:mc="http://schemas.openxmlformats.org/markup-compatibility/2006">
          <mc:Choice Requires="x14">
            <control shapeId="55330" r:id="rId21" name="Button 34">
              <controlPr defaultSize="0" print="0" autoFill="0" autoPict="0" macro="[0]!ToCoverPage">
                <anchor moveWithCells="1">
                  <from>
                    <xdr:col>3</xdr:col>
                    <xdr:colOff>593271</xdr:colOff>
                    <xdr:row>15</xdr:row>
                    <xdr:rowOff>19050</xdr:rowOff>
                  </from>
                  <to>
                    <xdr:col>5</xdr:col>
                    <xdr:colOff>582386</xdr:colOff>
                    <xdr:row>16</xdr:row>
                    <xdr:rowOff>152400</xdr:rowOff>
                  </to>
                </anchor>
              </controlPr>
            </control>
          </mc:Choice>
        </mc:AlternateContent>
        <mc:AlternateContent xmlns:mc="http://schemas.openxmlformats.org/markup-compatibility/2006">
          <mc:Choice Requires="x14">
            <control shapeId="55333" r:id="rId22" name="Button 37">
              <controlPr defaultSize="0" print="0" autoFill="0" autoPict="0" macro="[0]!GOTOAFE">
                <anchor moveWithCells="1">
                  <from>
                    <xdr:col>1</xdr:col>
                    <xdr:colOff>620486</xdr:colOff>
                    <xdr:row>6</xdr:row>
                    <xdr:rowOff>38100</xdr:rowOff>
                  </from>
                  <to>
                    <xdr:col>3</xdr:col>
                    <xdr:colOff>601436</xdr:colOff>
                    <xdr:row>7</xdr:row>
                    <xdr:rowOff>152400</xdr:rowOff>
                  </to>
                </anchor>
              </controlPr>
            </control>
          </mc:Choice>
        </mc:AlternateContent>
        <mc:AlternateContent xmlns:mc="http://schemas.openxmlformats.org/markup-compatibility/2006">
          <mc:Choice Requires="x14">
            <control shapeId="55334" r:id="rId23" name="Button 38">
              <controlPr defaultSize="0" print="0" autoFill="0" autoPict="0" macro="[0]!GoToVoucher">
                <anchor moveWithCells="1">
                  <from>
                    <xdr:col>3</xdr:col>
                    <xdr:colOff>593271</xdr:colOff>
                    <xdr:row>11</xdr:row>
                    <xdr:rowOff>76200</xdr:rowOff>
                  </from>
                  <to>
                    <xdr:col>5</xdr:col>
                    <xdr:colOff>582386</xdr:colOff>
                    <xdr:row>13</xdr:row>
                    <xdr:rowOff>38100</xdr:rowOff>
                  </to>
                </anchor>
              </controlPr>
            </control>
          </mc:Choice>
        </mc:AlternateContent>
        <mc:AlternateContent xmlns:mc="http://schemas.openxmlformats.org/markup-compatibility/2006">
          <mc:Choice Requires="x14">
            <control shapeId="55336" r:id="rId24" name="Button 40">
              <controlPr defaultSize="0" print="0" autoFill="0" autoPict="0" macro="[0]!GOTO_RigNotification">
                <anchor moveWithCells="1">
                  <from>
                    <xdr:col>5</xdr:col>
                    <xdr:colOff>582386</xdr:colOff>
                    <xdr:row>4</xdr:row>
                    <xdr:rowOff>76200</xdr:rowOff>
                  </from>
                  <to>
                    <xdr:col>7</xdr:col>
                    <xdr:colOff>571500</xdr:colOff>
                    <xdr:row>6</xdr:row>
                    <xdr:rowOff>38100</xdr:rowOff>
                  </to>
                </anchor>
              </controlPr>
            </control>
          </mc:Choice>
        </mc:AlternateContent>
        <mc:AlternateContent xmlns:mc="http://schemas.openxmlformats.org/markup-compatibility/2006">
          <mc:Choice Requires="x14">
            <control shapeId="55337" r:id="rId25" name="Button 41">
              <controlPr defaultSize="0" print="0" autoFill="0" autoPict="0" macro="[0]!GoToRentals">
                <anchor moveWithCells="1">
                  <from>
                    <xdr:col>5</xdr:col>
                    <xdr:colOff>582386</xdr:colOff>
                    <xdr:row>6</xdr:row>
                    <xdr:rowOff>38100</xdr:rowOff>
                  </from>
                  <to>
                    <xdr:col>7</xdr:col>
                    <xdr:colOff>571500</xdr:colOff>
                    <xdr:row>7</xdr:row>
                    <xdr:rowOff>160564</xdr:rowOff>
                  </to>
                </anchor>
              </controlPr>
            </control>
          </mc:Choice>
        </mc:AlternateContent>
        <mc:AlternateContent xmlns:mc="http://schemas.openxmlformats.org/markup-compatibility/2006">
          <mc:Choice Requires="x14">
            <control shapeId="55339" r:id="rId26" name="Button 43">
              <controlPr defaultSize="0" print="0" autoFill="0" autoPict="0" macro="[0]!GoToPrintChecklist">
                <anchor moveWithCells="1">
                  <from>
                    <xdr:col>5</xdr:col>
                    <xdr:colOff>582386</xdr:colOff>
                    <xdr:row>7</xdr:row>
                    <xdr:rowOff>160564</xdr:rowOff>
                  </from>
                  <to>
                    <xdr:col>7</xdr:col>
                    <xdr:colOff>571500</xdr:colOff>
                    <xdr:row>9</xdr:row>
                    <xdr:rowOff>106136</xdr:rowOff>
                  </to>
                </anchor>
              </controlPr>
            </control>
          </mc:Choice>
        </mc:AlternateContent>
        <mc:AlternateContent xmlns:mc="http://schemas.openxmlformats.org/markup-compatibility/2006">
          <mc:Choice Requires="x14">
            <control shapeId="55340" r:id="rId27" name="Button 44">
              <controlPr defaultSize="0" print="0" autoFill="0" autoPict="0" macro="[0]!GoToRegister">
                <anchor moveWithCells="1">
                  <from>
                    <xdr:col>5</xdr:col>
                    <xdr:colOff>582386</xdr:colOff>
                    <xdr:row>9</xdr:row>
                    <xdr:rowOff>106136</xdr:rowOff>
                  </from>
                  <to>
                    <xdr:col>7</xdr:col>
                    <xdr:colOff>571500</xdr:colOff>
                    <xdr:row>11</xdr:row>
                    <xdr:rowOff>76200</xdr:rowOff>
                  </to>
                </anchor>
              </controlPr>
            </control>
          </mc:Choice>
        </mc:AlternateContent>
        <mc:AlternateContent xmlns:mc="http://schemas.openxmlformats.org/markup-compatibility/2006">
          <mc:Choice Requires="x14">
            <control shapeId="55341" r:id="rId28" name="Button 45">
              <controlPr defaultSize="0" print="0" autoFill="0" autoPict="0" macro="[0]!DDS">
                <anchor moveWithCells="1">
                  <from>
                    <xdr:col>0</xdr:col>
                    <xdr:colOff>0</xdr:colOff>
                    <xdr:row>16</xdr:row>
                    <xdr:rowOff>152400</xdr:rowOff>
                  </from>
                  <to>
                    <xdr:col>1</xdr:col>
                    <xdr:colOff>620486</xdr:colOff>
                    <xdr:row>18</xdr:row>
                    <xdr:rowOff>125186</xdr:rowOff>
                  </to>
                </anchor>
              </controlPr>
            </control>
          </mc:Choice>
        </mc:AlternateContent>
        <mc:AlternateContent xmlns:mc="http://schemas.openxmlformats.org/markup-compatibility/2006">
          <mc:Choice Requires="x14">
            <control shapeId="55342" r:id="rId29" name="Button 46">
              <controlPr defaultSize="0" print="0" autoFill="0" autoPict="0" macro="[0]!GOTODATA">
                <anchor moveWithCells="1">
                  <from>
                    <xdr:col>1</xdr:col>
                    <xdr:colOff>593271</xdr:colOff>
                    <xdr:row>19</xdr:row>
                    <xdr:rowOff>133350</xdr:rowOff>
                  </from>
                  <to>
                    <xdr:col>6</xdr:col>
                    <xdr:colOff>157843</xdr:colOff>
                    <xdr:row>22</xdr:row>
                    <xdr:rowOff>144236</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97A98-CF1E-4714-A3D2-D1A92349D20D}">
  <sheetPr codeName="Sheet45"/>
  <dimension ref="J1:R51"/>
  <sheetViews>
    <sheetView workbookViewId="0">
      <selection activeCell="J14" sqref="J14:R15"/>
    </sheetView>
  </sheetViews>
  <sheetFormatPr defaultRowHeight="12.9"/>
  <sheetData>
    <row r="1" spans="10:18">
      <c r="J1" s="42"/>
      <c r="K1" s="50"/>
      <c r="L1" s="50"/>
      <c r="M1" s="50"/>
      <c r="N1" s="50"/>
      <c r="O1" s="50"/>
      <c r="P1" s="50"/>
      <c r="Q1" s="50"/>
      <c r="R1" s="43"/>
    </row>
    <row r="2" spans="10:18">
      <c r="J2" s="44"/>
      <c r="R2" s="45"/>
    </row>
    <row r="3" spans="10:18">
      <c r="J3" s="44"/>
      <c r="R3" s="45"/>
    </row>
    <row r="4" spans="10:18">
      <c r="J4" s="44"/>
      <c r="R4" s="45"/>
    </row>
    <row r="5" spans="10:18">
      <c r="J5" s="44"/>
      <c r="R5" s="45"/>
    </row>
    <row r="6" spans="10:18">
      <c r="J6" s="1889">
        <f>Summary!C5</f>
        <v>0</v>
      </c>
      <c r="K6" s="1890"/>
      <c r="L6" s="1890"/>
      <c r="M6" s="1890"/>
      <c r="N6" s="1890"/>
      <c r="O6" s="1890"/>
      <c r="P6" s="1890"/>
      <c r="Q6" s="1890"/>
      <c r="R6" s="1891"/>
    </row>
    <row r="7" spans="10:18">
      <c r="J7" s="1889"/>
      <c r="K7" s="1890"/>
      <c r="L7" s="1890"/>
      <c r="M7" s="1890"/>
      <c r="N7" s="1890"/>
      <c r="O7" s="1890"/>
      <c r="P7" s="1890"/>
      <c r="Q7" s="1890"/>
      <c r="R7" s="1891"/>
    </row>
    <row r="8" spans="10:18">
      <c r="J8" s="44"/>
      <c r="R8" s="45"/>
    </row>
    <row r="9" spans="10:18">
      <c r="J9" s="1889">
        <f>Summary!C6</f>
        <v>0</v>
      </c>
      <c r="K9" s="1890"/>
      <c r="L9" s="1890"/>
      <c r="M9" s="1890"/>
      <c r="N9" s="1890"/>
      <c r="O9" s="1890"/>
      <c r="P9" s="1890"/>
      <c r="Q9" s="1890"/>
      <c r="R9" s="1891"/>
    </row>
    <row r="10" spans="10:18">
      <c r="J10" s="1889"/>
      <c r="K10" s="1890"/>
      <c r="L10" s="1890"/>
      <c r="M10" s="1890"/>
      <c r="N10" s="1890"/>
      <c r="O10" s="1890"/>
      <c r="P10" s="1890"/>
      <c r="Q10" s="1890"/>
      <c r="R10" s="1891"/>
    </row>
    <row r="11" spans="10:18">
      <c r="J11" s="44"/>
      <c r="R11" s="45"/>
    </row>
    <row r="12" spans="10:18">
      <c r="J12" s="44"/>
      <c r="R12" s="45"/>
    </row>
    <row r="13" spans="10:18">
      <c r="J13" s="44"/>
      <c r="R13" s="45"/>
    </row>
    <row r="14" spans="10:18">
      <c r="J14" s="1892">
        <f>Summary!C3</f>
        <v>0</v>
      </c>
      <c r="K14" s="1893"/>
      <c r="L14" s="1893"/>
      <c r="M14" s="1893"/>
      <c r="N14" s="1893"/>
      <c r="O14" s="1893"/>
      <c r="P14" s="1893"/>
      <c r="Q14" s="1893"/>
      <c r="R14" s="1894"/>
    </row>
    <row r="15" spans="10:18">
      <c r="J15" s="1892"/>
      <c r="K15" s="1893"/>
      <c r="L15" s="1893"/>
      <c r="M15" s="1893"/>
      <c r="N15" s="1893"/>
      <c r="O15" s="1893"/>
      <c r="P15" s="1893"/>
      <c r="Q15" s="1893"/>
      <c r="R15" s="1894"/>
    </row>
    <row r="16" spans="10:18">
      <c r="J16" s="44"/>
      <c r="R16" s="45"/>
    </row>
    <row r="17" spans="10:18" ht="13.1">
      <c r="J17" s="44"/>
      <c r="M17" s="1664" t="s">
        <v>1268</v>
      </c>
      <c r="N17" s="1664"/>
      <c r="O17" s="1664"/>
      <c r="R17" s="45"/>
    </row>
    <row r="18" spans="10:18">
      <c r="J18" s="44"/>
      <c r="R18" s="45"/>
    </row>
    <row r="19" spans="10:18">
      <c r="J19" s="1886">
        <f>Summary!C4</f>
        <v>0</v>
      </c>
      <c r="K19" s="1887"/>
      <c r="L19" s="1887"/>
      <c r="M19" s="1887"/>
      <c r="N19" s="1887"/>
      <c r="O19" s="1887"/>
      <c r="P19" s="1887"/>
      <c r="Q19" s="1887"/>
      <c r="R19" s="1888"/>
    </row>
    <row r="20" spans="10:18">
      <c r="J20" s="1886"/>
      <c r="K20" s="1887"/>
      <c r="L20" s="1887"/>
      <c r="M20" s="1887"/>
      <c r="N20" s="1887"/>
      <c r="O20" s="1887"/>
      <c r="P20" s="1887"/>
      <c r="Q20" s="1887"/>
      <c r="R20" s="1888"/>
    </row>
    <row r="21" spans="10:18">
      <c r="J21" s="44"/>
      <c r="R21" s="45"/>
    </row>
    <row r="22" spans="10:18">
      <c r="J22" s="44"/>
      <c r="R22" s="45"/>
    </row>
    <row r="23" spans="10:18">
      <c r="J23" s="44"/>
      <c r="R23" s="45"/>
    </row>
    <row r="24" spans="10:18">
      <c r="J24" s="44"/>
      <c r="R24" s="45"/>
    </row>
    <row r="25" spans="10:18">
      <c r="J25" s="44"/>
      <c r="R25" s="45"/>
    </row>
    <row r="26" spans="10:18">
      <c r="J26" s="44"/>
      <c r="R26" s="45"/>
    </row>
    <row r="27" spans="10:18">
      <c r="J27" s="44"/>
      <c r="R27" s="45"/>
    </row>
    <row r="28" spans="10:18">
      <c r="J28" s="44"/>
      <c r="R28" s="45"/>
    </row>
    <row r="29" spans="10:18">
      <c r="J29" s="44"/>
      <c r="R29" s="45"/>
    </row>
    <row r="30" spans="10:18">
      <c r="J30" s="44"/>
      <c r="R30" s="45"/>
    </row>
    <row r="31" spans="10:18">
      <c r="J31" s="44"/>
      <c r="R31" s="45"/>
    </row>
    <row r="32" spans="10:18">
      <c r="J32" s="44"/>
      <c r="R32" s="45"/>
    </row>
    <row r="33" spans="10:18">
      <c r="J33" s="44"/>
      <c r="R33" s="45"/>
    </row>
    <row r="34" spans="10:18">
      <c r="J34" s="44"/>
      <c r="R34" s="45"/>
    </row>
    <row r="35" spans="10:18">
      <c r="J35" s="44"/>
      <c r="R35" s="45"/>
    </row>
    <row r="36" spans="10:18">
      <c r="J36" s="44"/>
      <c r="R36" s="45"/>
    </row>
    <row r="37" spans="10:18">
      <c r="J37" s="44"/>
      <c r="R37" s="45"/>
    </row>
    <row r="38" spans="10:18">
      <c r="J38" s="44"/>
      <c r="R38" s="45"/>
    </row>
    <row r="39" spans="10:18">
      <c r="J39" s="44"/>
      <c r="R39" s="45"/>
    </row>
    <row r="40" spans="10:18">
      <c r="J40" s="44"/>
      <c r="R40" s="45"/>
    </row>
    <row r="41" spans="10:18">
      <c r="J41" s="44"/>
      <c r="R41" s="45"/>
    </row>
    <row r="42" spans="10:18">
      <c r="J42" s="44"/>
      <c r="R42" s="45"/>
    </row>
    <row r="43" spans="10:18">
      <c r="J43" s="44"/>
      <c r="R43" s="45"/>
    </row>
    <row r="44" spans="10:18">
      <c r="J44" s="44"/>
      <c r="R44" s="45"/>
    </row>
    <row r="45" spans="10:18">
      <c r="J45" s="44"/>
      <c r="R45" s="45"/>
    </row>
    <row r="46" spans="10:18">
      <c r="J46" s="44"/>
      <c r="R46" s="45"/>
    </row>
    <row r="47" spans="10:18">
      <c r="J47" s="44"/>
      <c r="R47" s="45"/>
    </row>
    <row r="48" spans="10:18">
      <c r="J48" s="44"/>
      <c r="R48" s="45"/>
    </row>
    <row r="49" spans="10:18">
      <c r="J49" s="44"/>
      <c r="R49" s="45"/>
    </row>
    <row r="50" spans="10:18">
      <c r="J50" s="44"/>
      <c r="R50" s="45"/>
    </row>
    <row r="51" spans="10:18" ht="13.5" thickBot="1">
      <c r="J51" s="46"/>
      <c r="K51" s="21"/>
      <c r="L51" s="21"/>
      <c r="M51" s="21"/>
      <c r="N51" s="21"/>
      <c r="O51" s="21"/>
      <c r="P51" s="21"/>
      <c r="Q51" s="21"/>
      <c r="R51" s="47"/>
    </row>
  </sheetData>
  <mergeCells count="5">
    <mergeCell ref="J19:R20"/>
    <mergeCell ref="J6:R7"/>
    <mergeCell ref="J9:R10"/>
    <mergeCell ref="J14:R15"/>
    <mergeCell ref="M17:O17"/>
  </mergeCells>
  <phoneticPr fontId="118" type="noConversion"/>
  <pageMargins left="0.75" right="0.75" top="1" bottom="1" header="0.5" footer="0.5"/>
  <pageSetup orientation="portrait" horizontalDpi="4294967293"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8" r:id="rId4" name="Button 2">
              <controlPr defaultSize="0" print="0" autoFill="0" autoPict="0" macro="[0]!BACKTOMENU">
                <anchor moveWithCells="1">
                  <from>
                    <xdr:col>15</xdr:col>
                    <xdr:colOff>503464</xdr:colOff>
                    <xdr:row>0</xdr:row>
                    <xdr:rowOff>48986</xdr:rowOff>
                  </from>
                  <to>
                    <xdr:col>17</xdr:col>
                    <xdr:colOff>571500</xdr:colOff>
                    <xdr:row>1</xdr:row>
                    <xdr:rowOff>87086</xdr:rowOff>
                  </to>
                </anchor>
              </controlPr>
            </control>
          </mc:Choice>
        </mc:AlternateContent>
        <mc:AlternateContent xmlns:mc="http://schemas.openxmlformats.org/markup-compatibility/2006">
          <mc:Choice Requires="x14">
            <control shapeId="65539" r:id="rId5" name="Button 3">
              <controlPr defaultSize="0" print="0" autoFill="0" autoPict="0" macro="[0]!BACKTOMENU">
                <anchor moveWithCells="1">
                  <from>
                    <xdr:col>9</xdr:col>
                    <xdr:colOff>78921</xdr:colOff>
                    <xdr:row>0</xdr:row>
                    <xdr:rowOff>29936</xdr:rowOff>
                  </from>
                  <to>
                    <xdr:col>11</xdr:col>
                    <xdr:colOff>146957</xdr:colOff>
                    <xdr:row>1</xdr:row>
                    <xdr:rowOff>68036</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79803-C03F-4E50-8C92-320D04C41B00}">
  <sheetPr codeName="Sheet14"/>
  <dimension ref="A1:K64"/>
  <sheetViews>
    <sheetView showGridLines="0" showZeros="0" zoomScale="125" workbookViewId="0">
      <selection activeCell="E70" sqref="E70"/>
    </sheetView>
  </sheetViews>
  <sheetFormatPr defaultRowHeight="12.9"/>
  <cols>
    <col min="1" max="1" width="7" customWidth="1"/>
    <col min="5" max="5" width="14.57421875" customWidth="1"/>
    <col min="7" max="7" width="9.69140625" customWidth="1"/>
  </cols>
  <sheetData>
    <row r="1" spans="1:11">
      <c r="A1" s="1920">
        <f>Summary!A2</f>
        <v>0</v>
      </c>
      <c r="B1" s="1921"/>
      <c r="C1" s="1921"/>
      <c r="D1" s="1921"/>
      <c r="E1" s="1921"/>
      <c r="F1" s="1921"/>
      <c r="G1" s="1921"/>
      <c r="H1" s="1921"/>
      <c r="I1" s="1921"/>
      <c r="J1" s="1921"/>
      <c r="K1" s="1922"/>
    </row>
    <row r="2" spans="1:11">
      <c r="A2" s="1923"/>
      <c r="B2" s="1924"/>
      <c r="C2" s="1924"/>
      <c r="D2" s="1924"/>
      <c r="E2" s="1924"/>
      <c r="F2" s="1924"/>
      <c r="G2" s="1924"/>
      <c r="H2" s="1924"/>
      <c r="I2" s="1924"/>
      <c r="J2" s="1924"/>
      <c r="K2" s="1925"/>
    </row>
    <row r="3" spans="1:11">
      <c r="A3" s="1504"/>
      <c r="B3" s="694"/>
      <c r="C3" s="694"/>
      <c r="D3" s="694"/>
      <c r="E3" s="694"/>
      <c r="F3" s="694"/>
      <c r="G3" s="694"/>
      <c r="H3" s="694"/>
      <c r="I3" s="694"/>
      <c r="J3" s="694"/>
      <c r="K3" s="1505"/>
    </row>
    <row r="4" spans="1:11">
      <c r="A4" s="1504"/>
      <c r="B4" s="694"/>
      <c r="C4" s="694"/>
      <c r="D4" s="694"/>
      <c r="E4" s="694"/>
      <c r="F4" s="694"/>
      <c r="G4" s="694"/>
      <c r="H4" s="694"/>
      <c r="I4" s="694"/>
      <c r="J4" s="694"/>
      <c r="K4" s="1505"/>
    </row>
    <row r="5" spans="1:11">
      <c r="A5" s="1506" t="s">
        <v>634</v>
      </c>
      <c r="B5" s="1507">
        <f>Summary!C6</f>
        <v>0</v>
      </c>
      <c r="C5" s="686"/>
      <c r="D5" s="686"/>
      <c r="E5" s="686"/>
      <c r="F5" s="686"/>
      <c r="G5" s="686" t="s">
        <v>221</v>
      </c>
      <c r="H5" s="1907">
        <f>Summary!C4</f>
        <v>0</v>
      </c>
      <c r="I5" s="1907"/>
      <c r="J5" s="686"/>
      <c r="K5" s="1508"/>
    </row>
    <row r="6" spans="1:11">
      <c r="A6" s="1506"/>
      <c r="B6" s="686"/>
      <c r="C6" s="686"/>
      <c r="D6" s="686"/>
      <c r="E6" s="686"/>
      <c r="F6" s="686"/>
      <c r="G6" s="686"/>
      <c r="H6" s="686"/>
      <c r="I6" s="686"/>
      <c r="J6" s="686" t="s">
        <v>439</v>
      </c>
      <c r="K6" s="1508"/>
    </row>
    <row r="7" spans="1:11">
      <c r="A7" s="1509" t="s">
        <v>830</v>
      </c>
      <c r="B7" s="1510">
        <f>Summary!F12</f>
        <v>0</v>
      </c>
      <c r="C7" s="686" t="s">
        <v>512</v>
      </c>
      <c r="D7" s="1511" t="s">
        <v>829</v>
      </c>
      <c r="E7" s="1510">
        <f>Summary!D12</f>
        <v>0</v>
      </c>
      <c r="F7" s="1521" t="s">
        <v>512</v>
      </c>
      <c r="G7" s="1512" t="s">
        <v>831</v>
      </c>
      <c r="H7" s="1513">
        <f>F43</f>
        <v>0</v>
      </c>
      <c r="I7" s="1521" t="s">
        <v>512</v>
      </c>
      <c r="J7" s="1513">
        <f>Summary!C22</f>
        <v>0</v>
      </c>
      <c r="K7" s="1522" t="s">
        <v>360</v>
      </c>
    </row>
    <row r="8" spans="1:11">
      <c r="A8" s="1506"/>
      <c r="B8" s="686"/>
      <c r="C8" s="686"/>
      <c r="D8" s="686"/>
      <c r="E8" s="686"/>
      <c r="F8" s="686"/>
      <c r="G8" s="686"/>
      <c r="H8" s="686"/>
      <c r="I8" s="686"/>
      <c r="J8" s="686"/>
      <c r="K8" s="1508"/>
    </row>
    <row r="9" spans="1:11">
      <c r="A9" s="1506" t="s">
        <v>179</v>
      </c>
      <c r="B9" s="686"/>
      <c r="C9" s="1760" t="str">
        <f>CONCATENATE(DATA!C22," ",DATA!C23)</f>
        <v xml:space="preserve"> </v>
      </c>
      <c r="D9" s="1760"/>
      <c r="E9" s="1760"/>
      <c r="F9" s="1760"/>
      <c r="G9" s="1760"/>
      <c r="H9" s="1760"/>
      <c r="I9" s="1760"/>
      <c r="J9" s="1760"/>
      <c r="K9" s="1914"/>
    </row>
    <row r="10" spans="1:11">
      <c r="A10" s="1506"/>
      <c r="B10" s="686"/>
      <c r="C10" s="1514"/>
      <c r="D10" s="1507"/>
      <c r="E10" s="1514"/>
      <c r="F10" s="1507"/>
      <c r="G10" s="1514"/>
      <c r="H10" s="1507"/>
      <c r="I10" s="1514"/>
      <c r="J10" s="1515"/>
      <c r="K10" s="1508"/>
    </row>
    <row r="11" spans="1:11">
      <c r="A11" s="1506"/>
      <c r="B11" s="686"/>
      <c r="C11" s="1514" t="s">
        <v>169</v>
      </c>
      <c r="D11" s="1513">
        <f>Summary!C23</f>
        <v>0</v>
      </c>
      <c r="E11" s="1521" t="s">
        <v>360</v>
      </c>
      <c r="F11" s="686"/>
      <c r="G11" s="686"/>
      <c r="H11" s="686"/>
      <c r="I11" s="686"/>
      <c r="J11" s="686"/>
      <c r="K11" s="1508"/>
    </row>
    <row r="12" spans="1:11">
      <c r="A12" s="1506" t="s">
        <v>827</v>
      </c>
      <c r="B12" s="1941"/>
      <c r="C12" s="1941"/>
      <c r="D12" s="1941"/>
      <c r="E12" s="1941"/>
      <c r="F12" s="1941"/>
      <c r="G12" s="1941"/>
      <c r="H12" s="1941"/>
      <c r="I12" s="1941"/>
      <c r="J12" s="1941"/>
      <c r="K12" s="1942"/>
    </row>
    <row r="13" spans="1:11">
      <c r="A13" s="1506"/>
      <c r="B13" s="686"/>
      <c r="C13" s="686"/>
      <c r="D13" s="686"/>
      <c r="E13" s="686"/>
      <c r="F13" s="686"/>
      <c r="G13" s="686"/>
      <c r="H13" s="686"/>
      <c r="I13" s="686"/>
      <c r="J13" s="686"/>
      <c r="K13" s="1508"/>
    </row>
    <row r="14" spans="1:11">
      <c r="A14" s="1506" t="s">
        <v>828</v>
      </c>
      <c r="B14" s="686"/>
      <c r="C14" s="1516">
        <f>Summary!C32</f>
        <v>0</v>
      </c>
      <c r="D14" s="686"/>
      <c r="E14" s="686"/>
      <c r="F14" s="686" t="s">
        <v>832</v>
      </c>
      <c r="G14" s="1516">
        <f>Summary!C33</f>
        <v>0</v>
      </c>
      <c r="H14" s="1516"/>
      <c r="I14" s="1516"/>
      <c r="J14" s="1516"/>
      <c r="K14" s="1508"/>
    </row>
    <row r="15" spans="1:11">
      <c r="A15" s="1506"/>
      <c r="B15" s="686"/>
      <c r="C15" s="1517"/>
      <c r="D15" s="686"/>
      <c r="E15" s="686"/>
      <c r="F15" s="686"/>
      <c r="G15" s="1516">
        <f>Summary!C34</f>
        <v>0</v>
      </c>
      <c r="H15" s="1516"/>
      <c r="I15" s="1516"/>
      <c r="J15" s="1516"/>
      <c r="K15" s="1508"/>
    </row>
    <row r="16" spans="1:11">
      <c r="A16" s="1506"/>
      <c r="B16" s="686"/>
      <c r="C16" s="1517"/>
      <c r="D16" s="686"/>
      <c r="E16" s="686"/>
      <c r="F16" s="686"/>
      <c r="G16" s="1516">
        <f>Summary!C35</f>
        <v>0</v>
      </c>
      <c r="H16" s="1516"/>
      <c r="I16" s="1516"/>
      <c r="J16" s="1516"/>
      <c r="K16" s="1508"/>
    </row>
    <row r="17" spans="1:11">
      <c r="A17" s="1506"/>
      <c r="B17" s="686"/>
      <c r="C17" s="1516">
        <f>Summary!F32</f>
        <v>0</v>
      </c>
      <c r="D17" s="686"/>
      <c r="E17" s="686"/>
      <c r="F17" s="686"/>
      <c r="G17" s="1516">
        <f>Summary!F33</f>
        <v>0</v>
      </c>
      <c r="H17" s="1516"/>
      <c r="I17" s="1516"/>
      <c r="J17" s="1516"/>
      <c r="K17" s="1508"/>
    </row>
    <row r="18" spans="1:11">
      <c r="A18" s="1506"/>
      <c r="B18" s="686"/>
      <c r="C18" s="1516"/>
      <c r="D18" s="686"/>
      <c r="E18" s="686"/>
      <c r="F18" s="686"/>
      <c r="G18" s="1516">
        <f>Summary!F34</f>
        <v>0</v>
      </c>
      <c r="H18" s="1516"/>
      <c r="I18" s="1516"/>
      <c r="J18" s="1516"/>
      <c r="K18" s="1508"/>
    </row>
    <row r="19" spans="1:11">
      <c r="A19" s="1506"/>
      <c r="B19" s="686"/>
      <c r="C19" s="686"/>
      <c r="D19" s="686"/>
      <c r="E19" s="686"/>
      <c r="F19" s="686"/>
      <c r="G19" s="1516">
        <f>Summary!F35</f>
        <v>0</v>
      </c>
      <c r="H19" s="1516"/>
      <c r="I19" s="1516"/>
      <c r="J19" s="1516"/>
      <c r="K19" s="1508"/>
    </row>
    <row r="20" spans="1:11" ht="13.1">
      <c r="A20" s="1504"/>
      <c r="B20" s="694"/>
      <c r="C20" s="1518">
        <f>Summary!H32</f>
        <v>0</v>
      </c>
      <c r="D20" s="694"/>
      <c r="E20" s="694"/>
      <c r="F20" s="694"/>
      <c r="G20" s="1516">
        <f>Summary!H33</f>
        <v>0</v>
      </c>
      <c r="H20" s="1518"/>
      <c r="I20" s="1518"/>
      <c r="J20" s="1518"/>
      <c r="K20" s="1519"/>
    </row>
    <row r="21" spans="1:11" ht="13.1">
      <c r="A21" s="1504"/>
      <c r="B21" s="694"/>
      <c r="C21" s="1520"/>
      <c r="D21" s="694"/>
      <c r="E21" s="694"/>
      <c r="F21" s="694"/>
      <c r="G21" s="1516">
        <f>Summary!H34</f>
        <v>0</v>
      </c>
      <c r="H21" s="1518"/>
      <c r="I21" s="1518"/>
      <c r="J21" s="1518"/>
      <c r="K21" s="1519"/>
    </row>
    <row r="22" spans="1:11" ht="13.1">
      <c r="A22" s="1504"/>
      <c r="B22" s="694"/>
      <c r="C22" s="1520"/>
      <c r="D22" s="694"/>
      <c r="E22" s="694"/>
      <c r="F22" s="694"/>
      <c r="G22" s="1516">
        <f>Summary!H35</f>
        <v>0</v>
      </c>
      <c r="H22" s="1518"/>
      <c r="I22" s="1518"/>
      <c r="J22" s="1518"/>
      <c r="K22" s="1519"/>
    </row>
    <row r="23" spans="1:11" ht="11.25" customHeight="1">
      <c r="A23" s="44"/>
      <c r="B23" s="653" t="s">
        <v>1547</v>
      </c>
      <c r="C23" s="1523" t="s">
        <v>1526</v>
      </c>
      <c r="G23" s="168"/>
      <c r="H23" s="22"/>
      <c r="I23" s="22"/>
      <c r="J23" s="22"/>
      <c r="K23" s="144"/>
    </row>
    <row r="24" spans="1:11" ht="21" customHeight="1">
      <c r="A24" s="44"/>
      <c r="B24" s="1911" t="s">
        <v>940</v>
      </c>
      <c r="C24" s="1912"/>
      <c r="D24" s="1912"/>
      <c r="E24" s="1912"/>
      <c r="F24" s="1912"/>
      <c r="G24" s="1912"/>
      <c r="H24" s="1912"/>
      <c r="I24" s="1912"/>
      <c r="J24" s="1913"/>
      <c r="K24" s="144"/>
    </row>
    <row r="25" spans="1:11" ht="13.1">
      <c r="A25" s="44"/>
      <c r="B25" s="463" t="s">
        <v>213</v>
      </c>
      <c r="C25" s="1908" t="s">
        <v>939</v>
      </c>
      <c r="D25" s="1909"/>
      <c r="E25" s="1910"/>
      <c r="F25" s="130" t="s">
        <v>156</v>
      </c>
      <c r="G25" s="1503" t="s">
        <v>1548</v>
      </c>
      <c r="H25" s="1908" t="s">
        <v>869</v>
      </c>
      <c r="I25" s="1909"/>
      <c r="J25" s="1910"/>
      <c r="K25" s="144"/>
    </row>
    <row r="26" spans="1:11" ht="13.1">
      <c r="A26" s="44"/>
      <c r="B26" s="507">
        <f>Summary!A128</f>
        <v>0</v>
      </c>
      <c r="C26" s="1895">
        <f>Summary!B128</f>
        <v>0</v>
      </c>
      <c r="D26" s="1896"/>
      <c r="E26" s="1897"/>
      <c r="F26" s="621">
        <f>Summary!E128</f>
        <v>0</v>
      </c>
      <c r="G26" s="621">
        <f>Summary!G128</f>
        <v>0</v>
      </c>
      <c r="H26" s="1901"/>
      <c r="I26" s="1902"/>
      <c r="J26" s="1903"/>
      <c r="K26" s="144"/>
    </row>
    <row r="27" spans="1:11" ht="13.1">
      <c r="A27" s="44"/>
      <c r="B27" s="508">
        <f>Summary!A129</f>
        <v>0</v>
      </c>
      <c r="C27" s="1898">
        <f>Summary!B129</f>
        <v>0</v>
      </c>
      <c r="D27" s="1899"/>
      <c r="E27" s="1900"/>
      <c r="F27" s="622">
        <f>Summary!E129</f>
        <v>0</v>
      </c>
      <c r="G27" s="622">
        <f>Summary!G129</f>
        <v>0</v>
      </c>
      <c r="H27" s="1904"/>
      <c r="I27" s="1905"/>
      <c r="J27" s="1906"/>
      <c r="K27" s="144"/>
    </row>
    <row r="28" spans="1:11">
      <c r="A28" s="44"/>
      <c r="B28" s="508">
        <f>Summary!A130</f>
        <v>0</v>
      </c>
      <c r="C28" s="1898">
        <f>Summary!B130</f>
        <v>0</v>
      </c>
      <c r="D28" s="1899"/>
      <c r="E28" s="1900"/>
      <c r="F28" s="622">
        <f>Summary!E130</f>
        <v>0</v>
      </c>
      <c r="G28" s="622">
        <f>Summary!G130</f>
        <v>0</v>
      </c>
      <c r="H28" s="1904"/>
      <c r="I28" s="1905"/>
      <c r="J28" s="1906"/>
      <c r="K28" s="45"/>
    </row>
    <row r="29" spans="1:11">
      <c r="A29" s="44"/>
      <c r="B29" s="508">
        <f>Summary!A131</f>
        <v>0</v>
      </c>
      <c r="C29" s="1898">
        <f>Summary!B131</f>
        <v>0</v>
      </c>
      <c r="D29" s="1899"/>
      <c r="E29" s="1900"/>
      <c r="F29" s="622">
        <f>Summary!E131</f>
        <v>0</v>
      </c>
      <c r="G29" s="622">
        <f>Summary!G131</f>
        <v>0</v>
      </c>
      <c r="H29" s="1904"/>
      <c r="I29" s="1905"/>
      <c r="J29" s="1906"/>
      <c r="K29" s="45"/>
    </row>
    <row r="30" spans="1:11">
      <c r="A30" s="44"/>
      <c r="B30" s="508">
        <f>Summary!A132</f>
        <v>0</v>
      </c>
      <c r="C30" s="1898">
        <f>Summary!B132</f>
        <v>0</v>
      </c>
      <c r="D30" s="1899"/>
      <c r="E30" s="1900"/>
      <c r="F30" s="622">
        <f>Summary!E132</f>
        <v>0</v>
      </c>
      <c r="G30" s="622">
        <f>Summary!G132</f>
        <v>0</v>
      </c>
      <c r="H30" s="1904"/>
      <c r="I30" s="1905"/>
      <c r="J30" s="1906"/>
      <c r="K30" s="45"/>
    </row>
    <row r="31" spans="1:11">
      <c r="A31" s="44"/>
      <c r="B31" s="508">
        <f>Summary!A133</f>
        <v>0</v>
      </c>
      <c r="C31" s="1898">
        <f>Summary!B133</f>
        <v>0</v>
      </c>
      <c r="D31" s="1899"/>
      <c r="E31" s="1900"/>
      <c r="F31" s="622">
        <f>Summary!E133</f>
        <v>0</v>
      </c>
      <c r="G31" s="622">
        <f>Summary!G133</f>
        <v>0</v>
      </c>
      <c r="H31" s="1904"/>
      <c r="I31" s="1905"/>
      <c r="J31" s="1906"/>
      <c r="K31" s="45"/>
    </row>
    <row r="32" spans="1:11">
      <c r="A32" s="44"/>
      <c r="B32" s="508">
        <f>Summary!A134</f>
        <v>0</v>
      </c>
      <c r="C32" s="1898">
        <f>Summary!B134</f>
        <v>0</v>
      </c>
      <c r="D32" s="1899"/>
      <c r="E32" s="1900"/>
      <c r="F32" s="622">
        <f>Summary!E134</f>
        <v>0</v>
      </c>
      <c r="G32" s="622">
        <f>Summary!G134</f>
        <v>0</v>
      </c>
      <c r="H32" s="1904"/>
      <c r="I32" s="1905"/>
      <c r="J32" s="1906"/>
      <c r="K32" s="45"/>
    </row>
    <row r="33" spans="1:11">
      <c r="A33" s="44"/>
      <c r="B33" s="508">
        <f>Summary!A135</f>
        <v>0</v>
      </c>
      <c r="C33" s="1898">
        <f>Summary!B135</f>
        <v>0</v>
      </c>
      <c r="D33" s="1899"/>
      <c r="E33" s="1900"/>
      <c r="F33" s="622">
        <f>Summary!E135</f>
        <v>0</v>
      </c>
      <c r="G33" s="622">
        <f>Summary!G135</f>
        <v>0</v>
      </c>
      <c r="H33" s="1904"/>
      <c r="I33" s="1905"/>
      <c r="J33" s="1906"/>
      <c r="K33" s="45"/>
    </row>
    <row r="34" spans="1:11">
      <c r="A34" s="44"/>
      <c r="B34" s="508">
        <f>Summary!A136</f>
        <v>0</v>
      </c>
      <c r="C34" s="1898">
        <f>Summary!B136</f>
        <v>0</v>
      </c>
      <c r="D34" s="1899"/>
      <c r="E34" s="1900"/>
      <c r="F34" s="622">
        <f>Summary!E136</f>
        <v>0</v>
      </c>
      <c r="G34" s="622">
        <f>Summary!G136</f>
        <v>0</v>
      </c>
      <c r="H34" s="1904"/>
      <c r="I34" s="1905"/>
      <c r="J34" s="1906"/>
      <c r="K34" s="45"/>
    </row>
    <row r="35" spans="1:11">
      <c r="A35" s="44"/>
      <c r="B35" s="508">
        <f>Summary!A137</f>
        <v>0</v>
      </c>
      <c r="C35" s="1898">
        <f>Summary!B137</f>
        <v>0</v>
      </c>
      <c r="D35" s="1899"/>
      <c r="E35" s="1900"/>
      <c r="F35" s="622">
        <f>Summary!E137</f>
        <v>0</v>
      </c>
      <c r="G35" s="622">
        <f>Summary!G137</f>
        <v>0</v>
      </c>
      <c r="H35" s="1904"/>
      <c r="I35" s="1905"/>
      <c r="J35" s="1906"/>
      <c r="K35" s="45"/>
    </row>
    <row r="36" spans="1:11">
      <c r="A36" s="44"/>
      <c r="B36" s="508">
        <f>Summary!A138</f>
        <v>0</v>
      </c>
      <c r="C36" s="1898">
        <f>Summary!B138</f>
        <v>0</v>
      </c>
      <c r="D36" s="1899"/>
      <c r="E36" s="1900"/>
      <c r="F36" s="622">
        <f>Summary!E138</f>
        <v>0</v>
      </c>
      <c r="G36" s="622">
        <f>Summary!G138</f>
        <v>0</v>
      </c>
      <c r="H36" s="1904"/>
      <c r="I36" s="1905"/>
      <c r="J36" s="1906"/>
      <c r="K36" s="45"/>
    </row>
    <row r="37" spans="1:11">
      <c r="A37" s="44"/>
      <c r="B37" s="508">
        <f>Summary!A139</f>
        <v>0</v>
      </c>
      <c r="C37" s="1898">
        <f>Summary!B139</f>
        <v>0</v>
      </c>
      <c r="D37" s="1899"/>
      <c r="E37" s="1900"/>
      <c r="F37" s="622">
        <f>Summary!E139</f>
        <v>0</v>
      </c>
      <c r="G37" s="622">
        <f>Summary!G139</f>
        <v>0</v>
      </c>
      <c r="H37" s="1904"/>
      <c r="I37" s="1905"/>
      <c r="J37" s="1906"/>
      <c r="K37" s="45"/>
    </row>
    <row r="38" spans="1:11">
      <c r="A38" s="44"/>
      <c r="B38" s="508">
        <f>Summary!A140</f>
        <v>0</v>
      </c>
      <c r="C38" s="1898">
        <f>Summary!B140</f>
        <v>0</v>
      </c>
      <c r="D38" s="1899"/>
      <c r="E38" s="1900"/>
      <c r="F38" s="622">
        <f>Summary!E140</f>
        <v>0</v>
      </c>
      <c r="G38" s="622">
        <f>Summary!G140</f>
        <v>0</v>
      </c>
      <c r="H38" s="1904"/>
      <c r="I38" s="1905"/>
      <c r="J38" s="1906"/>
      <c r="K38" s="45"/>
    </row>
    <row r="39" spans="1:11">
      <c r="A39" s="44"/>
      <c r="B39" s="508">
        <f>Summary!A141</f>
        <v>0</v>
      </c>
      <c r="C39" s="1898">
        <f>Summary!B141</f>
        <v>0</v>
      </c>
      <c r="D39" s="1899"/>
      <c r="E39" s="1900"/>
      <c r="F39" s="622">
        <f>Summary!E141</f>
        <v>0</v>
      </c>
      <c r="G39" s="622">
        <f>Summary!G141</f>
        <v>0</v>
      </c>
      <c r="H39" s="1904"/>
      <c r="I39" s="1905"/>
      <c r="J39" s="1906"/>
      <c r="K39" s="45"/>
    </row>
    <row r="40" spans="1:11">
      <c r="A40" s="44"/>
      <c r="B40" s="508">
        <f>Summary!A142</f>
        <v>0</v>
      </c>
      <c r="C40" s="1898">
        <f>Summary!B142</f>
        <v>0</v>
      </c>
      <c r="D40" s="1899"/>
      <c r="E40" s="1900"/>
      <c r="F40" s="622">
        <f>Summary!E142</f>
        <v>0</v>
      </c>
      <c r="G40" s="622">
        <f>Summary!G142</f>
        <v>0</v>
      </c>
      <c r="H40" s="1904"/>
      <c r="I40" s="1905"/>
      <c r="J40" s="1906"/>
      <c r="K40" s="45"/>
    </row>
    <row r="41" spans="1:11" ht="13.5" thickBot="1">
      <c r="A41" s="44"/>
      <c r="B41" s="355">
        <f>Summary!A144</f>
        <v>0</v>
      </c>
      <c r="C41" s="1938">
        <f>Summary!B144</f>
        <v>0</v>
      </c>
      <c r="D41" s="1939"/>
      <c r="E41" s="1940"/>
      <c r="F41" s="623">
        <f>Summary!E144</f>
        <v>0</v>
      </c>
      <c r="G41" s="622">
        <f>Summary!G144</f>
        <v>0</v>
      </c>
      <c r="H41" s="1931"/>
      <c r="I41" s="1932"/>
      <c r="J41" s="1933"/>
      <c r="K41" s="45"/>
    </row>
    <row r="42" spans="1:11" ht="13.75" thickBot="1">
      <c r="A42" s="44"/>
      <c r="C42" s="22" t="s">
        <v>953</v>
      </c>
      <c r="F42" s="469">
        <f>Summary!E145</f>
        <v>0</v>
      </c>
      <c r="G42" s="1936" t="s">
        <v>951</v>
      </c>
      <c r="H42" s="1937"/>
      <c r="I42" s="1226">
        <f>Summary!F164</f>
        <v>0</v>
      </c>
      <c r="J42" s="22" t="s">
        <v>952</v>
      </c>
      <c r="K42" s="45"/>
    </row>
    <row r="43" spans="1:11" ht="13.75" thickBot="1">
      <c r="A43" s="44"/>
      <c r="C43" s="22" t="s">
        <v>954</v>
      </c>
      <c r="F43" s="467">
        <f>Summary!E146</f>
        <v>0</v>
      </c>
      <c r="G43" s="1929" t="str">
        <f>Summary!C163</f>
        <v>Neutral</v>
      </c>
      <c r="H43" s="1930"/>
      <c r="I43" s="465"/>
      <c r="K43" s="45"/>
    </row>
    <row r="44" spans="1:11" ht="13.75" thickBot="1">
      <c r="A44" s="137"/>
      <c r="B44" s="22"/>
      <c r="C44" s="22" t="s">
        <v>1549</v>
      </c>
      <c r="D44" s="22"/>
      <c r="E44" s="22"/>
      <c r="F44" s="466">
        <f>F42+F43</f>
        <v>0</v>
      </c>
      <c r="G44" s="1929"/>
      <c r="H44" s="1930"/>
      <c r="I44" s="37"/>
      <c r="J44" s="22"/>
      <c r="K44" s="144"/>
    </row>
    <row r="45" spans="1:11" ht="13.1">
      <c r="A45" s="137"/>
      <c r="B45" s="22"/>
      <c r="C45" s="22"/>
      <c r="D45" s="22"/>
      <c r="E45" s="22"/>
      <c r="F45" s="22"/>
      <c r="G45" s="22"/>
      <c r="H45" s="22"/>
      <c r="I45" s="22"/>
      <c r="J45" s="22"/>
      <c r="K45" s="144"/>
    </row>
    <row r="46" spans="1:11" ht="13.1">
      <c r="A46" s="1934" t="s">
        <v>950</v>
      </c>
      <c r="B46" s="1644"/>
      <c r="C46" s="1644"/>
      <c r="D46" s="1644"/>
      <c r="E46" s="1644"/>
      <c r="F46" s="1644"/>
      <c r="G46" s="1644"/>
      <c r="H46" s="1644"/>
      <c r="I46" s="1644"/>
      <c r="J46" s="1644"/>
      <c r="K46" s="1935"/>
    </row>
    <row r="47" spans="1:11" ht="13.1">
      <c r="A47" s="1918" t="s">
        <v>948</v>
      </c>
      <c r="B47" s="1919"/>
      <c r="C47" s="1825">
        <v>0</v>
      </c>
      <c r="D47" s="1825"/>
      <c r="E47" s="1825"/>
      <c r="F47" s="37" t="s">
        <v>949</v>
      </c>
      <c r="G47" s="22"/>
      <c r="H47" s="1818"/>
      <c r="I47" s="1818"/>
      <c r="J47" s="1818"/>
      <c r="K47" s="1926"/>
    </row>
    <row r="48" spans="1:11" ht="13.1">
      <c r="A48" s="1943" t="str">
        <f>IF(Summary!C197=0," ",CONCATENATE(Summary!C197," ",Summary!B198,Summary!C198," ",Summary!C199," ","x",Summary!C200))</f>
        <v xml:space="preserve"> </v>
      </c>
      <c r="B48" s="1819"/>
      <c r="C48" s="1819"/>
      <c r="D48" s="1819"/>
      <c r="E48" s="1819"/>
      <c r="F48" s="1819"/>
      <c r="G48" s="1664"/>
      <c r="H48" s="1664"/>
      <c r="I48" s="1664"/>
      <c r="J48" s="1664"/>
      <c r="K48" s="1794"/>
    </row>
    <row r="49" spans="1:11" ht="13.1">
      <c r="A49" s="1918" t="s">
        <v>946</v>
      </c>
      <c r="B49" s="1919"/>
      <c r="C49" s="1919"/>
      <c r="D49" s="1742"/>
      <c r="E49" s="1742"/>
      <c r="F49" s="1742"/>
      <c r="G49" s="37" t="s">
        <v>947</v>
      </c>
      <c r="H49" s="22"/>
      <c r="I49" s="1927" t="str">
        <f>CONCATENATE(Summary!H210," ",Summary!G211," ",Summary!H211)</f>
        <v xml:space="preserve">   S/N: </v>
      </c>
      <c r="J49" s="1927"/>
      <c r="K49" s="1928"/>
    </row>
    <row r="50" spans="1:11" ht="13.1">
      <c r="A50" s="1943" t="str">
        <f>IF(Summary!C203=0," ",CONCATENATE(Summary!C203," ",Summary!B204,Summary!C204," ",Summary!C205," ",Summary!C206," "))</f>
        <v xml:space="preserve"> </v>
      </c>
      <c r="B50" s="1819"/>
      <c r="C50" s="1819"/>
      <c r="D50" s="1819"/>
      <c r="E50" s="1819"/>
      <c r="F50" s="1819"/>
      <c r="G50" s="1664" t="str">
        <f>IF(Summary!H210=0," ",I49)</f>
        <v xml:space="preserve"> </v>
      </c>
      <c r="H50" s="1664"/>
      <c r="I50" s="1664"/>
      <c r="J50" s="1664"/>
      <c r="K50" s="1794"/>
    </row>
    <row r="51" spans="1:11" ht="13.1">
      <c r="A51" s="1824">
        <f>IF(Summary!H204&gt;0,CONCATENATE("Csg Valve #1"," ",Summary!H204," ",Summary!H205," ",Summary!H206," ",Summary!G207,Summary!H207),0)</f>
        <v>0</v>
      </c>
      <c r="B51" s="1825"/>
      <c r="C51" s="1825"/>
      <c r="D51" s="1825"/>
      <c r="E51" s="1825"/>
      <c r="F51" s="1825"/>
      <c r="G51" s="37"/>
      <c r="H51" s="22"/>
      <c r="I51" s="646"/>
      <c r="J51" s="646"/>
      <c r="K51" s="716"/>
    </row>
    <row r="52" spans="1:11" ht="13.1">
      <c r="A52" s="1824">
        <f>IF(Summary!I204&gt;0,CONCATENATE("Csg Valve #2"," ",Summary!I204," ",Summary!I205," ",Summary!I206," ",Summary!G207,Summary!I207),0)</f>
        <v>0</v>
      </c>
      <c r="B52" s="1825"/>
      <c r="C52" s="1825"/>
      <c r="D52" s="1825"/>
      <c r="E52" s="1825"/>
      <c r="F52" s="1825"/>
      <c r="G52" s="1825"/>
      <c r="H52" s="1825"/>
      <c r="I52" s="1825"/>
      <c r="J52" s="1825"/>
      <c r="K52" s="1917"/>
    </row>
    <row r="53" spans="1:11" ht="13.1">
      <c r="A53" s="1824"/>
      <c r="B53" s="1825"/>
      <c r="C53" s="1825"/>
      <c r="D53" s="1825"/>
      <c r="E53" s="1825"/>
      <c r="F53" s="1825"/>
      <c r="G53" s="1825"/>
      <c r="H53" s="1825"/>
      <c r="I53" s="1825"/>
      <c r="J53" s="1825"/>
      <c r="K53" s="1917"/>
    </row>
    <row r="54" spans="1:11" ht="13.1">
      <c r="A54" s="1918" t="s">
        <v>942</v>
      </c>
      <c r="B54" s="1919"/>
      <c r="C54" s="1825" t="str">
        <f>IF(Summary!C214=0," ",CONCATENATE(Summary!C214," ",Summary!B215,Summary!C215," ",Summary!C216))</f>
        <v xml:space="preserve"> </v>
      </c>
      <c r="D54" s="1825"/>
      <c r="E54" s="1825"/>
      <c r="F54" s="1825"/>
      <c r="G54" s="37" t="s">
        <v>943</v>
      </c>
      <c r="H54" s="22"/>
      <c r="I54" s="22"/>
      <c r="J54" s="22"/>
      <c r="K54" s="144"/>
    </row>
    <row r="55" spans="1:11" ht="13.1">
      <c r="A55" s="1849" t="str">
        <f>IF(Summary!C219=0," ",CONCATENATE(Summary!C219," ",Summary!B220,Summary!C220," ",Summary!C221))</f>
        <v xml:space="preserve"> </v>
      </c>
      <c r="B55" s="1818"/>
      <c r="C55" s="1818"/>
      <c r="D55" s="1818"/>
      <c r="E55" s="1818"/>
      <c r="F55" s="1818"/>
      <c r="G55" s="1664"/>
      <c r="H55" s="1664"/>
      <c r="I55" s="1664"/>
      <c r="J55" s="1664"/>
      <c r="K55" s="1794"/>
    </row>
    <row r="56" spans="1:11" ht="13.1">
      <c r="A56" s="213" t="s">
        <v>941</v>
      </c>
      <c r="B56" s="22"/>
      <c r="C56" s="1825"/>
      <c r="D56" s="1825"/>
      <c r="E56" s="37" t="s">
        <v>944</v>
      </c>
      <c r="F56" s="1825" t="str">
        <f>IF(Summary!H218=0," ",CONCATENATE(Summary!H218," ",Summary!H219," ",Summary!H220))</f>
        <v xml:space="preserve"> </v>
      </c>
      <c r="G56" s="1825"/>
      <c r="H56" s="1825"/>
      <c r="I56" s="37" t="s">
        <v>945</v>
      </c>
      <c r="J56" s="1825"/>
      <c r="K56" s="1917"/>
    </row>
    <row r="57" spans="1:11" ht="13.1">
      <c r="A57" s="1849" t="str">
        <f>IF(Summary!H215=0," ",CONCATENATE(Summary!H215," ",Summary!H216," ",Summary!G217," ",Summary!H217))</f>
        <v xml:space="preserve"> </v>
      </c>
      <c r="B57" s="1818"/>
      <c r="C57" s="1818"/>
      <c r="D57" s="1818"/>
      <c r="E57" s="1825" t="str">
        <f>IF(Summary!H218=0," ",CONCATENATE(Summary!G221,Summary!H221))</f>
        <v xml:space="preserve"> </v>
      </c>
      <c r="F57" s="1825"/>
      <c r="G57" s="1825"/>
      <c r="H57" s="1825"/>
      <c r="I57" s="1825"/>
      <c r="J57" s="1825"/>
      <c r="K57" s="1917"/>
    </row>
    <row r="58" spans="1:11" ht="13.75" thickBot="1">
      <c r="A58" s="1915" t="str">
        <f>Summary!B224</f>
        <v>Other Spools/Equipment Description:</v>
      </c>
      <c r="B58" s="1916"/>
      <c r="C58" s="1916"/>
      <c r="D58" s="139" t="str">
        <f>IF(Summary!C224=0," ",CONCATENATE(Summary!C224," ",Summary!B225,Summary!C225," ",Summary!C226))</f>
        <v xml:space="preserve"> </v>
      </c>
      <c r="E58" s="139"/>
      <c r="F58" s="139"/>
      <c r="G58" s="139"/>
      <c r="H58" s="1223"/>
      <c r="I58" s="1223"/>
      <c r="J58" s="1223"/>
      <c r="K58" s="1224"/>
    </row>
    <row r="59" spans="1:11" ht="13.1">
      <c r="A59" s="141" t="s">
        <v>274</v>
      </c>
      <c r="B59" s="1524"/>
      <c r="C59" s="1524"/>
      <c r="D59" s="1524"/>
      <c r="E59" s="1524"/>
      <c r="F59" s="1524"/>
      <c r="G59" s="1524"/>
      <c r="H59" s="1524"/>
      <c r="I59" s="1524"/>
      <c r="J59" s="1524"/>
      <c r="K59" s="1525"/>
    </row>
    <row r="60" spans="1:11" ht="13.1">
      <c r="A60" s="137"/>
      <c r="B60" s="1523"/>
      <c r="C60" s="1523"/>
      <c r="D60" s="1523"/>
      <c r="E60" s="1523"/>
      <c r="F60" s="1523"/>
      <c r="G60" s="1523"/>
      <c r="H60" s="1523"/>
      <c r="I60" s="1523"/>
      <c r="J60" s="1523"/>
      <c r="K60" s="1526"/>
    </row>
    <row r="61" spans="1:11" ht="13.1">
      <c r="A61" s="137"/>
      <c r="B61" s="1523"/>
      <c r="C61" s="1523"/>
      <c r="D61" s="1523"/>
      <c r="E61" s="1523"/>
      <c r="F61" s="1523"/>
      <c r="G61" s="1523"/>
      <c r="H61" s="1523"/>
      <c r="I61" s="1523"/>
      <c r="J61" s="1523"/>
      <c r="K61" s="1526"/>
    </row>
    <row r="62" spans="1:11" ht="13.1">
      <c r="A62" s="137"/>
      <c r="B62" s="1523"/>
      <c r="C62" s="1523"/>
      <c r="D62" s="1523"/>
      <c r="E62" s="1523"/>
      <c r="F62" s="1523"/>
      <c r="G62" s="1523"/>
      <c r="H62" s="1523"/>
      <c r="I62" s="1523"/>
      <c r="J62" s="1523"/>
      <c r="K62" s="1526"/>
    </row>
    <row r="63" spans="1:11" ht="13.1">
      <c r="A63" s="137"/>
      <c r="B63" s="1523"/>
      <c r="C63" s="1523"/>
      <c r="D63" s="1523"/>
      <c r="E63" s="1523"/>
      <c r="F63" s="1523"/>
      <c r="G63" s="1523"/>
      <c r="H63" s="1523"/>
      <c r="I63" s="1523"/>
      <c r="J63" s="1523"/>
      <c r="K63" s="1526"/>
    </row>
    <row r="64" spans="1:11" ht="13.75" thickBot="1">
      <c r="A64" s="138"/>
      <c r="B64" s="139"/>
      <c r="C64" s="139"/>
      <c r="D64" s="139"/>
      <c r="E64" s="139"/>
      <c r="F64" s="139" t="s">
        <v>821</v>
      </c>
      <c r="G64" s="21"/>
      <c r="H64" s="139"/>
      <c r="I64" s="139">
        <f>Summary!C63</f>
        <v>0</v>
      </c>
      <c r="J64" s="139"/>
      <c r="K64" s="206"/>
    </row>
  </sheetData>
  <sheetProtection sheet="1" formatCells="0" formatColumns="0" formatRows="0" insertColumns="0" insertRows="0" deleteColumns="0" deleteRows="0" selectLockedCells="1" selectUnlockedCells="1"/>
  <mergeCells count="68">
    <mergeCell ref="H38:J38"/>
    <mergeCell ref="B12:K12"/>
    <mergeCell ref="A53:F53"/>
    <mergeCell ref="H40:J40"/>
    <mergeCell ref="A48:F48"/>
    <mergeCell ref="G52:K52"/>
    <mergeCell ref="H32:J32"/>
    <mergeCell ref="H33:J33"/>
    <mergeCell ref="H34:J34"/>
    <mergeCell ref="A52:F52"/>
    <mergeCell ref="C47:E47"/>
    <mergeCell ref="A50:F50"/>
    <mergeCell ref="A51:F51"/>
    <mergeCell ref="D49:F49"/>
    <mergeCell ref="C38:E38"/>
    <mergeCell ref="C39:E39"/>
    <mergeCell ref="A1:K2"/>
    <mergeCell ref="G50:K50"/>
    <mergeCell ref="A47:B47"/>
    <mergeCell ref="A49:C49"/>
    <mergeCell ref="H37:J37"/>
    <mergeCell ref="H47:K47"/>
    <mergeCell ref="I49:K49"/>
    <mergeCell ref="G43:H44"/>
    <mergeCell ref="H39:J39"/>
    <mergeCell ref="C40:E40"/>
    <mergeCell ref="H41:J41"/>
    <mergeCell ref="A46:K46"/>
    <mergeCell ref="G42:H42"/>
    <mergeCell ref="C41:E41"/>
    <mergeCell ref="H30:J30"/>
    <mergeCell ref="H31:J31"/>
    <mergeCell ref="A58:C58"/>
    <mergeCell ref="G53:K53"/>
    <mergeCell ref="A55:F55"/>
    <mergeCell ref="G55:K55"/>
    <mergeCell ref="F56:H56"/>
    <mergeCell ref="E57:G57"/>
    <mergeCell ref="J56:K56"/>
    <mergeCell ref="H57:K57"/>
    <mergeCell ref="A54:B54"/>
    <mergeCell ref="C54:F54"/>
    <mergeCell ref="C56:D56"/>
    <mergeCell ref="A57:D57"/>
    <mergeCell ref="C33:E33"/>
    <mergeCell ref="C34:E34"/>
    <mergeCell ref="C35:E35"/>
    <mergeCell ref="H5:I5"/>
    <mergeCell ref="C25:E25"/>
    <mergeCell ref="H25:J25"/>
    <mergeCell ref="B24:J24"/>
    <mergeCell ref="C9:K9"/>
    <mergeCell ref="G48:K48"/>
    <mergeCell ref="C26:E26"/>
    <mergeCell ref="C27:E27"/>
    <mergeCell ref="C28:E28"/>
    <mergeCell ref="H26:J26"/>
    <mergeCell ref="H27:J27"/>
    <mergeCell ref="H28:J28"/>
    <mergeCell ref="C29:E29"/>
    <mergeCell ref="C30:E30"/>
    <mergeCell ref="C31:E31"/>
    <mergeCell ref="C37:E37"/>
    <mergeCell ref="H35:J35"/>
    <mergeCell ref="H36:J36"/>
    <mergeCell ref="C36:E36"/>
    <mergeCell ref="H29:J29"/>
    <mergeCell ref="C32:E32"/>
  </mergeCells>
  <phoneticPr fontId="0" type="noConversion"/>
  <printOptions horizontalCentered="1" verticalCentered="1"/>
  <pageMargins left="0" right="0" top="0" bottom="0" header="0" footer="0"/>
  <pageSetup scale="95"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010" r:id="rId4" name="Button 2">
              <controlPr defaultSize="0" print="0" autoFill="0" autoPict="0" macro="[0]!BACKTOMENU2">
                <anchor moveWithCells="1">
                  <from>
                    <xdr:col>0</xdr:col>
                    <xdr:colOff>0</xdr:colOff>
                    <xdr:row>0</xdr:row>
                    <xdr:rowOff>0</xdr:rowOff>
                  </from>
                  <to>
                    <xdr:col>1</xdr:col>
                    <xdr:colOff>48986</xdr:colOff>
                    <xdr:row>1</xdr:row>
                    <xdr:rowOff>48986</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DF7E6D7-296C-4375-9DD1-644BC3B5B36D}">
          <x14:formula1>
            <xm:f>'Data Validation'!$C$4:$D$4</xm:f>
          </x14:formula1>
          <xm:sqref>C7 F7 C23 I7</xm:sqref>
        </x14:dataValidation>
        <x14:dataValidation type="list" allowBlank="1" showInputMessage="1" showErrorMessage="1" xr:uid="{6780FE81-9959-402C-BE49-83A036E0737A}">
          <x14:formula1>
            <xm:f>'Data Validation'!$C$7:$D$7</xm:f>
          </x14:formula1>
          <xm:sqref>K7 E11</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F48-3EB6-4C51-9E6B-B112FC2ECE1E}">
  <sheetPr codeName="Sheet15"/>
  <dimension ref="A1:N146"/>
  <sheetViews>
    <sheetView showGridLines="0" showZeros="0" topLeftCell="A6" zoomScale="90" zoomScaleNormal="90" zoomScaleSheetLayoutView="105" workbookViewId="0">
      <selection activeCell="H11" sqref="H11"/>
    </sheetView>
  </sheetViews>
  <sheetFormatPr defaultRowHeight="12.9"/>
  <cols>
    <col min="2" max="2" width="9.15234375" style="1129" customWidth="1"/>
    <col min="3" max="3" width="9.15234375" style="951" customWidth="1"/>
    <col min="4" max="4" width="9.15234375" style="1332" customWidth="1"/>
    <col min="5" max="8" width="9.15234375" style="951" customWidth="1"/>
    <col min="9" max="9" width="18.265625" style="951" customWidth="1"/>
    <col min="10" max="11" width="9.15234375" style="951" customWidth="1"/>
    <col min="12" max="12" width="14" style="951" customWidth="1"/>
  </cols>
  <sheetData>
    <row r="1" spans="1:14" ht="13.1">
      <c r="E1" s="1664">
        <f>'Well Equipment'!A1</f>
        <v>0</v>
      </c>
      <c r="F1" s="1664"/>
      <c r="G1" s="1664"/>
      <c r="H1" s="1664"/>
      <c r="I1" s="1664"/>
      <c r="J1" s="1664"/>
    </row>
    <row r="2" spans="1:14">
      <c r="A2" s="168"/>
      <c r="B2" s="168"/>
    </row>
    <row r="3" spans="1:14">
      <c r="A3" s="168"/>
      <c r="B3" s="168"/>
    </row>
    <row r="4" spans="1:14" ht="13.1">
      <c r="A4" s="168"/>
      <c r="B4" s="168"/>
      <c r="C4" s="972"/>
      <c r="D4" s="1333"/>
      <c r="E4" s="1658" t="s">
        <v>178</v>
      </c>
      <c r="F4" s="1658"/>
      <c r="G4" s="1658"/>
      <c r="H4" s="1658"/>
      <c r="I4" s="1658"/>
      <c r="J4" s="1658"/>
      <c r="K4" s="1658"/>
      <c r="L4" s="1658"/>
      <c r="M4" s="1658"/>
      <c r="N4" s="1658"/>
    </row>
    <row r="5" spans="1:14" ht="13.1">
      <c r="A5" s="168"/>
      <c r="B5" s="168"/>
      <c r="C5" s="972"/>
      <c r="D5" s="1333"/>
      <c r="E5" s="1659">
        <f>(Summary!C6)</f>
        <v>0</v>
      </c>
      <c r="F5" s="1659"/>
      <c r="G5" s="1659"/>
      <c r="H5" s="1659"/>
      <c r="I5" s="1659"/>
      <c r="J5" s="1659"/>
      <c r="K5" s="1659"/>
      <c r="L5" s="1659"/>
      <c r="M5" s="1659"/>
      <c r="N5" s="1659"/>
    </row>
    <row r="6" spans="1:14" ht="16.75" thickBot="1">
      <c r="A6" s="168"/>
      <c r="B6" s="168"/>
      <c r="C6" s="972"/>
      <c r="D6" s="1333"/>
      <c r="E6" s="1660">
        <f>Summary!C4</f>
        <v>0</v>
      </c>
      <c r="F6" s="1660"/>
      <c r="G6" s="1660"/>
      <c r="H6" s="1660"/>
      <c r="I6" s="1660"/>
      <c r="J6" s="1660"/>
      <c r="K6" s="1660"/>
      <c r="L6" s="1660"/>
      <c r="M6" s="1660"/>
      <c r="N6" s="1660"/>
    </row>
    <row r="7" spans="1:14" ht="14.4" thickTop="1" thickBot="1">
      <c r="A7" s="168"/>
      <c r="B7" s="168"/>
      <c r="F7" s="1677" t="s">
        <v>134</v>
      </c>
      <c r="G7" s="1677"/>
      <c r="H7" s="1527" t="s">
        <v>1527</v>
      </c>
      <c r="I7" s="1002">
        <f>SUM(Summary!D12)</f>
        <v>0</v>
      </c>
      <c r="J7" s="1003"/>
      <c r="K7" s="1003"/>
      <c r="L7" s="1003"/>
    </row>
    <row r="8" spans="1:14" ht="13.75" thickBot="1">
      <c r="A8" s="168"/>
      <c r="B8" s="168"/>
      <c r="D8" s="194"/>
      <c r="F8" s="1677" t="s">
        <v>135</v>
      </c>
      <c r="G8" s="1677"/>
      <c r="H8" s="1527" t="s">
        <v>1527</v>
      </c>
      <c r="I8" s="1004">
        <f>SUM(Summary!F12)</f>
        <v>0</v>
      </c>
      <c r="J8" s="1003"/>
      <c r="K8" s="1003"/>
      <c r="L8" s="1003"/>
    </row>
    <row r="9" spans="1:14" ht="13.75" thickBot="1">
      <c r="A9" s="168"/>
      <c r="B9" s="168"/>
      <c r="D9" s="194"/>
      <c r="F9" s="41" t="s">
        <v>179</v>
      </c>
      <c r="G9" s="40"/>
      <c r="H9" s="40"/>
      <c r="I9" s="1661">
        <f>DATA!C22</f>
        <v>0</v>
      </c>
      <c r="J9" s="1662"/>
      <c r="K9" s="1662"/>
      <c r="L9" s="1663"/>
    </row>
    <row r="10" spans="1:14" ht="13.75" thickBot="1">
      <c r="A10" s="168"/>
      <c r="B10" s="168"/>
      <c r="C10" s="998"/>
      <c r="D10" s="194"/>
      <c r="E10" s="998"/>
      <c r="F10" s="41" t="s">
        <v>137</v>
      </c>
      <c r="G10" s="41"/>
      <c r="H10" s="41"/>
      <c r="I10" s="1661">
        <f>DATA!C20</f>
        <v>0</v>
      </c>
      <c r="J10" s="1662"/>
      <c r="K10" s="1662"/>
      <c r="L10" s="1663"/>
    </row>
    <row r="11" spans="1:14" ht="13.5" customHeight="1" thickBot="1">
      <c r="A11" s="168"/>
      <c r="B11" s="168"/>
      <c r="C11" s="23"/>
      <c r="D11" s="194"/>
      <c r="E11" s="972"/>
      <c r="F11" s="1677" t="s">
        <v>169</v>
      </c>
      <c r="G11" s="1677"/>
      <c r="H11" s="1527" t="s">
        <v>1544</v>
      </c>
      <c r="I11" s="1005">
        <f>Summary!C23</f>
        <v>0</v>
      </c>
      <c r="J11" s="1656" t="str">
        <f>IF(I11=0," ",CONCATENATE(Summary!B24,Summary!C24))</f>
        <v xml:space="preserve"> </v>
      </c>
      <c r="K11" s="1682"/>
      <c r="L11" s="1657"/>
    </row>
    <row r="12" spans="1:14" ht="13.5" customHeight="1" thickBot="1">
      <c r="A12" s="168"/>
      <c r="B12" s="168"/>
      <c r="C12" s="23"/>
      <c r="D12" s="1309"/>
      <c r="E12" s="972"/>
      <c r="F12" s="23" t="s">
        <v>180</v>
      </c>
      <c r="G12" s="23"/>
      <c r="H12" s="23"/>
      <c r="I12" s="1656">
        <f>DATA!C24</f>
        <v>0</v>
      </c>
      <c r="J12" s="1682"/>
      <c r="K12" s="1682"/>
      <c r="L12" s="1657"/>
    </row>
    <row r="13" spans="1:14" ht="13.5" customHeight="1" thickBot="1">
      <c r="A13" s="168"/>
      <c r="B13" s="168"/>
      <c r="C13" s="1013"/>
      <c r="D13" s="1309"/>
      <c r="E13" s="194"/>
      <c r="F13" s="23" t="s">
        <v>146</v>
      </c>
      <c r="G13" s="23"/>
      <c r="H13" s="23"/>
      <c r="I13" s="1656" t="str">
        <f>IF(Summary!C32=0," ",Summary!C32)</f>
        <v xml:space="preserve"> </v>
      </c>
      <c r="J13" s="1657"/>
      <c r="K13" s="1656">
        <f>Summary!F32</f>
        <v>0</v>
      </c>
      <c r="L13" s="1657"/>
      <c r="M13" s="1656">
        <f>Summary!H32</f>
        <v>0</v>
      </c>
      <c r="N13" s="1657"/>
    </row>
    <row r="14" spans="1:14" ht="13.1">
      <c r="A14" s="168"/>
      <c r="B14" s="168"/>
      <c r="C14" s="23"/>
      <c r="D14" s="1309"/>
      <c r="E14" s="194"/>
      <c r="F14" s="23" t="s">
        <v>181</v>
      </c>
      <c r="G14" s="23"/>
      <c r="H14" s="23"/>
      <c r="I14" s="1650" t="str">
        <f>IF(Summary!C33=0," ",Summary!C33)</f>
        <v xml:space="preserve"> </v>
      </c>
      <c r="J14" s="1651"/>
      <c r="K14" s="1650">
        <f>Summary!F33</f>
        <v>0</v>
      </c>
      <c r="L14" s="1651"/>
      <c r="M14" s="1650">
        <f>Summary!H33</f>
        <v>0</v>
      </c>
      <c r="N14" s="1651"/>
    </row>
    <row r="15" spans="1:14" ht="13.1">
      <c r="A15" s="168"/>
      <c r="B15" s="168"/>
      <c r="C15" s="23"/>
      <c r="D15" s="1309"/>
      <c r="E15" s="194"/>
      <c r="F15" s="23" t="s">
        <v>115</v>
      </c>
      <c r="G15" s="23"/>
      <c r="H15" s="23"/>
      <c r="I15" s="1652" t="str">
        <f>IF(Summary!C34=0," ",Summary!C34)</f>
        <v xml:space="preserve"> </v>
      </c>
      <c r="J15" s="1653"/>
      <c r="K15" s="1652">
        <f>Summary!F34</f>
        <v>0</v>
      </c>
      <c r="L15" s="1653"/>
      <c r="M15" s="1652">
        <f>Summary!H34</f>
        <v>0</v>
      </c>
      <c r="N15" s="1653"/>
    </row>
    <row r="16" spans="1:14" ht="13.75" thickBot="1">
      <c r="A16" s="168"/>
      <c r="B16" s="168"/>
      <c r="C16" s="23"/>
      <c r="D16" s="1309"/>
      <c r="E16" s="194"/>
      <c r="F16" s="999" t="s">
        <v>182</v>
      </c>
      <c r="G16" s="40"/>
      <c r="H16" s="23"/>
      <c r="I16" s="1654">
        <f>Summary!C35</f>
        <v>0</v>
      </c>
      <c r="J16" s="1655"/>
      <c r="K16" s="1654">
        <f>Summary!F35</f>
        <v>0</v>
      </c>
      <c r="L16" s="1655"/>
      <c r="M16" s="1654">
        <f>Summary!H35</f>
        <v>0</v>
      </c>
      <c r="N16" s="1655"/>
    </row>
    <row r="17" spans="1:14" ht="13.75" thickBot="1">
      <c r="A17" s="168"/>
      <c r="B17" s="168"/>
      <c r="C17" s="23"/>
      <c r="D17" s="1309"/>
      <c r="E17" s="194"/>
      <c r="F17" s="1670" t="str">
        <f>Summary!B214</f>
        <v>Master Valve:</v>
      </c>
      <c r="G17" s="1670"/>
      <c r="H17" s="1671"/>
      <c r="I17" s="1645" t="str">
        <f>IF(Summary!C214&gt;" ",CONCATENATE(Summary!C214," ","x"," ",Summary!C216)," ")</f>
        <v xml:space="preserve"> </v>
      </c>
      <c r="J17" s="1646"/>
      <c r="K17" s="1006" t="s">
        <v>353</v>
      </c>
      <c r="L17" s="1007">
        <f>Summary!C215</f>
        <v>0</v>
      </c>
    </row>
    <row r="18" spans="1:14" ht="13.75" thickBot="1">
      <c r="A18" s="168"/>
      <c r="B18" s="168"/>
      <c r="C18" s="23"/>
      <c r="D18" s="1309"/>
      <c r="E18" s="194"/>
      <c r="F18" s="1677" t="str">
        <f>Summary!B219</f>
        <v>Master Valve:</v>
      </c>
      <c r="G18" s="1677"/>
      <c r="H18" s="1678"/>
      <c r="I18" s="1645" t="str">
        <f>IF(Summary!C219&gt;0,CONCATENATE(Summary!C219," ","x"," ",Summary!C221)," ")</f>
        <v xml:space="preserve"> </v>
      </c>
      <c r="J18" s="1646"/>
      <c r="K18" s="1006" t="s">
        <v>353</v>
      </c>
      <c r="L18" s="1007">
        <f>Summary!C220</f>
        <v>0</v>
      </c>
    </row>
    <row r="19" spans="1:14" ht="13.75" thickBot="1">
      <c r="A19" s="168"/>
      <c r="B19" s="168"/>
      <c r="C19" s="23"/>
      <c r="D19" s="1309"/>
      <c r="E19" s="194"/>
      <c r="F19" s="23"/>
      <c r="G19" s="23" t="s">
        <v>183</v>
      </c>
      <c r="H19" s="23"/>
      <c r="I19" s="1668" t="str">
        <f>IF(Summary!H204&gt;0,CONCATENATE(Summary!H204, " ",Summary!H205, " ",Summary!H206)," ")</f>
        <v xml:space="preserve"> </v>
      </c>
      <c r="J19" s="1669"/>
      <c r="K19" s="1006" t="s">
        <v>353</v>
      </c>
      <c r="L19" s="1007">
        <f>Summary!H207</f>
        <v>0</v>
      </c>
    </row>
    <row r="20" spans="1:14" ht="13.75" thickBot="1">
      <c r="A20" s="168"/>
      <c r="B20" s="168"/>
      <c r="C20" s="23"/>
      <c r="D20" s="1309"/>
      <c r="E20" s="194"/>
      <c r="F20" s="23"/>
      <c r="G20" s="972"/>
      <c r="H20" s="972"/>
      <c r="I20" s="1668" t="str">
        <f>IF(Summary!I204&gt;0,CONCATENATE(Summary!I204," ",Summary!I205, " ",Summary!I206)," ")</f>
        <v xml:space="preserve"> </v>
      </c>
      <c r="J20" s="1669"/>
      <c r="K20" s="1006" t="s">
        <v>353</v>
      </c>
      <c r="L20" s="1007">
        <f>Summary!I207</f>
        <v>0</v>
      </c>
    </row>
    <row r="21" spans="1:14" ht="13.75" thickBot="1">
      <c r="A21" s="168"/>
      <c r="B21" s="168"/>
      <c r="C21" s="23"/>
      <c r="D21" s="194"/>
      <c r="F21" s="23"/>
      <c r="G21" s="23" t="s">
        <v>184</v>
      </c>
      <c r="H21" s="23"/>
      <c r="I21" s="1645">
        <f>IF(Summary!C203=0,0,CONCATENATE(Summary!C203," ",Summary!C205," ","x",Summary!C206))</f>
        <v>0</v>
      </c>
      <c r="J21" s="1646"/>
      <c r="K21" s="1008" t="s">
        <v>353</v>
      </c>
      <c r="L21" s="1007">
        <f>Summary!C204</f>
        <v>0</v>
      </c>
    </row>
    <row r="22" spans="1:14" ht="13.75" thickBot="1">
      <c r="A22" s="168"/>
      <c r="B22" s="168"/>
      <c r="C22" s="23"/>
      <c r="D22" s="194"/>
      <c r="E22" s="40" t="s">
        <v>185</v>
      </c>
      <c r="F22" s="40"/>
      <c r="G22" s="40"/>
      <c r="H22" s="40"/>
      <c r="I22" s="40"/>
      <c r="J22" s="40"/>
      <c r="K22" s="40"/>
      <c r="L22" s="972"/>
    </row>
    <row r="23" spans="1:14" ht="13.75" thickBot="1">
      <c r="A23" s="168"/>
      <c r="B23" s="168"/>
      <c r="C23" s="23"/>
      <c r="D23" s="194"/>
      <c r="E23" s="1009" t="s">
        <v>186</v>
      </c>
      <c r="F23" s="1010" t="s">
        <v>187</v>
      </c>
      <c r="G23" s="1011"/>
      <c r="H23" s="1011"/>
      <c r="I23" s="1012"/>
      <c r="J23" s="1009" t="s">
        <v>156</v>
      </c>
      <c r="K23" s="1009" t="s">
        <v>188</v>
      </c>
    </row>
    <row r="24" spans="1:14" ht="13.1">
      <c r="A24" s="168"/>
      <c r="B24" s="168"/>
      <c r="C24" s="23"/>
      <c r="D24" s="194"/>
      <c r="E24" s="140">
        <f>IF(Summary!A128=0,0,1)</f>
        <v>0</v>
      </c>
      <c r="F24" s="1647" t="str">
        <f>CONCATENATE(Summary!A128," ",Summary!B128)</f>
        <v xml:space="preserve"> </v>
      </c>
      <c r="G24" s="1648"/>
      <c r="H24" s="1648"/>
      <c r="I24" s="1649"/>
      <c r="J24" s="59">
        <f>(Summary!E128)</f>
        <v>0</v>
      </c>
      <c r="K24" s="60">
        <f>Summary!G128</f>
        <v>0</v>
      </c>
    </row>
    <row r="25" spans="1:14" ht="13.1">
      <c r="A25" s="168"/>
      <c r="B25" s="168"/>
      <c r="C25" s="23"/>
      <c r="D25" s="194"/>
      <c r="E25" s="136">
        <f>IF(Summary!A129=0,0,' Schematic'!E24+1)</f>
        <v>0</v>
      </c>
      <c r="F25" s="1665" t="str">
        <f>CONCATENATE(Summary!A129," ",Summary!B129)</f>
        <v xml:space="preserve"> </v>
      </c>
      <c r="G25" s="1666"/>
      <c r="H25" s="1666"/>
      <c r="I25" s="1667"/>
      <c r="J25" s="61">
        <f>(Summary!E129)</f>
        <v>0</v>
      </c>
      <c r="K25" s="60">
        <f>Summary!G129</f>
        <v>0</v>
      </c>
    </row>
    <row r="26" spans="1:14" ht="13.1">
      <c r="A26" s="168"/>
      <c r="B26" s="168"/>
      <c r="C26" s="23"/>
      <c r="D26" s="194"/>
      <c r="E26" s="136">
        <f>IF(Summary!A130=0,0,' Schematic'!E25+1)</f>
        <v>0</v>
      </c>
      <c r="F26" s="1665" t="str">
        <f>CONCATENATE(Summary!A130," ",Summary!B130)</f>
        <v xml:space="preserve"> </v>
      </c>
      <c r="G26" s="1666"/>
      <c r="H26" s="1666"/>
      <c r="I26" s="1667"/>
      <c r="J26" s="61">
        <f>(Summary!E130)</f>
        <v>0</v>
      </c>
      <c r="K26" s="60">
        <f>Summary!G130</f>
        <v>0</v>
      </c>
    </row>
    <row r="27" spans="1:14" ht="13.1">
      <c r="A27" s="168"/>
      <c r="B27" s="168"/>
      <c r="C27" s="23"/>
      <c r="D27" s="194"/>
      <c r="E27" s="136">
        <f>IF(Summary!A131=0,0,' Schematic'!E26+1)</f>
        <v>0</v>
      </c>
      <c r="F27" s="1665" t="str">
        <f>CONCATENATE(Summary!A131," ",Summary!B131)</f>
        <v xml:space="preserve"> </v>
      </c>
      <c r="G27" s="1666"/>
      <c r="H27" s="1666"/>
      <c r="I27" s="1667"/>
      <c r="J27" s="61">
        <f>(Summary!E131)</f>
        <v>0</v>
      </c>
      <c r="K27" s="60">
        <f>Summary!G131</f>
        <v>0</v>
      </c>
      <c r="L27" s="1129" t="s">
        <v>837</v>
      </c>
      <c r="N27" s="5">
        <v>0</v>
      </c>
    </row>
    <row r="28" spans="1:14" ht="13.1">
      <c r="A28" s="168"/>
      <c r="B28" s="168"/>
      <c r="C28" s="23"/>
      <c r="D28" s="194"/>
      <c r="E28" s="136">
        <f>IF(Summary!A132=0,0,' Schematic'!E27+1)</f>
        <v>0</v>
      </c>
      <c r="F28" s="1665" t="str">
        <f>CONCATENATE(Summary!A132," ",Summary!B132)</f>
        <v xml:space="preserve"> </v>
      </c>
      <c r="G28" s="1666"/>
      <c r="H28" s="1666"/>
      <c r="I28" s="1667"/>
      <c r="J28" s="61">
        <f>(Summary!E132)</f>
        <v>0</v>
      </c>
      <c r="K28" s="60">
        <f>Summary!G132</f>
        <v>0</v>
      </c>
    </row>
    <row r="29" spans="1:14" ht="13.1">
      <c r="A29" s="168"/>
      <c r="B29" s="168"/>
      <c r="C29" s="23"/>
      <c r="D29" s="194"/>
      <c r="E29" s="136">
        <f>IF(Summary!A133=0,0,' Schematic'!E28+1)</f>
        <v>0</v>
      </c>
      <c r="F29" s="1665" t="str">
        <f>CONCATENATE(Summary!A133," ",Summary!B133)</f>
        <v xml:space="preserve"> </v>
      </c>
      <c r="G29" s="1666"/>
      <c r="H29" s="1666"/>
      <c r="I29" s="1667"/>
      <c r="J29" s="61">
        <f>(Summary!E133)</f>
        <v>0</v>
      </c>
      <c r="K29" s="60">
        <f>Summary!G133</f>
        <v>0</v>
      </c>
    </row>
    <row r="30" spans="1:14" ht="13.1">
      <c r="A30" s="168"/>
      <c r="B30" s="168"/>
      <c r="C30" s="23"/>
      <c r="D30" s="194"/>
      <c r="E30" s="136">
        <f>IF(Summary!A134=0,0,' Schematic'!E29+1)</f>
        <v>0</v>
      </c>
      <c r="F30" s="1665" t="str">
        <f>CONCATENATE(Summary!A134," ",Summary!B134)</f>
        <v xml:space="preserve"> </v>
      </c>
      <c r="G30" s="1666"/>
      <c r="H30" s="1666"/>
      <c r="I30" s="1667"/>
      <c r="J30" s="61">
        <f>(Summary!E134)</f>
        <v>0</v>
      </c>
      <c r="K30" s="60">
        <f>Summary!G134</f>
        <v>0</v>
      </c>
    </row>
    <row r="31" spans="1:14" ht="13.1">
      <c r="A31" s="168"/>
      <c r="B31" s="168"/>
      <c r="C31" s="23"/>
      <c r="D31" s="194"/>
      <c r="E31" s="136">
        <f>IF(Summary!A135=0,0,' Schematic'!E30+1)</f>
        <v>0</v>
      </c>
      <c r="F31" s="1665" t="str">
        <f>CONCATENATE(Summary!A135," ",Summary!B135)</f>
        <v xml:space="preserve"> </v>
      </c>
      <c r="G31" s="1666"/>
      <c r="H31" s="1666"/>
      <c r="I31" s="1667"/>
      <c r="J31" s="61">
        <f>(Summary!E135)</f>
        <v>0</v>
      </c>
      <c r="K31" s="60">
        <f>Summary!G135</f>
        <v>0</v>
      </c>
    </row>
    <row r="32" spans="1:14" ht="13.1">
      <c r="A32" s="168"/>
      <c r="B32" s="168"/>
      <c r="C32" s="23"/>
      <c r="D32" s="194"/>
      <c r="E32" s="136">
        <f>IF(Summary!A136=0,0,' Schematic'!E31+1)</f>
        <v>0</v>
      </c>
      <c r="F32" s="1665" t="str">
        <f>CONCATENATE(Summary!A136," ",Summary!B136)</f>
        <v xml:space="preserve"> </v>
      </c>
      <c r="G32" s="1666"/>
      <c r="H32" s="1666"/>
      <c r="I32" s="1667"/>
      <c r="J32" s="61">
        <f>(Summary!E136)</f>
        <v>0</v>
      </c>
      <c r="K32" s="60">
        <f>Summary!G136</f>
        <v>0</v>
      </c>
    </row>
    <row r="33" spans="1:13" ht="13.1">
      <c r="A33" s="168"/>
      <c r="B33" s="168"/>
      <c r="C33" s="23"/>
      <c r="D33" s="194"/>
      <c r="E33" s="136">
        <f>IF(Summary!A137=0,0,' Schematic'!E32+1)</f>
        <v>0</v>
      </c>
      <c r="F33" s="1665" t="str">
        <f>CONCATENATE(Summary!A137," ",Summary!B137)</f>
        <v xml:space="preserve"> </v>
      </c>
      <c r="G33" s="1666"/>
      <c r="H33" s="1666"/>
      <c r="I33" s="1667"/>
      <c r="J33" s="61">
        <f>(Summary!E137)</f>
        <v>0</v>
      </c>
      <c r="K33" s="60">
        <f>Summary!G137</f>
        <v>0</v>
      </c>
    </row>
    <row r="34" spans="1:13" ht="13.1">
      <c r="A34" s="168"/>
      <c r="B34" s="168"/>
      <c r="C34" s="23"/>
      <c r="D34" s="194"/>
      <c r="E34" s="136">
        <f>IF(Summary!A138=0,0,' Schematic'!E33+1)</f>
        <v>0</v>
      </c>
      <c r="F34" s="1665" t="str">
        <f>CONCATENATE(Summary!A138," ",Summary!B138)</f>
        <v xml:space="preserve"> </v>
      </c>
      <c r="G34" s="1666"/>
      <c r="H34" s="1666"/>
      <c r="I34" s="1667"/>
      <c r="J34" s="61">
        <f>(Summary!E138)</f>
        <v>0</v>
      </c>
      <c r="K34" s="60">
        <f>Summary!G138</f>
        <v>0</v>
      </c>
    </row>
    <row r="35" spans="1:13" ht="13.1">
      <c r="A35" s="168"/>
      <c r="B35" s="168"/>
      <c r="C35" s="23"/>
      <c r="D35" s="194"/>
      <c r="E35" s="136">
        <f>IF(Summary!A139=0,0,' Schematic'!E34+1)</f>
        <v>0</v>
      </c>
      <c r="F35" s="1665" t="str">
        <f>CONCATENATE(Summary!A139," ",Summary!B139)</f>
        <v xml:space="preserve"> </v>
      </c>
      <c r="G35" s="1666"/>
      <c r="H35" s="1666"/>
      <c r="I35" s="1667"/>
      <c r="J35" s="61">
        <f>(Summary!E139)</f>
        <v>0</v>
      </c>
      <c r="K35" s="60">
        <f>Summary!G139</f>
        <v>0</v>
      </c>
    </row>
    <row r="36" spans="1:13" ht="13.1">
      <c r="A36" s="168"/>
      <c r="B36" s="168"/>
      <c r="C36" s="23"/>
      <c r="D36" s="194"/>
      <c r="E36" s="136">
        <f>IF(Summary!A140=0,0,' Schematic'!E35+1)</f>
        <v>0</v>
      </c>
      <c r="F36" s="1665" t="str">
        <f>CONCATENATE(Summary!A140," ",Summary!B140)</f>
        <v xml:space="preserve"> </v>
      </c>
      <c r="G36" s="1666"/>
      <c r="H36" s="1666"/>
      <c r="I36" s="1667"/>
      <c r="J36" s="61">
        <f>(Summary!E140)</f>
        <v>0</v>
      </c>
      <c r="K36" s="60">
        <f>Summary!G140</f>
        <v>0</v>
      </c>
    </row>
    <row r="37" spans="1:13" ht="13.1">
      <c r="A37" s="168"/>
      <c r="B37" s="168"/>
      <c r="C37" s="23"/>
      <c r="D37" s="194"/>
      <c r="E37" s="136">
        <f>IF(Summary!A141=0,0,' Schematic'!E36+1)</f>
        <v>0</v>
      </c>
      <c r="F37" s="1665" t="str">
        <f>CONCATENATE(Summary!A141," ",Summary!B141)</f>
        <v xml:space="preserve"> </v>
      </c>
      <c r="G37" s="1666"/>
      <c r="H37" s="1666"/>
      <c r="I37" s="1667"/>
      <c r="J37" s="61">
        <f>(Summary!E141)</f>
        <v>0</v>
      </c>
      <c r="K37" s="60">
        <f>Summary!G141</f>
        <v>0</v>
      </c>
    </row>
    <row r="38" spans="1:13" ht="13.1">
      <c r="A38" s="168"/>
      <c r="B38" s="168"/>
      <c r="C38" s="23"/>
      <c r="D38" s="194"/>
      <c r="E38" s="136">
        <f>IF(Summary!A142=0,0,' Schematic'!E37+1)</f>
        <v>0</v>
      </c>
      <c r="F38" s="1665" t="str">
        <f>CONCATENATE(Summary!A142," ",Summary!B142)</f>
        <v xml:space="preserve"> </v>
      </c>
      <c r="G38" s="1666"/>
      <c r="H38" s="1666"/>
      <c r="I38" s="1667"/>
      <c r="J38" s="61">
        <f>(Summary!E142)</f>
        <v>0</v>
      </c>
      <c r="K38" s="60">
        <f>Summary!G142</f>
        <v>0</v>
      </c>
    </row>
    <row r="39" spans="1:13" ht="13.1">
      <c r="A39" s="168"/>
      <c r="B39" s="168"/>
      <c r="C39" s="23"/>
      <c r="D39" s="194"/>
      <c r="E39" s="136">
        <f>IF(Summary!A144=0,0,' Schematic'!E38+1)</f>
        <v>0</v>
      </c>
      <c r="F39" s="1665" t="str">
        <f>CONCATENATE(Summary!A143," ",Summary!B143)</f>
        <v xml:space="preserve"> </v>
      </c>
      <c r="G39" s="1666"/>
      <c r="H39" s="1666"/>
      <c r="I39" s="1667"/>
      <c r="J39" s="61">
        <f>(Summary!E143)</f>
        <v>0</v>
      </c>
      <c r="K39" s="60">
        <f>Summary!G143</f>
        <v>0</v>
      </c>
    </row>
    <row r="40" spans="1:13" ht="13.1">
      <c r="A40" s="168"/>
      <c r="B40" s="168"/>
      <c r="C40" s="23"/>
      <c r="D40" s="194"/>
      <c r="E40" s="136">
        <v>0</v>
      </c>
      <c r="F40" s="1672" t="s">
        <v>189</v>
      </c>
      <c r="G40" s="1673"/>
      <c r="H40" s="1673"/>
      <c r="I40" s="1674"/>
      <c r="J40" s="61">
        <f>SUM(J24:J39)</f>
        <v>0</v>
      </c>
      <c r="K40" s="60"/>
      <c r="L40" s="1225" t="s">
        <v>1182</v>
      </c>
      <c r="M40" s="1165" t="s">
        <v>461</v>
      </c>
    </row>
    <row r="41" spans="1:13" ht="13.75" thickBot="1">
      <c r="A41" s="168"/>
      <c r="B41" s="168"/>
      <c r="C41" s="23"/>
      <c r="D41" s="194"/>
      <c r="E41" s="1000"/>
      <c r="F41" s="1672" t="s">
        <v>159</v>
      </c>
      <c r="G41" s="1673"/>
      <c r="H41" s="1673"/>
      <c r="I41" s="1674"/>
      <c r="J41" s="62">
        <f>I7-I8-Summary!E13</f>
        <v>-0.45</v>
      </c>
      <c r="K41" s="60"/>
      <c r="L41" s="1225" t="s">
        <v>1183</v>
      </c>
      <c r="M41" s="1165"/>
    </row>
    <row r="42" spans="1:13" ht="14.4" thickTop="1" thickBot="1">
      <c r="A42" s="168"/>
      <c r="B42" s="168"/>
      <c r="C42" s="23"/>
      <c r="D42" s="194"/>
      <c r="E42" s="1001"/>
      <c r="F42" s="1639" t="s">
        <v>1549</v>
      </c>
      <c r="G42" s="1675"/>
      <c r="H42" s="1675"/>
      <c r="I42" s="1676"/>
      <c r="J42" s="1343">
        <f>SUM(J40,J41)</f>
        <v>-0.45</v>
      </c>
      <c r="K42" s="1344"/>
    </row>
    <row r="43" spans="1:13" ht="13.75" thickBot="1">
      <c r="A43" s="168"/>
      <c r="B43" s="168"/>
      <c r="C43" s="23"/>
      <c r="D43" s="194"/>
      <c r="E43" s="1009" t="str">
        <f>IF(Summary!A149&gt;" ","QTY"," ")</f>
        <v xml:space="preserve"> </v>
      </c>
      <c r="F43" s="1010" t="str">
        <f>IF(Summary!B149&gt;" ","SUCKER RODS (BOTTOM UPWARDS)"," ")</f>
        <v xml:space="preserve"> </v>
      </c>
      <c r="G43" s="1011"/>
      <c r="H43" s="1011"/>
      <c r="I43" s="1011"/>
      <c r="J43" s="1345" t="str">
        <f>IF(Summary!G149&gt;" ","Length"," ")</f>
        <v xml:space="preserve"> </v>
      </c>
      <c r="K43" s="1016" t="str">
        <f>IF(J43&gt;" ","TOP"," ")</f>
        <v xml:space="preserve"> </v>
      </c>
    </row>
    <row r="44" spans="1:13" ht="13.1">
      <c r="A44" s="168"/>
      <c r="B44" s="168"/>
      <c r="C44" s="23"/>
      <c r="D44" s="194"/>
      <c r="E44" s="136">
        <f>Summary!A150</f>
        <v>0</v>
      </c>
      <c r="F44" s="1665">
        <f>Summary!B150</f>
        <v>0</v>
      </c>
      <c r="G44" s="1666"/>
      <c r="H44" s="1666"/>
      <c r="I44" s="1667"/>
      <c r="J44" s="61">
        <f>Summary!G150</f>
        <v>0</v>
      </c>
      <c r="K44" s="60">
        <f>K45+J45</f>
        <v>0</v>
      </c>
    </row>
    <row r="45" spans="1:13" ht="13.1">
      <c r="A45" s="168"/>
      <c r="B45" s="168"/>
      <c r="C45" s="23"/>
      <c r="D45" s="194"/>
      <c r="E45" s="136">
        <f>Summary!A151</f>
        <v>0</v>
      </c>
      <c r="F45" s="1679" t="s">
        <v>1560</v>
      </c>
      <c r="G45" s="1680"/>
      <c r="H45" s="1680" t="s">
        <v>1521</v>
      </c>
      <c r="I45" s="1681"/>
      <c r="J45" s="61">
        <f>Summary!G151</f>
        <v>0</v>
      </c>
      <c r="K45" s="60">
        <f t="shared" ref="K45:K55" si="0">IF(J45=0,0,K46+J46)</f>
        <v>0</v>
      </c>
    </row>
    <row r="46" spans="1:13" ht="13.1">
      <c r="A46" s="168"/>
      <c r="B46" s="168"/>
      <c r="C46" s="23"/>
      <c r="D46" s="194"/>
      <c r="E46" s="136">
        <f>Summary!A152</f>
        <v>0</v>
      </c>
      <c r="F46" s="1665">
        <f>Summary!B152</f>
        <v>0</v>
      </c>
      <c r="G46" s="1666"/>
      <c r="H46" s="1666"/>
      <c r="I46" s="1667"/>
      <c r="J46" s="61">
        <f>Summary!G152</f>
        <v>0</v>
      </c>
      <c r="K46" s="60">
        <f t="shared" si="0"/>
        <v>0</v>
      </c>
    </row>
    <row r="47" spans="1:13" ht="13.1">
      <c r="A47" s="168"/>
      <c r="B47" s="168"/>
      <c r="C47" s="23"/>
      <c r="D47" s="194"/>
      <c r="E47" s="136">
        <f>Summary!A153</f>
        <v>0</v>
      </c>
      <c r="F47" s="1665">
        <f>Summary!B153</f>
        <v>0</v>
      </c>
      <c r="G47" s="1666"/>
      <c r="H47" s="1666"/>
      <c r="I47" s="1667"/>
      <c r="J47" s="61">
        <f>Summary!G153</f>
        <v>0</v>
      </c>
      <c r="K47" s="60">
        <f t="shared" si="0"/>
        <v>0</v>
      </c>
    </row>
    <row r="48" spans="1:13" ht="13.1">
      <c r="A48" s="168"/>
      <c r="B48" s="168"/>
      <c r="C48" s="23"/>
      <c r="D48" s="194"/>
      <c r="E48" s="136">
        <f>Summary!A154</f>
        <v>0</v>
      </c>
      <c r="F48" s="1665">
        <f>Summary!B154</f>
        <v>0</v>
      </c>
      <c r="G48" s="1666"/>
      <c r="H48" s="1666"/>
      <c r="I48" s="1667"/>
      <c r="J48" s="61">
        <f>Summary!G154</f>
        <v>0</v>
      </c>
      <c r="K48" s="60">
        <f t="shared" si="0"/>
        <v>0</v>
      </c>
    </row>
    <row r="49" spans="1:12" ht="13.1">
      <c r="A49" s="168"/>
      <c r="B49" s="168"/>
      <c r="C49" s="23"/>
      <c r="D49" s="194"/>
      <c r="E49" s="136">
        <f>Summary!A155</f>
        <v>0</v>
      </c>
      <c r="F49" s="1665">
        <f>Summary!B155</f>
        <v>0</v>
      </c>
      <c r="G49" s="1666"/>
      <c r="H49" s="1666"/>
      <c r="I49" s="1667"/>
      <c r="J49" s="61">
        <f>Summary!G155</f>
        <v>0</v>
      </c>
      <c r="K49" s="60">
        <f t="shared" si="0"/>
        <v>0</v>
      </c>
    </row>
    <row r="50" spans="1:12" ht="13.1">
      <c r="A50" s="168"/>
      <c r="B50" s="168"/>
      <c r="C50" s="23"/>
      <c r="D50" s="194"/>
      <c r="E50" s="136">
        <f>Summary!A156</f>
        <v>0</v>
      </c>
      <c r="F50" s="1665">
        <f>Summary!B156</f>
        <v>0</v>
      </c>
      <c r="G50" s="1666"/>
      <c r="H50" s="1666"/>
      <c r="I50" s="1667"/>
      <c r="J50" s="61">
        <f>Summary!G156</f>
        <v>0</v>
      </c>
      <c r="K50" s="60">
        <f t="shared" si="0"/>
        <v>0</v>
      </c>
    </row>
    <row r="51" spans="1:12" ht="13.1">
      <c r="A51" s="168"/>
      <c r="B51" s="168"/>
      <c r="C51" s="23"/>
      <c r="D51" s="194"/>
      <c r="E51" s="136">
        <f>Summary!A157</f>
        <v>0</v>
      </c>
      <c r="F51" s="1665">
        <f>Summary!B157</f>
        <v>0</v>
      </c>
      <c r="G51" s="1666"/>
      <c r="H51" s="1666"/>
      <c r="I51" s="1667"/>
      <c r="J51" s="61">
        <f>Summary!G157</f>
        <v>0</v>
      </c>
      <c r="K51" s="60">
        <f t="shared" si="0"/>
        <v>0</v>
      </c>
    </row>
    <row r="52" spans="1:12" ht="13.1">
      <c r="A52" s="168"/>
      <c r="B52" s="168"/>
      <c r="C52" s="23"/>
      <c r="D52" s="194"/>
      <c r="E52" s="136">
        <f>Summary!A158</f>
        <v>0</v>
      </c>
      <c r="F52" s="1665">
        <f>Summary!B158</f>
        <v>0</v>
      </c>
      <c r="G52" s="1666"/>
      <c r="H52" s="1666"/>
      <c r="I52" s="1667"/>
      <c r="J52" s="61">
        <f>Summary!G158</f>
        <v>0</v>
      </c>
      <c r="K52" s="60">
        <f t="shared" si="0"/>
        <v>0</v>
      </c>
    </row>
    <row r="53" spans="1:12" ht="13.1">
      <c r="A53" s="168"/>
      <c r="B53" s="168"/>
      <c r="C53" s="23"/>
      <c r="D53" s="194"/>
      <c r="E53" s="136">
        <f>Summary!A159</f>
        <v>0</v>
      </c>
      <c r="F53" s="1665">
        <f>Summary!B159</f>
        <v>0</v>
      </c>
      <c r="G53" s="1666"/>
      <c r="H53" s="1666"/>
      <c r="I53" s="1667"/>
      <c r="J53" s="61">
        <f>Summary!G159</f>
        <v>0</v>
      </c>
      <c r="K53" s="60">
        <f t="shared" si="0"/>
        <v>0</v>
      </c>
    </row>
    <row r="54" spans="1:12" ht="13.1">
      <c r="A54" s="168"/>
      <c r="B54" s="168"/>
      <c r="C54" s="23"/>
      <c r="D54" s="194"/>
      <c r="E54" s="136">
        <f>Summary!A160</f>
        <v>0</v>
      </c>
      <c r="F54" s="1665">
        <f>Summary!B160</f>
        <v>0</v>
      </c>
      <c r="G54" s="1666"/>
      <c r="H54" s="1666"/>
      <c r="I54" s="1667"/>
      <c r="J54" s="61">
        <f>Summary!G160</f>
        <v>0</v>
      </c>
      <c r="K54" s="60">
        <f t="shared" si="0"/>
        <v>0</v>
      </c>
    </row>
    <row r="55" spans="1:12" ht="13.75" thickBot="1">
      <c r="A55" s="168"/>
      <c r="B55" s="168"/>
      <c r="D55" s="194"/>
      <c r="E55" s="136"/>
      <c r="F55" s="1665">
        <f>Summary!B161</f>
        <v>0</v>
      </c>
      <c r="G55" s="1666"/>
      <c r="H55" s="1666"/>
      <c r="I55" s="1667"/>
      <c r="J55" s="1228">
        <f>Summary!G161</f>
        <v>0</v>
      </c>
      <c r="K55" s="60">
        <f t="shared" si="0"/>
        <v>0</v>
      </c>
    </row>
    <row r="56" spans="1:12" ht="13.1">
      <c r="A56" s="168"/>
      <c r="B56" s="168"/>
      <c r="D56" s="194"/>
      <c r="E56" s="136"/>
      <c r="I56" s="131" t="str">
        <f>IF(J56&gt;0,"Rod String Length"," ")</f>
        <v xml:space="preserve"> </v>
      </c>
      <c r="J56" s="61">
        <f>SUM(J44:J55)</f>
        <v>0</v>
      </c>
      <c r="K56" s="60"/>
      <c r="L56" s="1348">
        <f>J56-J57</f>
        <v>0</v>
      </c>
    </row>
    <row r="57" spans="1:12" ht="13.1">
      <c r="A57" s="168"/>
      <c r="B57" s="168"/>
      <c r="D57" s="194"/>
      <c r="E57" s="136"/>
      <c r="I57" s="131" t="str">
        <f>IF(M40="x"," ","Less Pump Length")</f>
        <v xml:space="preserve"> </v>
      </c>
      <c r="J57" s="61">
        <f>IF(M40="x",0,J44)</f>
        <v>0</v>
      </c>
      <c r="K57" s="60"/>
      <c r="L57" s="1349"/>
    </row>
    <row r="58" spans="1:12" ht="13.75" thickBot="1">
      <c r="A58" s="168"/>
      <c r="B58" s="168"/>
      <c r="D58" s="194"/>
      <c r="E58" s="1393"/>
      <c r="F58" s="1639" t="str">
        <f>IF(J56&gt;0,"Less P Rod Stickup from GL"," ")</f>
        <v xml:space="preserve"> </v>
      </c>
      <c r="G58" s="1640"/>
      <c r="H58" s="1640"/>
      <c r="I58" s="1641"/>
      <c r="J58" s="1347">
        <f>(J56-J57)-(J60-J59)</f>
        <v>0</v>
      </c>
      <c r="K58" s="63"/>
      <c r="L58" s="1349"/>
    </row>
    <row r="59" spans="1:12" ht="13.1">
      <c r="A59" s="168"/>
      <c r="B59" s="168"/>
      <c r="C59" s="22"/>
      <c r="D59" s="194"/>
      <c r="E59" s="22"/>
      <c r="F59" s="22"/>
      <c r="G59" s="22"/>
      <c r="H59" s="22"/>
      <c r="I59" s="131" t="str">
        <f>IF(J59&gt;0,"Add KBTH"," ")</f>
        <v xml:space="preserve"> </v>
      </c>
      <c r="J59" s="1346">
        <f>IF(J56&gt;0,J41,0)</f>
        <v>0</v>
      </c>
      <c r="K59" s="22"/>
      <c r="L59" s="1350"/>
    </row>
    <row r="60" spans="1:12" ht="13.75" thickBot="1">
      <c r="A60" s="168"/>
      <c r="B60" s="168"/>
      <c r="D60" s="194"/>
      <c r="E60" s="1188" t="s">
        <v>1550</v>
      </c>
      <c r="F60" s="1189"/>
      <c r="G60" s="1528" t="s">
        <v>952</v>
      </c>
      <c r="H60" s="1351">
        <f>Summary!F162</f>
        <v>0</v>
      </c>
      <c r="I60" s="994" t="str">
        <f>IF(J56&gt;0,"Pump Setting Depth:"," ")</f>
        <v xml:space="preserve"> </v>
      </c>
      <c r="J60" s="1394">
        <f>IF(J44&gt;0,N27,0)</f>
        <v>0</v>
      </c>
      <c r="K60" s="951" t="str">
        <f>IF(J60&gt;0,"mKB"," ")</f>
        <v xml:space="preserve"> </v>
      </c>
      <c r="L60" s="1348">
        <f>J60-J59</f>
        <v>0</v>
      </c>
    </row>
    <row r="61" spans="1:12">
      <c r="A61" s="168"/>
      <c r="B61" s="168"/>
      <c r="D61" s="194"/>
      <c r="E61" s="1188" t="str">
        <f>Summary!C163</f>
        <v>Neutral</v>
      </c>
      <c r="F61" s="1189"/>
      <c r="G61" s="1190"/>
      <c r="H61" s="1351">
        <f>Summary!F163</f>
        <v>0</v>
      </c>
    </row>
    <row r="62" spans="1:12">
      <c r="A62" s="168"/>
      <c r="B62" s="168"/>
      <c r="D62" s="194"/>
      <c r="E62" s="1188" t="s">
        <v>1382</v>
      </c>
      <c r="F62" s="1189"/>
      <c r="G62" s="1528" t="s">
        <v>952</v>
      </c>
      <c r="H62" s="1351">
        <f>Summary!F164</f>
        <v>0</v>
      </c>
    </row>
    <row r="63" spans="1:12" ht="13.1">
      <c r="A63" s="168"/>
      <c r="B63" s="168"/>
      <c r="D63" s="194"/>
      <c r="E63" s="1017" t="str">
        <f>IF(J58&lt;0,"Rod String IS TOO SHORT",IF(J58&gt;4.7,"Rod String is TOO LONG"," "))</f>
        <v xml:space="preserve"> </v>
      </c>
    </row>
    <row r="64" spans="1:12" ht="13.1">
      <c r="A64" s="168"/>
      <c r="B64" s="168"/>
      <c r="D64" s="194"/>
      <c r="E64" s="1017" t="str">
        <f>IF(J58&lt;0,"Polish Rod Stickup is WRONG"," ")</f>
        <v xml:space="preserve"> </v>
      </c>
    </row>
    <row r="65" spans="1:14">
      <c r="A65" s="168"/>
      <c r="B65" s="168"/>
      <c r="D65" s="194"/>
      <c r="E65" t="s">
        <v>1401</v>
      </c>
      <c r="F65"/>
      <c r="G65"/>
      <c r="H65"/>
      <c r="I65"/>
      <c r="J65"/>
    </row>
    <row r="66" spans="1:14" ht="13.5" thickBot="1">
      <c r="A66" s="168"/>
      <c r="B66" s="168"/>
      <c r="D66" s="194"/>
      <c r="E66"/>
      <c r="F66"/>
      <c r="G66"/>
      <c r="H66"/>
      <c r="I66"/>
      <c r="J66"/>
    </row>
    <row r="67" spans="1:14" ht="13.75" thickBot="1">
      <c r="A67" s="168"/>
      <c r="B67" s="168"/>
      <c r="E67" s="1644" t="s">
        <v>1402</v>
      </c>
      <c r="F67" s="1644"/>
      <c r="G67" s="645">
        <f>J82</f>
        <v>0</v>
      </c>
      <c r="H67" s="1518" t="s">
        <v>1403</v>
      </c>
      <c r="I67" s="37" t="s">
        <v>1404</v>
      </c>
      <c r="J67"/>
      <c r="K67" s="1356" t="s">
        <v>1407</v>
      </c>
      <c r="L67" s="1352"/>
      <c r="M67" s="1536"/>
      <c r="N67" s="642"/>
    </row>
    <row r="68" spans="1:14">
      <c r="A68" s="168"/>
      <c r="B68" s="168"/>
      <c r="E68" t="s">
        <v>1405</v>
      </c>
      <c r="F68"/>
      <c r="G68" s="1534">
        <v>0.33</v>
      </c>
      <c r="H68" s="1532">
        <f>IF(H7="m",G67*G68/7.61,G67*G68/25)</f>
        <v>0</v>
      </c>
      <c r="I68" s="1642">
        <f>IF(K82="m",((J82/7.62)-(K68/7.62)),(J82/25-K68/25))</f>
        <v>0</v>
      </c>
      <c r="J68"/>
      <c r="K68" s="1355">
        <v>0</v>
      </c>
    </row>
    <row r="69" spans="1:14">
      <c r="A69" s="168"/>
      <c r="B69" s="168"/>
      <c r="E69" t="s">
        <v>1406</v>
      </c>
      <c r="F69"/>
      <c r="G69" s="1534">
        <f>1-G68</f>
        <v>0.66999999999999993</v>
      </c>
      <c r="H69" s="1532">
        <f>IF(H7="m",((G68*G67/7.62)-K68/7.62),((G68*G67/25)-K68/25))</f>
        <v>0</v>
      </c>
      <c r="I69" s="1643"/>
      <c r="J69"/>
    </row>
    <row r="70" spans="1:14">
      <c r="A70" s="168"/>
      <c r="B70" s="168"/>
      <c r="D70" s="994" t="s">
        <v>576</v>
      </c>
      <c r="E70" s="3">
        <v>25.4</v>
      </c>
      <c r="F70" t="s">
        <v>1558</v>
      </c>
      <c r="G70" s="1534">
        <v>0.1</v>
      </c>
      <c r="H70" s="1532">
        <f>IF(H7="m",G70*G67/7.61,G70*G67/25)</f>
        <v>0</v>
      </c>
      <c r="I70"/>
      <c r="J70"/>
    </row>
    <row r="71" spans="1:14">
      <c r="A71" s="168"/>
      <c r="B71" s="1334"/>
      <c r="C71" s="1334"/>
      <c r="D71" s="1353" t="s">
        <v>576</v>
      </c>
      <c r="E71" s="3">
        <v>22.2</v>
      </c>
      <c r="F71" t="s">
        <v>1558</v>
      </c>
      <c r="G71" s="1534">
        <f>1-G70-G72-G74</f>
        <v>0.22999999999999998</v>
      </c>
      <c r="H71" s="1532">
        <f>IF(H7="m",(G71*G67/7.61),G71*G67/25)</f>
        <v>0</v>
      </c>
      <c r="I71"/>
      <c r="J71"/>
    </row>
    <row r="72" spans="1:14">
      <c r="A72" s="168"/>
      <c r="B72" s="1335"/>
      <c r="C72" s="1335"/>
      <c r="D72" s="1353" t="s">
        <v>576</v>
      </c>
      <c r="E72" s="3" t="s">
        <v>1553</v>
      </c>
      <c r="F72" t="s">
        <v>1557</v>
      </c>
      <c r="G72" s="1534">
        <v>0.05</v>
      </c>
      <c r="H72" s="1532">
        <f>IF(H7="m",I68*G72/7.62,I68*G72/25)</f>
        <v>0</v>
      </c>
      <c r="I72"/>
      <c r="J72"/>
    </row>
    <row r="73" spans="1:14">
      <c r="A73" s="168"/>
      <c r="B73" s="1335"/>
      <c r="C73" s="1335"/>
      <c r="D73" s="1353" t="str">
        <f>D72</f>
        <v>%</v>
      </c>
      <c r="E73" s="3">
        <v>25.4</v>
      </c>
      <c r="F73" t="s">
        <v>1559</v>
      </c>
      <c r="G73" s="1534">
        <v>0.1</v>
      </c>
      <c r="H73" s="1532">
        <f>IF(H7="m",I68*G73/7.62,I68*G73/25)</f>
        <v>0</v>
      </c>
      <c r="I73"/>
      <c r="J73"/>
    </row>
    <row r="74" spans="1:14" ht="13.75" thickBot="1">
      <c r="A74" s="168"/>
      <c r="B74" s="1396"/>
      <c r="C74" s="1336"/>
      <c r="D74" s="1354" t="s">
        <v>576</v>
      </c>
      <c r="E74" s="1332" t="s">
        <v>1555</v>
      </c>
      <c r="F74" t="s">
        <v>1557</v>
      </c>
      <c r="G74" s="1535">
        <v>0.62</v>
      </c>
      <c r="H74" s="1533">
        <f>IF(H7="m",I68*G74/7.62,I68*G74/25)</f>
        <v>0</v>
      </c>
      <c r="I74"/>
      <c r="J74"/>
    </row>
    <row r="75" spans="1:14" ht="13.1">
      <c r="A75" s="168"/>
      <c r="B75" s="1397"/>
      <c r="C75" s="1336"/>
      <c r="D75" s="1354"/>
      <c r="E75"/>
      <c r="F75"/>
      <c r="G75" s="1357">
        <f>SUM(G71:G74)</f>
        <v>1</v>
      </c>
      <c r="H75" s="1532">
        <f>SUM(H68:H74)</f>
        <v>0</v>
      </c>
      <c r="I75" t="str">
        <f>IF(H75&lt;&gt;(I68+I68),"Check Yer Rod Count"," ")</f>
        <v xml:space="preserve"> </v>
      </c>
      <c r="J75"/>
    </row>
    <row r="76" spans="1:14" ht="13.1">
      <c r="A76" s="168"/>
      <c r="B76" s="1397"/>
      <c r="C76" s="1336"/>
      <c r="D76" s="1354"/>
      <c r="E76" s="1638">
        <f>E70</f>
        <v>25.4</v>
      </c>
      <c r="F76" s="1638"/>
      <c r="G76" s="1638"/>
      <c r="H76" s="1638"/>
      <c r="I76" s="1358">
        <f>G70*I68</f>
        <v>0</v>
      </c>
      <c r="J76"/>
    </row>
    <row r="77" spans="1:14" ht="13.1">
      <c r="A77" s="168"/>
      <c r="B77" s="1397"/>
      <c r="C77" s="1336"/>
      <c r="D77" s="1354"/>
      <c r="E77" s="1638">
        <f>E71</f>
        <v>22.2</v>
      </c>
      <c r="F77" s="1638"/>
      <c r="G77" s="1638"/>
      <c r="H77" s="1638"/>
      <c r="I77" s="1358">
        <f>G71*I68</f>
        <v>0</v>
      </c>
      <c r="J77"/>
    </row>
    <row r="78" spans="1:14" ht="13.1">
      <c r="A78" s="168"/>
      <c r="B78" s="1397"/>
      <c r="C78" s="1336"/>
      <c r="D78" s="1354"/>
      <c r="E78" s="1638" t="str">
        <f>E72</f>
        <v>¾</v>
      </c>
      <c r="F78" s="1638"/>
      <c r="G78" s="1638"/>
      <c r="H78" s="1638"/>
      <c r="I78" s="1358">
        <f>G72*I68</f>
        <v>0</v>
      </c>
      <c r="J78"/>
    </row>
    <row r="79" spans="1:14" ht="13.1">
      <c r="A79" s="168"/>
      <c r="B79" s="1397"/>
      <c r="C79" s="1336"/>
      <c r="D79" s="1354"/>
      <c r="E79" s="124"/>
      <c r="F79" s="124"/>
      <c r="G79" s="124"/>
      <c r="H79" s="124">
        <f>E73</f>
        <v>25.4</v>
      </c>
      <c r="I79" s="1358"/>
      <c r="J79"/>
    </row>
    <row r="80" spans="1:14" ht="13.75" thickBot="1">
      <c r="A80" s="168"/>
      <c r="B80" s="1397"/>
      <c r="C80" s="1336"/>
      <c r="D80" s="1336"/>
      <c r="E80" s="1638" t="str">
        <f>E74</f>
        <v>⅝</v>
      </c>
      <c r="F80" s="1638"/>
      <c r="G80" s="1638"/>
      <c r="H80" s="1638"/>
      <c r="I80" s="1359">
        <f>G74*I68</f>
        <v>0</v>
      </c>
      <c r="J80"/>
    </row>
    <row r="81" spans="1:11" ht="13.75" thickBot="1">
      <c r="A81" s="168"/>
      <c r="B81" s="1397"/>
      <c r="C81" s="1336"/>
      <c r="D81" s="1336"/>
      <c r="E81"/>
      <c r="F81"/>
      <c r="G81"/>
      <c r="H81" t="s">
        <v>1408</v>
      </c>
      <c r="I81" s="1358">
        <f>I76+I77+I78+I80</f>
        <v>0</v>
      </c>
      <c r="J81"/>
    </row>
    <row r="82" spans="1:11" ht="13.75" thickBot="1">
      <c r="A82" s="168"/>
      <c r="B82" s="1397"/>
      <c r="C82" s="1336"/>
      <c r="D82" s="1336"/>
      <c r="E82"/>
      <c r="F82"/>
      <c r="G82"/>
      <c r="H82"/>
      <c r="I82" s="1529" t="s">
        <v>1551</v>
      </c>
      <c r="J82" s="1360">
        <f>N27</f>
        <v>0</v>
      </c>
      <c r="K82" s="951" t="s">
        <v>1526</v>
      </c>
    </row>
    <row r="83" spans="1:11" ht="13.1">
      <c r="A83" s="168"/>
      <c r="B83" s="1397"/>
      <c r="C83" s="1336"/>
      <c r="D83" s="1336"/>
    </row>
    <row r="84" spans="1:11" ht="13.1">
      <c r="A84" s="168"/>
      <c r="B84" s="1397"/>
      <c r="C84" s="1336"/>
      <c r="D84" s="1336"/>
    </row>
    <row r="85" spans="1:11" ht="13.1">
      <c r="A85" s="168"/>
      <c r="B85" s="1397"/>
      <c r="C85" s="1336"/>
      <c r="D85" s="1336"/>
    </row>
    <row r="86" spans="1:11" ht="13.1">
      <c r="B86" s="1337"/>
      <c r="C86" s="1336"/>
      <c r="D86" s="1336"/>
    </row>
    <row r="87" spans="1:11" ht="13.1">
      <c r="B87" s="1337"/>
      <c r="C87" s="1336"/>
      <c r="D87" s="1336"/>
    </row>
    <row r="88" spans="1:11" ht="13.1">
      <c r="B88" s="1337"/>
      <c r="C88" s="1336"/>
      <c r="D88" s="1336"/>
    </row>
    <row r="89" spans="1:11" ht="13.1">
      <c r="B89" s="1337"/>
      <c r="C89" s="1336"/>
      <c r="D89" s="1336"/>
    </row>
    <row r="90" spans="1:11" ht="13.1">
      <c r="B90" s="1337"/>
      <c r="C90" s="1336"/>
      <c r="D90" s="1336"/>
    </row>
    <row r="91" spans="1:11" ht="13.1">
      <c r="B91" s="1337"/>
      <c r="C91" s="1336"/>
      <c r="D91" s="1336"/>
    </row>
    <row r="92" spans="1:11" ht="13.1">
      <c r="B92" s="1337"/>
      <c r="C92" s="1336"/>
      <c r="D92" s="1336"/>
    </row>
    <row r="93" spans="1:11" ht="13.1">
      <c r="B93" s="1337"/>
      <c r="C93" s="1336"/>
      <c r="D93" s="1336"/>
    </row>
    <row r="94" spans="1:11" ht="13.1">
      <c r="B94" s="1337"/>
      <c r="C94" s="1336"/>
      <c r="D94" s="1336"/>
    </row>
    <row r="95" spans="1:11" ht="13.1">
      <c r="B95" s="1337"/>
      <c r="C95" s="1336"/>
      <c r="D95" s="1336"/>
    </row>
    <row r="96" spans="1:11" ht="13.1">
      <c r="B96" s="1337"/>
      <c r="C96" s="1336"/>
      <c r="D96" s="1336"/>
    </row>
    <row r="97" spans="2:4" ht="13.1">
      <c r="B97" s="1337"/>
      <c r="C97" s="1336"/>
      <c r="D97" s="1336"/>
    </row>
    <row r="98" spans="2:4" ht="13.1">
      <c r="B98" s="1337"/>
      <c r="C98" s="1336"/>
      <c r="D98" s="1336"/>
    </row>
    <row r="99" spans="2:4" ht="13.1">
      <c r="B99" s="1337"/>
      <c r="C99" s="1336"/>
      <c r="D99" s="1336"/>
    </row>
    <row r="100" spans="2:4" ht="13.1">
      <c r="B100" s="1337"/>
      <c r="C100" s="1336"/>
      <c r="D100" s="1336"/>
    </row>
    <row r="101" spans="2:4" ht="13.1">
      <c r="B101" s="1337"/>
      <c r="C101" s="1336"/>
      <c r="D101" s="1336"/>
    </row>
    <row r="102" spans="2:4" ht="13.1">
      <c r="B102" s="1337"/>
      <c r="C102" s="1336"/>
      <c r="D102" s="1336"/>
    </row>
    <row r="103" spans="2:4" ht="13.1">
      <c r="B103" s="1337"/>
      <c r="C103" s="1336"/>
      <c r="D103" s="1336"/>
    </row>
    <row r="104" spans="2:4" ht="13.1">
      <c r="B104" s="1337"/>
      <c r="C104" s="1336"/>
      <c r="D104" s="1336"/>
    </row>
    <row r="105" spans="2:4" ht="13.1">
      <c r="B105" s="1337"/>
      <c r="C105" s="1336"/>
      <c r="D105" s="1336"/>
    </row>
    <row r="106" spans="2:4" ht="13.1">
      <c r="B106" s="1337"/>
      <c r="C106" s="1336"/>
      <c r="D106" s="1336"/>
    </row>
    <row r="107" spans="2:4" ht="13.1">
      <c r="B107" s="1337"/>
      <c r="C107" s="1336"/>
      <c r="D107" s="1336"/>
    </row>
    <row r="108" spans="2:4" ht="13.1">
      <c r="B108" s="1337"/>
      <c r="C108" s="1336"/>
      <c r="D108" s="1336"/>
    </row>
    <row r="109" spans="2:4" ht="13.1">
      <c r="B109" s="1337"/>
      <c r="C109" s="1336"/>
      <c r="D109" s="1336"/>
    </row>
    <row r="110" spans="2:4" ht="13.1">
      <c r="B110" s="1337"/>
      <c r="C110" s="1336"/>
      <c r="D110" s="1336"/>
    </row>
    <row r="111" spans="2:4" ht="13.1">
      <c r="B111" s="1337"/>
      <c r="C111" s="1336"/>
      <c r="D111" s="1336"/>
    </row>
    <row r="112" spans="2:4" ht="13.1">
      <c r="B112" s="1337"/>
      <c r="C112" s="1336"/>
      <c r="D112" s="1336"/>
    </row>
    <row r="113" spans="2:4" ht="13.1">
      <c r="B113" s="1337"/>
      <c r="C113" s="1336"/>
      <c r="D113" s="1336"/>
    </row>
    <row r="114" spans="2:4" ht="13.1">
      <c r="B114" s="1337"/>
      <c r="C114" s="1336"/>
      <c r="D114" s="1336"/>
    </row>
    <row r="115" spans="2:4" ht="13.1">
      <c r="B115" s="1337"/>
      <c r="C115" s="1336"/>
      <c r="D115" s="1336"/>
    </row>
    <row r="116" spans="2:4" ht="13.1">
      <c r="B116" s="1337"/>
      <c r="C116" s="1336"/>
      <c r="D116" s="1336"/>
    </row>
    <row r="117" spans="2:4" ht="13.1">
      <c r="B117" s="1337"/>
      <c r="C117" s="1336"/>
      <c r="D117" s="1336"/>
    </row>
    <row r="118" spans="2:4" ht="13.1">
      <c r="B118" s="1337"/>
      <c r="C118" s="1336"/>
      <c r="D118" s="1336"/>
    </row>
    <row r="119" spans="2:4" ht="13.1">
      <c r="B119" s="1337"/>
      <c r="C119" s="1336"/>
      <c r="D119" s="1336"/>
    </row>
    <row r="120" spans="2:4" ht="13.1">
      <c r="B120" s="1337"/>
      <c r="C120" s="1336"/>
      <c r="D120" s="1336"/>
    </row>
    <row r="121" spans="2:4" ht="13.1">
      <c r="B121" s="1337"/>
      <c r="C121" s="1336"/>
      <c r="D121" s="1336"/>
    </row>
    <row r="122" spans="2:4" ht="13.1">
      <c r="B122" s="1337"/>
      <c r="C122" s="1336"/>
      <c r="D122" s="1336"/>
    </row>
    <row r="123" spans="2:4" ht="13.1">
      <c r="B123" s="1337"/>
      <c r="C123" s="1336"/>
      <c r="D123" s="1336"/>
    </row>
    <row r="124" spans="2:4" ht="13.1">
      <c r="B124" s="1337"/>
      <c r="C124" s="1336"/>
      <c r="D124" s="1336"/>
    </row>
    <row r="125" spans="2:4" ht="13.1">
      <c r="B125" s="1337"/>
      <c r="C125" s="1336"/>
      <c r="D125" s="1336"/>
    </row>
    <row r="126" spans="2:4" ht="13.1">
      <c r="B126" s="1336"/>
      <c r="C126" s="1336"/>
      <c r="D126" s="1336"/>
    </row>
    <row r="127" spans="2:4" ht="13.1">
      <c r="B127" s="1337"/>
      <c r="C127" s="1336"/>
      <c r="D127" s="1336"/>
    </row>
    <row r="128" spans="2:4" ht="13.1">
      <c r="B128" s="1337"/>
      <c r="C128" s="1336"/>
      <c r="D128" s="1336"/>
    </row>
    <row r="129" spans="2:4" ht="13.1">
      <c r="B129" s="1337"/>
      <c r="C129" s="1336"/>
      <c r="D129" s="1336"/>
    </row>
    <row r="130" spans="2:4" ht="13.1">
      <c r="B130" s="1337"/>
      <c r="C130" s="1336"/>
      <c r="D130" s="1336"/>
    </row>
    <row r="131" spans="2:4" ht="13.1">
      <c r="B131" s="1337"/>
      <c r="C131" s="1336"/>
      <c r="D131" s="1336"/>
    </row>
    <row r="132" spans="2:4" ht="13.1">
      <c r="B132" s="1337"/>
      <c r="C132" s="1336"/>
      <c r="D132" s="1336"/>
    </row>
    <row r="133" spans="2:4" ht="13.1">
      <c r="B133" s="1337"/>
      <c r="C133" s="1336"/>
      <c r="D133" s="1336"/>
    </row>
    <row r="134" spans="2:4" ht="13.1">
      <c r="B134" s="1337"/>
      <c r="C134" s="1336"/>
      <c r="D134" s="1336"/>
    </row>
    <row r="135" spans="2:4" ht="13.1">
      <c r="B135" s="1337"/>
      <c r="C135" s="1336"/>
      <c r="D135" s="1336"/>
    </row>
    <row r="136" spans="2:4" ht="13.1">
      <c r="B136" s="1337"/>
      <c r="C136" s="1336"/>
      <c r="D136" s="1336"/>
    </row>
    <row r="137" spans="2:4" ht="13.1">
      <c r="B137" s="1337"/>
      <c r="C137" s="1336"/>
      <c r="D137" s="1336"/>
    </row>
    <row r="138" spans="2:4" ht="13.1">
      <c r="B138" s="1337"/>
      <c r="C138" s="1336"/>
      <c r="D138" s="1336"/>
    </row>
    <row r="139" spans="2:4" ht="13.1">
      <c r="B139" s="1337"/>
      <c r="C139" s="1336"/>
      <c r="D139" s="1336"/>
    </row>
    <row r="140" spans="2:4" ht="13.1">
      <c r="B140" s="1337"/>
      <c r="C140" s="1336"/>
      <c r="D140" s="1336"/>
    </row>
    <row r="141" spans="2:4" ht="13.1">
      <c r="B141" s="1337"/>
      <c r="C141" s="1336"/>
      <c r="D141" s="1336"/>
    </row>
    <row r="142" spans="2:4" ht="13.1">
      <c r="B142" s="1337"/>
      <c r="C142" s="1336"/>
      <c r="D142" s="1336"/>
    </row>
    <row r="143" spans="2:4" ht="13.1">
      <c r="B143" s="1337"/>
      <c r="C143" s="1336"/>
      <c r="D143" s="1336"/>
    </row>
    <row r="144" spans="2:4" ht="13.1">
      <c r="B144" s="1337"/>
      <c r="C144" s="1336"/>
      <c r="D144" s="1336"/>
    </row>
    <row r="145" spans="2:4" ht="13.1">
      <c r="B145" s="1337"/>
      <c r="C145" s="1336"/>
      <c r="D145" s="1336"/>
    </row>
    <row r="146" spans="2:4" ht="13.1">
      <c r="B146" s="1338"/>
      <c r="C146" s="1339"/>
      <c r="D146" s="1340"/>
    </row>
  </sheetData>
  <mergeCells count="69">
    <mergeCell ref="F25:I25"/>
    <mergeCell ref="F26:I26"/>
    <mergeCell ref="I10:L10"/>
    <mergeCell ref="J11:L11"/>
    <mergeCell ref="I12:L12"/>
    <mergeCell ref="I13:J13"/>
    <mergeCell ref="F45:G45"/>
    <mergeCell ref="H45:I45"/>
    <mergeCell ref="F38:I38"/>
    <mergeCell ref="F31:I31"/>
    <mergeCell ref="F32:I32"/>
    <mergeCell ref="F33:I33"/>
    <mergeCell ref="F34:I34"/>
    <mergeCell ref="F55:I55"/>
    <mergeCell ref="F48:I48"/>
    <mergeCell ref="F44:I44"/>
    <mergeCell ref="M14:N14"/>
    <mergeCell ref="M15:N15"/>
    <mergeCell ref="M16:N16"/>
    <mergeCell ref="F40:I40"/>
    <mergeCell ref="F41:I41"/>
    <mergeCell ref="F42:I42"/>
    <mergeCell ref="F39:I39"/>
    <mergeCell ref="F18:H18"/>
    <mergeCell ref="F27:I27"/>
    <mergeCell ref="F28:I28"/>
    <mergeCell ref="F29:I29"/>
    <mergeCell ref="F30:I30"/>
    <mergeCell ref="F37:I37"/>
    <mergeCell ref="E1:J1"/>
    <mergeCell ref="F53:I53"/>
    <mergeCell ref="F54:I54"/>
    <mergeCell ref="F49:I49"/>
    <mergeCell ref="F50:I50"/>
    <mergeCell ref="F51:I51"/>
    <mergeCell ref="F52:I52"/>
    <mergeCell ref="F46:I46"/>
    <mergeCell ref="F47:I47"/>
    <mergeCell ref="I17:J17"/>
    <mergeCell ref="I18:J18"/>
    <mergeCell ref="I19:J19"/>
    <mergeCell ref="I20:J20"/>
    <mergeCell ref="F35:I35"/>
    <mergeCell ref="F36:I36"/>
    <mergeCell ref="F17:H17"/>
    <mergeCell ref="K13:L13"/>
    <mergeCell ref="K14:L14"/>
    <mergeCell ref="K15:L15"/>
    <mergeCell ref="K16:L16"/>
    <mergeCell ref="E4:N4"/>
    <mergeCell ref="E5:N5"/>
    <mergeCell ref="E6:N6"/>
    <mergeCell ref="I9:L9"/>
    <mergeCell ref="M13:N13"/>
    <mergeCell ref="F7:G7"/>
    <mergeCell ref="F8:G8"/>
    <mergeCell ref="F11:G11"/>
    <mergeCell ref="I21:J21"/>
    <mergeCell ref="F24:I24"/>
    <mergeCell ref="I14:J14"/>
    <mergeCell ref="I15:J15"/>
    <mergeCell ref="I16:J16"/>
    <mergeCell ref="E78:H78"/>
    <mergeCell ref="E80:H80"/>
    <mergeCell ref="F58:I58"/>
    <mergeCell ref="I68:I69"/>
    <mergeCell ref="E67:F67"/>
    <mergeCell ref="E76:H76"/>
    <mergeCell ref="E77:H77"/>
  </mergeCells>
  <phoneticPr fontId="0" type="noConversion"/>
  <pageMargins left="0.25" right="0.25" top="0.5" bottom="0.5" header="0.5" footer="0.5"/>
  <pageSetup scale="70" orientation="portrait" horizontalDpi="360"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09" r:id="rId4" name="Button 137">
              <controlPr defaultSize="0" print="0" autoFill="0" autoPict="0" macro="[0]!ToGraphicsSheet">
                <anchor moveWithCells="1">
                  <from>
                    <xdr:col>10</xdr:col>
                    <xdr:colOff>40821</xdr:colOff>
                    <xdr:row>1</xdr:row>
                    <xdr:rowOff>57150</xdr:rowOff>
                  </from>
                  <to>
                    <xdr:col>12</xdr:col>
                    <xdr:colOff>10886</xdr:colOff>
                    <xdr:row>3</xdr:row>
                    <xdr:rowOff>29936</xdr:rowOff>
                  </to>
                </anchor>
              </controlPr>
            </control>
          </mc:Choice>
        </mc:AlternateContent>
        <mc:AlternateContent xmlns:mc="http://schemas.openxmlformats.org/markup-compatibility/2006">
          <mc:Choice Requires="x14">
            <control shapeId="3218" r:id="rId5" name="Button 146">
              <controlPr defaultSize="0" print="0" autoFill="0" autoPict="0" macro="[0]!BACKTOMENU2">
                <anchor moveWithCells="1">
                  <from>
                    <xdr:col>10</xdr:col>
                    <xdr:colOff>40821</xdr:colOff>
                    <xdr:row>3</xdr:row>
                    <xdr:rowOff>57150</xdr:rowOff>
                  </from>
                  <to>
                    <xdr:col>12</xdr:col>
                    <xdr:colOff>19050</xdr:colOff>
                    <xdr:row>4</xdr:row>
                    <xdr:rowOff>108857</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D02F8972-E552-44F5-9082-09443935CA46}">
          <x14:formula1>
            <xm:f>'Data Validation'!$C$4:$D$4</xm:f>
          </x14:formula1>
          <xm:sqref>H7:H8 K82</xm:sqref>
        </x14:dataValidation>
        <x14:dataValidation type="list" allowBlank="1" showInputMessage="1" showErrorMessage="1" xr:uid="{616ACF03-C3C2-4DD5-B5EF-5BFAE64A6384}">
          <x14:formula1>
            <xm:f>'Data Validation'!$C$7:$D$7</xm:f>
          </x14:formula1>
          <xm:sqref>H11</xm:sqref>
        </x14:dataValidation>
        <x14:dataValidation type="list" allowBlank="1" showInputMessage="1" showErrorMessage="1" xr:uid="{0529A50F-1794-4B98-9FE0-0995321AF8EA}">
          <x14:formula1>
            <xm:f>'Data Validation'!$C$6:$D$6</xm:f>
          </x14:formula1>
          <xm:sqref>G62 G60</xm:sqref>
        </x14:dataValidation>
        <x14:dataValidation type="list" allowBlank="1" showInputMessage="1" showErrorMessage="1" xr:uid="{64FE1952-B49A-4A2C-B921-486937E9DDD6}">
          <x14:formula1>
            <xm:f>'Data Validation'!$E$5:$F$5</xm:f>
          </x14:formula1>
          <xm:sqref>E70</xm:sqref>
        </x14:dataValidation>
        <x14:dataValidation type="list" allowBlank="1" showInputMessage="1" showErrorMessage="1" xr:uid="{567D5D2C-95F6-4EF2-BBF9-FCCB4F066780}">
          <x14:formula1>
            <xm:f>'Data Validation'!$E$4:$F$4</xm:f>
          </x14:formula1>
          <xm:sqref>E71</xm:sqref>
        </x14:dataValidation>
        <x14:dataValidation type="list" allowBlank="1" showInputMessage="1" showErrorMessage="1" xr:uid="{E6C5BE77-40C7-498A-8638-FFE8B812577C}">
          <x14:formula1>
            <xm:f>'Data Validation'!$E$3:$F$3</xm:f>
          </x14:formula1>
          <xm:sqref>E72:E73</xm:sqref>
        </x14:dataValidation>
        <x14:dataValidation type="list" allowBlank="1" showInputMessage="1" showErrorMessage="1" xr:uid="{2C4E4684-5023-4D28-8755-71F27B7B3BA5}">
          <x14:formula1>
            <xm:f>'Data Validation'!$E$2:$F$2</xm:f>
          </x14:formula1>
          <xm:sqref>E73:E74</xm:sqref>
        </x14:dataValidation>
        <x14:dataValidation type="list" allowBlank="1" showInputMessage="1" showErrorMessage="1" xr:uid="{75747107-09C5-42CF-9EA4-4094F30FF089}">
          <x14:formula1>
            <xm:f>'Data Validation'!$E$10:$E$13</xm:f>
          </x14:formula1>
          <xm:sqref>F70:F74</xm:sqref>
        </x14:dataValidation>
        <x14:dataValidation type="list" allowBlank="1" showInputMessage="1" showErrorMessage="1" xr:uid="{E4B90122-FFB2-4D89-B76B-EDEAE7C49D2F}">
          <x14:formula1>
            <xm:f>'Data Validation'!$C$1:$D$1</xm:f>
          </x14:formula1>
          <xm:sqref>H45:I45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3C5D7-7C2D-43E8-9490-7FA3BD6B555D}">
  <sheetPr codeName="Sheet16"/>
  <dimension ref="A1:L64"/>
  <sheetViews>
    <sheetView showGridLines="0" showZeros="0" view="pageBreakPreview" zoomScale="120" zoomScaleNormal="100" zoomScaleSheetLayoutView="120" workbookViewId="0">
      <selection activeCell="A36" sqref="A36"/>
    </sheetView>
  </sheetViews>
  <sheetFormatPr defaultRowHeight="12.9"/>
  <sheetData>
    <row r="1" spans="1:12" ht="13.1">
      <c r="A1" s="493"/>
      <c r="B1" s="50"/>
      <c r="C1" s="1963">
        <f>'Well Equipment'!A1</f>
        <v>0</v>
      </c>
      <c r="D1" s="1963"/>
      <c r="E1" s="1963"/>
      <c r="F1" s="1963"/>
      <c r="G1" s="1963"/>
      <c r="H1" s="1963"/>
      <c r="I1" s="1963"/>
      <c r="J1" s="1963"/>
      <c r="K1" s="50"/>
      <c r="L1" s="43"/>
    </row>
    <row r="2" spans="1:12">
      <c r="A2" s="315"/>
      <c r="L2" s="45"/>
    </row>
    <row r="3" spans="1:12">
      <c r="A3" s="315"/>
      <c r="L3" s="45"/>
    </row>
    <row r="4" spans="1:12">
      <c r="A4" s="315"/>
      <c r="L4" s="45"/>
    </row>
    <row r="5" spans="1:12">
      <c r="A5" s="315"/>
      <c r="L5" s="45"/>
    </row>
    <row r="6" spans="1:12" ht="13.1">
      <c r="A6" s="315" t="s">
        <v>634</v>
      </c>
      <c r="B6" s="22">
        <f>Summary!C6</f>
        <v>0</v>
      </c>
      <c r="H6" t="s">
        <v>221</v>
      </c>
      <c r="I6" s="1947">
        <f>Summary!C4</f>
        <v>0</v>
      </c>
      <c r="J6" s="1947"/>
      <c r="L6" s="45"/>
    </row>
    <row r="7" spans="1:12">
      <c r="A7" s="315"/>
      <c r="L7" s="45"/>
    </row>
    <row r="8" spans="1:12" ht="13.1">
      <c r="A8" s="494" t="s">
        <v>979</v>
      </c>
      <c r="C8" s="161">
        <f>Summary!D12</f>
        <v>0</v>
      </c>
      <c r="D8" s="1479" t="s">
        <v>512</v>
      </c>
      <c r="E8" s="335" t="s">
        <v>980</v>
      </c>
      <c r="G8" s="161">
        <f>Summary!F12</f>
        <v>0</v>
      </c>
      <c r="H8" s="1479" t="s">
        <v>512</v>
      </c>
      <c r="I8" s="335" t="s">
        <v>981</v>
      </c>
      <c r="K8" s="161">
        <f>Summary!E146</f>
        <v>0</v>
      </c>
      <c r="L8" s="1479" t="s">
        <v>512</v>
      </c>
    </row>
    <row r="9" spans="1:12">
      <c r="A9" s="315"/>
      <c r="L9" s="305"/>
    </row>
    <row r="10" spans="1:12" ht="13.1">
      <c r="A10" s="500" t="s">
        <v>982</v>
      </c>
      <c r="B10" s="18"/>
      <c r="C10" s="18"/>
      <c r="D10" s="18" t="s">
        <v>984</v>
      </c>
      <c r="E10" s="18"/>
      <c r="F10" s="36"/>
      <c r="G10" s="501" t="s">
        <v>983</v>
      </c>
      <c r="H10" s="18"/>
      <c r="I10" s="18"/>
      <c r="J10" s="18" t="s">
        <v>984</v>
      </c>
      <c r="K10" s="18"/>
      <c r="L10" s="498"/>
    </row>
    <row r="11" spans="1:12">
      <c r="A11" s="491" t="s">
        <v>985</v>
      </c>
      <c r="B11" s="18" t="s">
        <v>939</v>
      </c>
      <c r="C11" s="18"/>
      <c r="D11" s="18"/>
      <c r="E11" s="18"/>
      <c r="F11" s="464" t="s">
        <v>156</v>
      </c>
      <c r="G11" s="490" t="s">
        <v>985</v>
      </c>
      <c r="H11" s="18" t="s">
        <v>939</v>
      </c>
      <c r="I11" s="18"/>
      <c r="J11" s="18"/>
      <c r="K11" s="18"/>
      <c r="L11" s="499" t="s">
        <v>156</v>
      </c>
    </row>
    <row r="12" spans="1:12">
      <c r="A12" s="1537"/>
      <c r="B12" s="1954"/>
      <c r="C12" s="1955"/>
      <c r="D12" s="1955"/>
      <c r="E12" s="1956"/>
      <c r="F12" s="1538"/>
      <c r="G12" s="1543">
        <f>Summary!A128</f>
        <v>0</v>
      </c>
      <c r="H12" s="1948">
        <f>Summary!B128</f>
        <v>0</v>
      </c>
      <c r="I12" s="1949"/>
      <c r="J12" s="1949"/>
      <c r="K12" s="1950"/>
      <c r="L12" s="1544">
        <f>Summary!E128</f>
        <v>0</v>
      </c>
    </row>
    <row r="13" spans="1:12">
      <c r="A13" s="1539"/>
      <c r="B13" s="1957"/>
      <c r="C13" s="1958"/>
      <c r="D13" s="1958"/>
      <c r="E13" s="1959"/>
      <c r="F13" s="1540"/>
      <c r="G13" s="1545">
        <f>Summary!A129</f>
        <v>0</v>
      </c>
      <c r="H13" s="1944">
        <f>Summary!B129</f>
        <v>0</v>
      </c>
      <c r="I13" s="1945"/>
      <c r="J13" s="1945"/>
      <c r="K13" s="1946"/>
      <c r="L13" s="1546">
        <f>Summary!E129</f>
        <v>0</v>
      </c>
    </row>
    <row r="14" spans="1:12">
      <c r="A14" s="1539"/>
      <c r="B14" s="1957"/>
      <c r="C14" s="1958"/>
      <c r="D14" s="1958"/>
      <c r="E14" s="1959"/>
      <c r="F14" s="1540"/>
      <c r="G14" s="1545">
        <f>Summary!A130</f>
        <v>0</v>
      </c>
      <c r="H14" s="1944">
        <f>Summary!B130</f>
        <v>0</v>
      </c>
      <c r="I14" s="1945"/>
      <c r="J14" s="1945"/>
      <c r="K14" s="1946"/>
      <c r="L14" s="1546">
        <f>Summary!E130</f>
        <v>0</v>
      </c>
    </row>
    <row r="15" spans="1:12">
      <c r="A15" s="1539"/>
      <c r="B15" s="1957"/>
      <c r="C15" s="1958"/>
      <c r="D15" s="1958"/>
      <c r="E15" s="1959"/>
      <c r="F15" s="1540"/>
      <c r="G15" s="1545">
        <f>Summary!A131</f>
        <v>0</v>
      </c>
      <c r="H15" s="1944">
        <f>Summary!B131</f>
        <v>0</v>
      </c>
      <c r="I15" s="1945"/>
      <c r="J15" s="1945"/>
      <c r="K15" s="1946"/>
      <c r="L15" s="1546">
        <f>Summary!E131</f>
        <v>0</v>
      </c>
    </row>
    <row r="16" spans="1:12">
      <c r="A16" s="1539"/>
      <c r="B16" s="1957"/>
      <c r="C16" s="1958"/>
      <c r="D16" s="1958"/>
      <c r="E16" s="1959"/>
      <c r="F16" s="1540"/>
      <c r="G16" s="1545">
        <f>Summary!A132</f>
        <v>0</v>
      </c>
      <c r="H16" s="1944">
        <f>Summary!B132</f>
        <v>0</v>
      </c>
      <c r="I16" s="1945"/>
      <c r="J16" s="1945"/>
      <c r="K16" s="1946"/>
      <c r="L16" s="1546">
        <f>Summary!E132</f>
        <v>0</v>
      </c>
    </row>
    <row r="17" spans="1:12">
      <c r="A17" s="1539"/>
      <c r="B17" s="1957"/>
      <c r="C17" s="1958"/>
      <c r="D17" s="1958"/>
      <c r="E17" s="1959"/>
      <c r="F17" s="1540"/>
      <c r="G17" s="1545">
        <f>Summary!A133</f>
        <v>0</v>
      </c>
      <c r="H17" s="1944">
        <f>Summary!B133</f>
        <v>0</v>
      </c>
      <c r="I17" s="1945"/>
      <c r="J17" s="1945"/>
      <c r="K17" s="1946"/>
      <c r="L17" s="1546">
        <f>Summary!E133</f>
        <v>0</v>
      </c>
    </row>
    <row r="18" spans="1:12">
      <c r="A18" s="1539"/>
      <c r="B18" s="1957"/>
      <c r="C18" s="1958"/>
      <c r="D18" s="1958"/>
      <c r="E18" s="1959"/>
      <c r="F18" s="1540"/>
      <c r="G18" s="1545">
        <f>Summary!A134</f>
        <v>0</v>
      </c>
      <c r="H18" s="1944">
        <f>Summary!B134</f>
        <v>0</v>
      </c>
      <c r="I18" s="1945"/>
      <c r="J18" s="1945"/>
      <c r="K18" s="1946"/>
      <c r="L18" s="1546">
        <f>Summary!E134</f>
        <v>0</v>
      </c>
    </row>
    <row r="19" spans="1:12">
      <c r="A19" s="1539"/>
      <c r="B19" s="1957"/>
      <c r="C19" s="1958"/>
      <c r="D19" s="1958"/>
      <c r="E19" s="1959"/>
      <c r="F19" s="1540"/>
      <c r="G19" s="1545">
        <f>Summary!A135</f>
        <v>0</v>
      </c>
      <c r="H19" s="1944">
        <f>Summary!B135</f>
        <v>0</v>
      </c>
      <c r="I19" s="1945"/>
      <c r="J19" s="1945"/>
      <c r="K19" s="1946"/>
      <c r="L19" s="1546">
        <f>Summary!E135</f>
        <v>0</v>
      </c>
    </row>
    <row r="20" spans="1:12">
      <c r="A20" s="1539"/>
      <c r="B20" s="1957"/>
      <c r="C20" s="1958"/>
      <c r="D20" s="1958"/>
      <c r="E20" s="1959"/>
      <c r="F20" s="1540"/>
      <c r="G20" s="1545">
        <f>Summary!A136</f>
        <v>0</v>
      </c>
      <c r="H20" s="1944">
        <f>Summary!B136</f>
        <v>0</v>
      </c>
      <c r="I20" s="1945"/>
      <c r="J20" s="1945"/>
      <c r="K20" s="1946"/>
      <c r="L20" s="1546">
        <f>Summary!E136</f>
        <v>0</v>
      </c>
    </row>
    <row r="21" spans="1:12">
      <c r="A21" s="1539"/>
      <c r="B21" s="1957"/>
      <c r="C21" s="1958"/>
      <c r="D21" s="1958"/>
      <c r="E21" s="1959"/>
      <c r="F21" s="1540"/>
      <c r="G21" s="1545">
        <f>Summary!A137</f>
        <v>0</v>
      </c>
      <c r="H21" s="1944">
        <f>Summary!B137</f>
        <v>0</v>
      </c>
      <c r="I21" s="1945"/>
      <c r="J21" s="1945"/>
      <c r="K21" s="1946"/>
      <c r="L21" s="1546">
        <f>Summary!E137</f>
        <v>0</v>
      </c>
    </row>
    <row r="22" spans="1:12">
      <c r="A22" s="1539"/>
      <c r="B22" s="1957"/>
      <c r="C22" s="1958"/>
      <c r="D22" s="1958"/>
      <c r="E22" s="1959"/>
      <c r="F22" s="1540"/>
      <c r="G22" s="1545">
        <f>Summary!A138</f>
        <v>0</v>
      </c>
      <c r="H22" s="1944">
        <f>Summary!B138</f>
        <v>0</v>
      </c>
      <c r="I22" s="1945"/>
      <c r="J22" s="1945"/>
      <c r="K22" s="1946"/>
      <c r="L22" s="1546">
        <f>Summary!E138</f>
        <v>0</v>
      </c>
    </row>
    <row r="23" spans="1:12">
      <c r="A23" s="1539"/>
      <c r="B23" s="1957"/>
      <c r="C23" s="1958"/>
      <c r="D23" s="1958"/>
      <c r="E23" s="1959"/>
      <c r="F23" s="1540"/>
      <c r="G23" s="1545">
        <f>Summary!A139</f>
        <v>0</v>
      </c>
      <c r="H23" s="1944">
        <f>Summary!B139</f>
        <v>0</v>
      </c>
      <c r="I23" s="1945"/>
      <c r="J23" s="1945"/>
      <c r="K23" s="1946"/>
      <c r="L23" s="1546">
        <f>Summary!E139</f>
        <v>0</v>
      </c>
    </row>
    <row r="24" spans="1:12">
      <c r="A24" s="1539"/>
      <c r="B24" s="1957"/>
      <c r="C24" s="1958"/>
      <c r="D24" s="1958"/>
      <c r="E24" s="1959"/>
      <c r="F24" s="1540"/>
      <c r="G24" s="1545">
        <f>Summary!A140</f>
        <v>0</v>
      </c>
      <c r="H24" s="1944">
        <f>Summary!B140</f>
        <v>0</v>
      </c>
      <c r="I24" s="1945"/>
      <c r="J24" s="1945"/>
      <c r="K24" s="1946"/>
      <c r="L24" s="1546">
        <f>Summary!E140</f>
        <v>0</v>
      </c>
    </row>
    <row r="25" spans="1:12">
      <c r="A25" s="1539"/>
      <c r="B25" s="1957"/>
      <c r="C25" s="1958"/>
      <c r="D25" s="1958"/>
      <c r="E25" s="1959"/>
      <c r="F25" s="1540"/>
      <c r="G25" s="1545">
        <f>Summary!A141</f>
        <v>0</v>
      </c>
      <c r="H25" s="1944">
        <f>Summary!B141</f>
        <v>0</v>
      </c>
      <c r="I25" s="1945"/>
      <c r="J25" s="1945"/>
      <c r="K25" s="1946"/>
      <c r="L25" s="1546">
        <f>Summary!E141</f>
        <v>0</v>
      </c>
    </row>
    <row r="26" spans="1:12">
      <c r="A26" s="1539"/>
      <c r="B26" s="1957"/>
      <c r="C26" s="1958"/>
      <c r="D26" s="1958"/>
      <c r="E26" s="1959"/>
      <c r="F26" s="1540"/>
      <c r="G26" s="1545">
        <f>Summary!A142</f>
        <v>0</v>
      </c>
      <c r="H26" s="1944">
        <f>Summary!B142</f>
        <v>0</v>
      </c>
      <c r="I26" s="1945"/>
      <c r="J26" s="1945"/>
      <c r="K26" s="1946"/>
      <c r="L26" s="1546">
        <f>Summary!E142</f>
        <v>0</v>
      </c>
    </row>
    <row r="27" spans="1:12">
      <c r="A27" s="1539"/>
      <c r="B27" s="1957"/>
      <c r="C27" s="1958"/>
      <c r="D27" s="1958"/>
      <c r="E27" s="1959"/>
      <c r="F27" s="1540"/>
      <c r="G27" s="1545">
        <f>Summary!A144</f>
        <v>0</v>
      </c>
      <c r="H27" s="1944">
        <f>Summary!B144</f>
        <v>0</v>
      </c>
      <c r="I27" s="1945"/>
      <c r="J27" s="1945"/>
      <c r="K27" s="1946"/>
      <c r="L27" s="1546">
        <f>Summary!E144</f>
        <v>0</v>
      </c>
    </row>
    <row r="28" spans="1:12">
      <c r="A28" s="1539"/>
      <c r="B28" s="1957"/>
      <c r="C28" s="1958"/>
      <c r="D28" s="1958"/>
      <c r="E28" s="1959"/>
      <c r="F28" s="1540"/>
      <c r="G28" s="1545"/>
      <c r="H28" s="1944">
        <v>0</v>
      </c>
      <c r="I28" s="1945"/>
      <c r="J28" s="1945"/>
      <c r="K28" s="1946"/>
      <c r="L28" s="1547"/>
    </row>
    <row r="29" spans="1:12">
      <c r="A29" s="1541"/>
      <c r="B29" s="1960"/>
      <c r="C29" s="1961"/>
      <c r="D29" s="1961"/>
      <c r="E29" s="1962"/>
      <c r="F29" s="1542"/>
      <c r="G29" s="1548"/>
      <c r="H29" s="1951"/>
      <c r="I29" s="1952"/>
      <c r="J29" s="1952"/>
      <c r="K29" s="1953"/>
      <c r="L29" s="1549"/>
    </row>
    <row r="30" spans="1:12">
      <c r="A30" s="315"/>
      <c r="C30" t="s">
        <v>986</v>
      </c>
      <c r="F30">
        <f>SUM(F12:F29)</f>
        <v>0</v>
      </c>
      <c r="I30" t="s">
        <v>986</v>
      </c>
      <c r="L30" s="492">
        <f>SUM(L12:L29)</f>
        <v>0</v>
      </c>
    </row>
    <row r="31" spans="1:12">
      <c r="A31" s="315"/>
      <c r="C31" t="s">
        <v>954</v>
      </c>
      <c r="F31" s="347">
        <f>K8</f>
        <v>0</v>
      </c>
      <c r="I31" t="s">
        <v>954</v>
      </c>
      <c r="L31" s="492">
        <f>K8</f>
        <v>0</v>
      </c>
    </row>
    <row r="32" spans="1:12">
      <c r="A32" s="315"/>
      <c r="C32" s="972" t="s">
        <v>1549</v>
      </c>
      <c r="E32" s="1479" t="s">
        <v>360</v>
      </c>
      <c r="F32" s="347">
        <f>F30+F31</f>
        <v>0</v>
      </c>
      <c r="I32" s="972" t="s">
        <v>1549</v>
      </c>
      <c r="K32" s="1479" t="s">
        <v>360</v>
      </c>
      <c r="L32" s="492">
        <f>L30+L31</f>
        <v>0</v>
      </c>
    </row>
    <row r="33" spans="1:12">
      <c r="A33" s="315"/>
      <c r="L33" s="45"/>
    </row>
    <row r="34" spans="1:12" ht="13.1">
      <c r="A34" s="500" t="s">
        <v>987</v>
      </c>
      <c r="B34" s="18"/>
      <c r="C34" s="18"/>
      <c r="D34" s="18" t="s">
        <v>984</v>
      </c>
      <c r="E34" s="18"/>
      <c r="F34" s="36"/>
      <c r="G34" s="501" t="s">
        <v>988</v>
      </c>
      <c r="H34" s="18"/>
      <c r="I34" s="18"/>
      <c r="J34" s="18" t="s">
        <v>984</v>
      </c>
      <c r="K34" s="18"/>
      <c r="L34" s="498"/>
    </row>
    <row r="35" spans="1:12">
      <c r="A35" s="491" t="s">
        <v>985</v>
      </c>
      <c r="B35" s="18" t="s">
        <v>939</v>
      </c>
      <c r="C35" s="18"/>
      <c r="D35" s="18"/>
      <c r="E35" s="18"/>
      <c r="F35" s="464" t="s">
        <v>156</v>
      </c>
      <c r="G35" s="490" t="s">
        <v>985</v>
      </c>
      <c r="H35" s="18" t="s">
        <v>939</v>
      </c>
      <c r="I35" s="18"/>
      <c r="J35" s="18"/>
      <c r="K35" s="18"/>
      <c r="L35" s="499" t="s">
        <v>156</v>
      </c>
    </row>
    <row r="36" spans="1:12">
      <c r="A36" s="1537"/>
      <c r="B36" s="1954"/>
      <c r="C36" s="1955"/>
      <c r="D36" s="1955"/>
      <c r="E36" s="1956"/>
      <c r="F36" s="1538"/>
      <c r="G36" s="1543">
        <f>Summary!A150</f>
        <v>0</v>
      </c>
      <c r="H36" s="1948">
        <f>Summary!B150</f>
        <v>0</v>
      </c>
      <c r="I36" s="1949"/>
      <c r="J36" s="1949"/>
      <c r="K36" s="1950"/>
      <c r="L36" s="1544">
        <f>Summary!G150</f>
        <v>0</v>
      </c>
    </row>
    <row r="37" spans="1:12">
      <c r="A37" s="1539"/>
      <c r="B37" s="1957"/>
      <c r="C37" s="1958"/>
      <c r="D37" s="1958"/>
      <c r="E37" s="1959"/>
      <c r="F37" s="1540"/>
      <c r="G37" s="1545">
        <f>Summary!A151</f>
        <v>0</v>
      </c>
      <c r="H37" s="1944">
        <f>Summary!B151</f>
        <v>0</v>
      </c>
      <c r="I37" s="1945"/>
      <c r="J37" s="1945"/>
      <c r="K37" s="1946"/>
      <c r="L37" s="1546">
        <f>Summary!G151</f>
        <v>0</v>
      </c>
    </row>
    <row r="38" spans="1:12">
      <c r="A38" s="1539"/>
      <c r="B38" s="1957"/>
      <c r="C38" s="1958"/>
      <c r="D38" s="1958"/>
      <c r="E38" s="1959"/>
      <c r="F38" s="1540"/>
      <c r="G38" s="1545">
        <f>Summary!A152</f>
        <v>0</v>
      </c>
      <c r="H38" s="1944">
        <f>Summary!B152</f>
        <v>0</v>
      </c>
      <c r="I38" s="1945"/>
      <c r="J38" s="1945"/>
      <c r="K38" s="1946"/>
      <c r="L38" s="1546">
        <f>Summary!G152</f>
        <v>0</v>
      </c>
    </row>
    <row r="39" spans="1:12">
      <c r="A39" s="1539"/>
      <c r="B39" s="1957"/>
      <c r="C39" s="1958"/>
      <c r="D39" s="1958"/>
      <c r="E39" s="1959"/>
      <c r="F39" s="1540"/>
      <c r="G39" s="1545">
        <f>Summary!A153</f>
        <v>0</v>
      </c>
      <c r="H39" s="1944">
        <f>Summary!B153</f>
        <v>0</v>
      </c>
      <c r="I39" s="1945"/>
      <c r="J39" s="1945"/>
      <c r="K39" s="1946"/>
      <c r="L39" s="1546">
        <f>Summary!G153</f>
        <v>0</v>
      </c>
    </row>
    <row r="40" spans="1:12">
      <c r="A40" s="1539"/>
      <c r="B40" s="1957"/>
      <c r="C40" s="1958"/>
      <c r="D40" s="1958"/>
      <c r="E40" s="1959"/>
      <c r="F40" s="1540"/>
      <c r="G40" s="1545">
        <f>Summary!A154</f>
        <v>0</v>
      </c>
      <c r="H40" s="1944">
        <f>Summary!B154</f>
        <v>0</v>
      </c>
      <c r="I40" s="1945"/>
      <c r="J40" s="1945"/>
      <c r="K40" s="1946"/>
      <c r="L40" s="1546">
        <f>Summary!G154</f>
        <v>0</v>
      </c>
    </row>
    <row r="41" spans="1:12">
      <c r="A41" s="1539"/>
      <c r="B41" s="1957"/>
      <c r="C41" s="1958"/>
      <c r="D41" s="1958"/>
      <c r="E41" s="1959"/>
      <c r="F41" s="1540"/>
      <c r="G41" s="1545">
        <f>Summary!A155</f>
        <v>0</v>
      </c>
      <c r="H41" s="1944">
        <f>Summary!B155</f>
        <v>0</v>
      </c>
      <c r="I41" s="1945"/>
      <c r="J41" s="1945"/>
      <c r="K41" s="1946"/>
      <c r="L41" s="1546">
        <f>Summary!G155</f>
        <v>0</v>
      </c>
    </row>
    <row r="42" spans="1:12">
      <c r="A42" s="1539"/>
      <c r="B42" s="1957"/>
      <c r="C42" s="1958"/>
      <c r="D42" s="1958"/>
      <c r="E42" s="1959"/>
      <c r="F42" s="1540"/>
      <c r="G42" s="1545">
        <f>Summary!A156</f>
        <v>0</v>
      </c>
      <c r="H42" s="1944">
        <f>Summary!B156</f>
        <v>0</v>
      </c>
      <c r="I42" s="1945"/>
      <c r="J42" s="1945"/>
      <c r="K42" s="1946"/>
      <c r="L42" s="1546">
        <f>Summary!G156</f>
        <v>0</v>
      </c>
    </row>
    <row r="43" spans="1:12">
      <c r="A43" s="1539"/>
      <c r="B43" s="1957"/>
      <c r="C43" s="1958"/>
      <c r="D43" s="1958"/>
      <c r="E43" s="1959"/>
      <c r="F43" s="1540"/>
      <c r="G43" s="1545">
        <f>Summary!A157</f>
        <v>0</v>
      </c>
      <c r="H43" s="1944">
        <f>Summary!B157</f>
        <v>0</v>
      </c>
      <c r="I43" s="1945"/>
      <c r="J43" s="1945"/>
      <c r="K43" s="1946"/>
      <c r="L43" s="1546">
        <f>Summary!G157</f>
        <v>0</v>
      </c>
    </row>
    <row r="44" spans="1:12">
      <c r="A44" s="1539"/>
      <c r="B44" s="1957"/>
      <c r="C44" s="1958"/>
      <c r="D44" s="1958"/>
      <c r="E44" s="1959"/>
      <c r="F44" s="1540"/>
      <c r="G44" s="1545">
        <f>Summary!A158</f>
        <v>0</v>
      </c>
      <c r="H44" s="1944">
        <f>Summary!B158</f>
        <v>0</v>
      </c>
      <c r="I44" s="1945"/>
      <c r="J44" s="1945"/>
      <c r="K44" s="1946"/>
      <c r="L44" s="1546">
        <f>Summary!G158</f>
        <v>0</v>
      </c>
    </row>
    <row r="45" spans="1:12">
      <c r="A45" s="1539"/>
      <c r="B45" s="1957"/>
      <c r="C45" s="1958"/>
      <c r="D45" s="1958"/>
      <c r="E45" s="1959"/>
      <c r="F45" s="1540"/>
      <c r="G45" s="1545">
        <f>Summary!A159</f>
        <v>0</v>
      </c>
      <c r="H45" s="1944">
        <f>Summary!B159</f>
        <v>0</v>
      </c>
      <c r="I45" s="1945"/>
      <c r="J45" s="1945"/>
      <c r="K45" s="1946"/>
      <c r="L45" s="1546">
        <f>Summary!G159</f>
        <v>0</v>
      </c>
    </row>
    <row r="46" spans="1:12">
      <c r="A46" s="1539"/>
      <c r="B46" s="1957"/>
      <c r="C46" s="1958"/>
      <c r="D46" s="1958"/>
      <c r="E46" s="1959"/>
      <c r="F46" s="1540"/>
      <c r="G46" s="1545">
        <f>Summary!A160</f>
        <v>0</v>
      </c>
      <c r="H46" s="1944">
        <f>Summary!B160</f>
        <v>0</v>
      </c>
      <c r="I46" s="1945"/>
      <c r="J46" s="1945"/>
      <c r="K46" s="1946"/>
      <c r="L46" s="1546">
        <f>Summary!G160</f>
        <v>0</v>
      </c>
    </row>
    <row r="47" spans="1:12">
      <c r="A47" s="1539"/>
      <c r="B47" s="1957"/>
      <c r="C47" s="1958"/>
      <c r="D47" s="1958"/>
      <c r="E47" s="1959"/>
      <c r="F47" s="1540"/>
      <c r="G47" s="1545">
        <f>Summary!A161</f>
        <v>0</v>
      </c>
      <c r="H47" s="1944">
        <f>Summary!B161</f>
        <v>0</v>
      </c>
      <c r="I47" s="1945"/>
      <c r="J47" s="1945"/>
      <c r="K47" s="1946"/>
      <c r="L47" s="1546">
        <f>Summary!G161</f>
        <v>0</v>
      </c>
    </row>
    <row r="48" spans="1:12">
      <c r="A48" s="1539"/>
      <c r="B48" s="1957"/>
      <c r="C48" s="1958"/>
      <c r="D48" s="1958"/>
      <c r="E48" s="1959"/>
      <c r="F48" s="1540"/>
      <c r="G48" s="1545">
        <f>Summary!A162</f>
        <v>0</v>
      </c>
      <c r="H48" s="1944">
        <f>Summary!B162</f>
        <v>0</v>
      </c>
      <c r="I48" s="1945"/>
      <c r="J48" s="1945"/>
      <c r="K48" s="1946"/>
      <c r="L48" s="1546">
        <f>Summary!G162</f>
        <v>0</v>
      </c>
    </row>
    <row r="49" spans="1:12">
      <c r="A49" s="1541"/>
      <c r="B49" s="1960"/>
      <c r="C49" s="1961"/>
      <c r="D49" s="1961"/>
      <c r="E49" s="1962"/>
      <c r="F49" s="1542"/>
      <c r="G49" s="1548"/>
      <c r="H49" s="1951"/>
      <c r="I49" s="1952"/>
      <c r="J49" s="1952"/>
      <c r="K49" s="1953"/>
      <c r="L49" s="1549"/>
    </row>
    <row r="50" spans="1:12">
      <c r="A50" s="315"/>
      <c r="C50" t="s">
        <v>989</v>
      </c>
      <c r="F50" t="s">
        <v>360</v>
      </c>
      <c r="I50" t="s">
        <v>989</v>
      </c>
      <c r="K50" s="347">
        <f>' Schematic'!N27</f>
        <v>0</v>
      </c>
      <c r="L50" t="s">
        <v>360</v>
      </c>
    </row>
    <row r="51" spans="1:12">
      <c r="A51" s="315"/>
      <c r="L51" s="45"/>
    </row>
    <row r="52" spans="1:12">
      <c r="A52" s="1125" t="s">
        <v>990</v>
      </c>
      <c r="B52" s="1126"/>
      <c r="C52" s="1964">
        <f>B36</f>
        <v>0</v>
      </c>
      <c r="D52" s="1964"/>
      <c r="E52" s="1964"/>
      <c r="F52" s="1964"/>
      <c r="G52" s="1126" t="s">
        <v>990</v>
      </c>
      <c r="H52" s="1126"/>
      <c r="I52" s="1965">
        <f>Summary!B150</f>
        <v>0</v>
      </c>
      <c r="J52" s="1965"/>
      <c r="K52" s="1965"/>
      <c r="L52" s="1966"/>
    </row>
    <row r="53" spans="1:12">
      <c r="A53" s="315"/>
      <c r="L53" s="45"/>
    </row>
    <row r="54" spans="1:12">
      <c r="A54" s="315"/>
      <c r="L54" s="45"/>
    </row>
    <row r="55" spans="1:12">
      <c r="A55" s="315" t="s">
        <v>274</v>
      </c>
      <c r="L55" s="45"/>
    </row>
    <row r="56" spans="1:12">
      <c r="A56" s="315"/>
      <c r="L56" s="45"/>
    </row>
    <row r="57" spans="1:12">
      <c r="A57" s="315"/>
      <c r="L57" s="45"/>
    </row>
    <row r="58" spans="1:12">
      <c r="A58" s="315"/>
      <c r="L58" s="45"/>
    </row>
    <row r="59" spans="1:12">
      <c r="A59" s="315"/>
      <c r="L59" s="45"/>
    </row>
    <row r="60" spans="1:12">
      <c r="A60" s="315"/>
      <c r="L60" s="45"/>
    </row>
    <row r="61" spans="1:12">
      <c r="A61" s="315"/>
      <c r="L61" s="45"/>
    </row>
    <row r="62" spans="1:12" ht="13.1">
      <c r="A62" s="315"/>
      <c r="F62" s="22" t="s">
        <v>821</v>
      </c>
      <c r="I62">
        <f>Summary!C63</f>
        <v>0</v>
      </c>
      <c r="L62" s="45"/>
    </row>
    <row r="63" spans="1:12" ht="13.5" thickBot="1">
      <c r="A63" s="495"/>
      <c r="B63" s="496"/>
      <c r="C63" s="496"/>
      <c r="D63" s="496"/>
      <c r="E63" s="496"/>
      <c r="F63" s="496"/>
      <c r="G63" s="496"/>
      <c r="H63" s="496"/>
      <c r="I63" s="496"/>
      <c r="J63" s="496"/>
      <c r="K63" s="496"/>
      <c r="L63" s="497"/>
    </row>
    <row r="64" spans="1:12" ht="13.5" thickTop="1"/>
  </sheetData>
  <sheetProtection sheet="1" objects="1" scenarios="1"/>
  <mergeCells count="68">
    <mergeCell ref="C1:J1"/>
    <mergeCell ref="C52:F52"/>
    <mergeCell ref="I52:L52"/>
    <mergeCell ref="H40:K40"/>
    <mergeCell ref="H41:K41"/>
    <mergeCell ref="B46:E46"/>
    <mergeCell ref="B47:E47"/>
    <mergeCell ref="H46:K46"/>
    <mergeCell ref="B49:E49"/>
    <mergeCell ref="B42:E42"/>
    <mergeCell ref="B43:E43"/>
    <mergeCell ref="B44:E44"/>
    <mergeCell ref="B45:E45"/>
    <mergeCell ref="H48:K48"/>
    <mergeCell ref="H49:K49"/>
    <mergeCell ref="H42:K42"/>
    <mergeCell ref="B36:E36"/>
    <mergeCell ref="B37:E37"/>
    <mergeCell ref="B38:E38"/>
    <mergeCell ref="B39:E39"/>
    <mergeCell ref="H36:K36"/>
    <mergeCell ref="H37:K37"/>
    <mergeCell ref="H38:K38"/>
    <mergeCell ref="H39:K39"/>
    <mergeCell ref="H47:K47"/>
    <mergeCell ref="B48:E48"/>
    <mergeCell ref="B40:E40"/>
    <mergeCell ref="B41:E41"/>
    <mergeCell ref="H43:K43"/>
    <mergeCell ref="H44:K44"/>
    <mergeCell ref="H45:K45"/>
    <mergeCell ref="B21:E21"/>
    <mergeCell ref="B22:E22"/>
    <mergeCell ref="B27:E27"/>
    <mergeCell ref="B28:E28"/>
    <mergeCell ref="B29:E29"/>
    <mergeCell ref="B23:E23"/>
    <mergeCell ref="B26:E26"/>
    <mergeCell ref="H29:K29"/>
    <mergeCell ref="B12:E12"/>
    <mergeCell ref="B13:E13"/>
    <mergeCell ref="B14:E14"/>
    <mergeCell ref="B15:E15"/>
    <mergeCell ref="B16:E16"/>
    <mergeCell ref="B17:E17"/>
    <mergeCell ref="B18:E18"/>
    <mergeCell ref="B19:E19"/>
    <mergeCell ref="B20:E20"/>
    <mergeCell ref="H23:K23"/>
    <mergeCell ref="H24:K24"/>
    <mergeCell ref="H25:K25"/>
    <mergeCell ref="B24:E24"/>
    <mergeCell ref="B25:E25"/>
    <mergeCell ref="H26:K26"/>
    <mergeCell ref="H27:K27"/>
    <mergeCell ref="H28:K28"/>
    <mergeCell ref="H17:K17"/>
    <mergeCell ref="H18:K18"/>
    <mergeCell ref="H19:K19"/>
    <mergeCell ref="H20:K20"/>
    <mergeCell ref="H21:K21"/>
    <mergeCell ref="H22:K22"/>
    <mergeCell ref="H16:K16"/>
    <mergeCell ref="I6:J6"/>
    <mergeCell ref="H12:K12"/>
    <mergeCell ref="H13:K13"/>
    <mergeCell ref="H14:K14"/>
    <mergeCell ref="H15:K15"/>
  </mergeCells>
  <phoneticPr fontId="0" type="noConversion"/>
  <printOptions horizontalCentered="1" verticalCentered="1"/>
  <pageMargins left="0" right="0" top="0.5" bottom="0.5" header="0" footer="0"/>
  <pageSetup scale="90" orientation="portrait" horizont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6" r:id="rId4" name="Button 2">
              <controlPr defaultSize="0" print="0" autoFill="0" autoPict="0" macro="[0]!BACKTOMENU">
                <anchor moveWithCells="1">
                  <from>
                    <xdr:col>0</xdr:col>
                    <xdr:colOff>0</xdr:colOff>
                    <xdr:row>0</xdr:row>
                    <xdr:rowOff>10886</xdr:rowOff>
                  </from>
                  <to>
                    <xdr:col>0</xdr:col>
                    <xdr:colOff>533400</xdr:colOff>
                    <xdr:row>1</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C4F90DB-1FDC-401D-8778-36F4CAB5B65C}">
          <x14:formula1>
            <xm:f>'Data Validation'!$C$4:$D$4</xm:f>
          </x14:formula1>
          <xm:sqref>D8 H8 L8</xm:sqref>
        </x14:dataValidation>
        <x14:dataValidation type="list" allowBlank="1" showInputMessage="1" showErrorMessage="1" xr:uid="{5EFEEC30-C988-46B7-8CEF-4C159FACC5C4}">
          <x14:formula1>
            <xm:f>'Data Validation'!$C$7:$D$7</xm:f>
          </x14:formula1>
          <xm:sqref>K32 E32 F50 L50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FCC8-3E83-47B9-B21A-CE2A9DABBB14}">
  <sheetPr codeName="Sheet44">
    <pageSetUpPr fitToPage="1"/>
  </sheetPr>
  <dimension ref="A1:K83"/>
  <sheetViews>
    <sheetView showGridLines="0" topLeftCell="A65" workbookViewId="0">
      <selection activeCell="B76" sqref="B76"/>
    </sheetView>
  </sheetViews>
  <sheetFormatPr defaultColWidth="12.57421875" defaultRowHeight="10.3"/>
  <cols>
    <col min="1" max="1" width="9.265625" style="1229" customWidth="1"/>
    <col min="2" max="2" width="8.69140625" style="1229" customWidth="1"/>
    <col min="3" max="3" width="46" style="1229" customWidth="1"/>
    <col min="4" max="4" width="6.15234375" style="1229" customWidth="1"/>
    <col min="5" max="7" width="13.84375" style="1229" customWidth="1"/>
    <col min="8" max="8" width="14.421875" style="1229" customWidth="1"/>
    <col min="9" max="16384" width="12.57421875" style="1229"/>
  </cols>
  <sheetData>
    <row r="1" spans="1:11" ht="20.25" customHeight="1">
      <c r="A1" s="1971">
        <f>Summary!C5</f>
        <v>0</v>
      </c>
      <c r="B1" s="1971"/>
      <c r="C1" s="1971"/>
      <c r="D1" s="1971"/>
      <c r="E1" s="1971"/>
      <c r="F1" s="1971"/>
      <c r="G1" s="1971"/>
      <c r="H1" s="1971"/>
    </row>
    <row r="2" spans="1:11" ht="18.75" customHeight="1">
      <c r="A2" s="1230" t="s">
        <v>1289</v>
      </c>
      <c r="B2" s="1287"/>
      <c r="C2" s="1287"/>
      <c r="D2" s="1231"/>
      <c r="E2" s="1231"/>
      <c r="F2" s="1232"/>
      <c r="G2" s="1233"/>
      <c r="H2" s="1233"/>
    </row>
    <row r="3" spans="1:11" ht="12.75" customHeight="1">
      <c r="A3" s="1288"/>
      <c r="B3" s="1289"/>
      <c r="C3" s="1289"/>
      <c r="D3" s="1290"/>
      <c r="E3" s="1290"/>
      <c r="F3" s="1291"/>
      <c r="G3" s="1234"/>
      <c r="H3" s="1233"/>
    </row>
    <row r="4" spans="1:11" ht="15" customHeight="1">
      <c r="A4" s="1980" t="s">
        <v>281</v>
      </c>
      <c r="B4" s="1981"/>
      <c r="C4" s="1235">
        <f>Summary!C6</f>
        <v>0</v>
      </c>
      <c r="D4" s="1974" t="s">
        <v>298</v>
      </c>
      <c r="E4" s="1975"/>
      <c r="F4" s="1976">
        <f>Summary!E2</f>
        <v>0</v>
      </c>
      <c r="G4" s="1977"/>
      <c r="H4" s="1238" t="s">
        <v>115</v>
      </c>
    </row>
    <row r="5" spans="1:11" ht="15" customHeight="1">
      <c r="A5" s="1980" t="s">
        <v>1277</v>
      </c>
      <c r="B5" s="1981"/>
      <c r="C5" s="1239">
        <f>Summary!C8</f>
        <v>0</v>
      </c>
      <c r="D5" s="1236" t="s">
        <v>221</v>
      </c>
      <c r="E5" s="1237"/>
      <c r="F5" s="1978">
        <f>Summary!C3</f>
        <v>0</v>
      </c>
      <c r="G5" s="1979"/>
      <c r="H5" s="1240" t="s">
        <v>1278</v>
      </c>
    </row>
    <row r="6" spans="1:11" ht="15" customHeight="1">
      <c r="A6" s="1982" t="s">
        <v>1279</v>
      </c>
      <c r="B6" s="1983"/>
      <c r="C6" s="1239"/>
      <c r="D6" s="1241" t="s">
        <v>1280</v>
      </c>
      <c r="E6" s="1242"/>
      <c r="F6" s="1972"/>
      <c r="G6" s="1973"/>
      <c r="H6" s="1431">
        <v>0</v>
      </c>
      <c r="I6" s="953"/>
    </row>
    <row r="7" spans="1:11" ht="15" customHeight="1">
      <c r="A7" s="1980" t="s">
        <v>1281</v>
      </c>
      <c r="B7" s="1981"/>
      <c r="C7" s="1243"/>
      <c r="D7" s="1430" t="s">
        <v>1531</v>
      </c>
      <c r="E7" s="1242" t="s">
        <v>1527</v>
      </c>
      <c r="F7" s="1972">
        <f>Summary!C23</f>
        <v>0</v>
      </c>
      <c r="G7" s="1973"/>
      <c r="H7" s="1244"/>
      <c r="I7" s="953"/>
    </row>
    <row r="8" spans="1:11" ht="16.5" customHeight="1">
      <c r="A8" s="1984" t="s">
        <v>1290</v>
      </c>
      <c r="B8" s="1985"/>
      <c r="C8" s="1985"/>
      <c r="D8" s="1985"/>
      <c r="E8" s="1985"/>
      <c r="F8" s="1986"/>
      <c r="G8" s="1245" t="s">
        <v>1282</v>
      </c>
      <c r="H8" s="1245" t="s">
        <v>1283</v>
      </c>
      <c r="I8" s="1967" t="s">
        <v>1530</v>
      </c>
    </row>
    <row r="9" spans="1:11" ht="16.5" customHeight="1" thickBot="1">
      <c r="A9" s="1246" t="s">
        <v>285</v>
      </c>
      <c r="B9" s="1987" t="s">
        <v>187</v>
      </c>
      <c r="C9" s="1987"/>
      <c r="D9" s="1987"/>
      <c r="E9" s="1987"/>
      <c r="F9" s="1988"/>
      <c r="G9" s="1247" t="s">
        <v>1284</v>
      </c>
      <c r="H9" s="1247" t="s">
        <v>1284</v>
      </c>
      <c r="I9" s="1968"/>
    </row>
    <row r="10" spans="1:11" ht="13.35" customHeight="1">
      <c r="A10" s="1257">
        <f>'Data Validation'!B2</f>
        <v>0</v>
      </c>
      <c r="B10" s="1437" t="str">
        <f>'Data Validation'!A2</f>
        <v>Service Rig</v>
      </c>
      <c r="C10" s="1438"/>
      <c r="D10" s="1439"/>
      <c r="E10" s="1440"/>
      <c r="F10" s="1441"/>
      <c r="G10" s="1432">
        <v>0</v>
      </c>
      <c r="H10" s="1251">
        <f t="shared" ref="H10:H65" si="0">G10*$H$6</f>
        <v>0</v>
      </c>
      <c r="I10" s="953"/>
    </row>
    <row r="11" spans="1:11" ht="13.35" customHeight="1">
      <c r="A11" s="1257">
        <f>'Data Validation'!B3</f>
        <v>0</v>
      </c>
      <c r="B11" s="1442" t="str">
        <f>'Data Validation'!A3</f>
        <v>Anchors</v>
      </c>
      <c r="C11" s="1248"/>
      <c r="D11" s="1249"/>
      <c r="E11" s="1250"/>
      <c r="F11" s="1443"/>
      <c r="G11" s="1432">
        <v>0</v>
      </c>
      <c r="H11" s="1251">
        <f t="shared" si="0"/>
        <v>0</v>
      </c>
    </row>
    <row r="12" spans="1:11" ht="13.35" customHeight="1">
      <c r="A12" s="1257">
        <f>'Data Validation'!B4</f>
        <v>0</v>
      </c>
      <c r="B12" s="1442" t="str">
        <f>'Data Validation'!A4</f>
        <v>Electric Wireline</v>
      </c>
      <c r="C12" s="1249"/>
      <c r="D12" s="1249"/>
      <c r="E12" s="1250"/>
      <c r="F12" s="1443"/>
      <c r="G12" s="1432">
        <v>0</v>
      </c>
      <c r="H12" s="1251">
        <f t="shared" si="0"/>
        <v>0</v>
      </c>
    </row>
    <row r="13" spans="1:11" ht="13.35" customHeight="1">
      <c r="A13" s="1257">
        <f>'Data Validation'!B5</f>
        <v>0</v>
      </c>
      <c r="B13" s="1442" t="str">
        <f>'Data Validation'!A5</f>
        <v>Slickline</v>
      </c>
      <c r="C13" s="1248"/>
      <c r="D13" s="1249"/>
      <c r="E13" s="1250"/>
      <c r="F13" s="1443"/>
      <c r="G13" s="1432">
        <v>0</v>
      </c>
      <c r="H13" s="1251">
        <f t="shared" si="0"/>
        <v>0</v>
      </c>
      <c r="K13" s="1229">
        <v>9810</v>
      </c>
    </row>
    <row r="14" spans="1:11" ht="13.35" customHeight="1">
      <c r="A14" s="1257">
        <f>'Data Validation'!B6</f>
        <v>0</v>
      </c>
      <c r="B14" s="1442" t="str">
        <f>'Data Validation'!A6</f>
        <v>Acidizing</v>
      </c>
      <c r="C14" s="1248"/>
      <c r="D14" s="1249"/>
      <c r="E14" s="1250"/>
      <c r="F14" s="1443"/>
      <c r="G14" s="1432">
        <v>0</v>
      </c>
      <c r="H14" s="1251">
        <f t="shared" si="0"/>
        <v>0</v>
      </c>
    </row>
    <row r="15" spans="1:11" ht="13.35" customHeight="1">
      <c r="A15" s="1257">
        <f>'Data Validation'!B7</f>
        <v>0</v>
      </c>
      <c r="B15" s="1442" t="str">
        <f>'Data Validation'!A7</f>
        <v>Fracturing</v>
      </c>
      <c r="C15" s="1248"/>
      <c r="D15" s="1249"/>
      <c r="E15" s="1292" t="s">
        <v>1291</v>
      </c>
      <c r="F15" s="1456">
        <v>0</v>
      </c>
      <c r="G15" s="1432">
        <v>0</v>
      </c>
      <c r="H15" s="1251">
        <f t="shared" si="0"/>
        <v>0</v>
      </c>
    </row>
    <row r="16" spans="1:11" ht="13.35" customHeight="1">
      <c r="A16" s="1257">
        <f>'Data Validation'!B8</f>
        <v>0</v>
      </c>
      <c r="B16" s="1442" t="str">
        <f>'Data Validation'!A8</f>
        <v>Cementing</v>
      </c>
      <c r="C16" s="1248"/>
      <c r="D16" s="1249"/>
      <c r="E16" s="1250"/>
      <c r="F16" s="1443"/>
      <c r="G16" s="1432">
        <v>0</v>
      </c>
      <c r="H16" s="1251">
        <f t="shared" si="0"/>
        <v>0</v>
      </c>
    </row>
    <row r="17" spans="1:8" ht="13.35" customHeight="1">
      <c r="A17" s="1257">
        <f>'Data Validation'!B9</f>
        <v>0</v>
      </c>
      <c r="B17" s="1442" t="str">
        <f>'Data Validation'!A9</f>
        <v>Coiled Tubing</v>
      </c>
      <c r="C17" s="1248"/>
      <c r="D17" s="1249"/>
      <c r="E17" s="1250"/>
      <c r="F17" s="1443"/>
      <c r="G17" s="1432">
        <v>0</v>
      </c>
      <c r="H17" s="1251">
        <f t="shared" si="0"/>
        <v>0</v>
      </c>
    </row>
    <row r="18" spans="1:8" ht="13.35" customHeight="1">
      <c r="A18" s="1257">
        <f>'Data Validation'!B10</f>
        <v>0</v>
      </c>
      <c r="B18" s="1442" t="str">
        <f>'Data Validation'!A10</f>
        <v>Testing</v>
      </c>
      <c r="C18" s="1293"/>
      <c r="D18" s="1249"/>
      <c r="E18" s="1292" t="s">
        <v>1291</v>
      </c>
      <c r="F18" s="1456">
        <v>0</v>
      </c>
      <c r="G18" s="1432">
        <v>0</v>
      </c>
      <c r="H18" s="1251">
        <f t="shared" si="0"/>
        <v>0</v>
      </c>
    </row>
    <row r="19" spans="1:8" ht="13.35" customHeight="1">
      <c r="A19" s="1257">
        <f>'Data Validation'!B11</f>
        <v>0</v>
      </c>
      <c r="B19" s="1442" t="str">
        <f>'Data Validation'!A11</f>
        <v>Cat Work</v>
      </c>
      <c r="C19" s="1248"/>
      <c r="D19" s="1249"/>
      <c r="E19" s="1250"/>
      <c r="F19" s="1443"/>
      <c r="G19" s="1432">
        <v>0</v>
      </c>
      <c r="H19" s="1251">
        <f t="shared" si="0"/>
        <v>0</v>
      </c>
    </row>
    <row r="20" spans="1:8" ht="13.35" customHeight="1">
      <c r="A20" s="1257">
        <f>'Data Validation'!B12</f>
        <v>0</v>
      </c>
      <c r="B20" s="1442" t="str">
        <f>'Data Validation'!A12</f>
        <v>Safety Equipment</v>
      </c>
      <c r="C20" s="1248"/>
      <c r="D20" s="1249"/>
      <c r="E20" s="1292" t="s">
        <v>1291</v>
      </c>
      <c r="F20" s="1456">
        <v>0</v>
      </c>
      <c r="G20" s="1432">
        <f>F20*D20</f>
        <v>0</v>
      </c>
      <c r="H20" s="1251">
        <f t="shared" si="0"/>
        <v>0</v>
      </c>
    </row>
    <row r="21" spans="1:8" ht="12" customHeight="1">
      <c r="A21" s="1257">
        <f>'Data Validation'!B13</f>
        <v>0</v>
      </c>
      <c r="B21" s="1442" t="str">
        <f>'Data Validation'!A13</f>
        <v>Hot Oil or Pump Unit</v>
      </c>
      <c r="C21" s="1248"/>
      <c r="D21" s="1249"/>
      <c r="E21" s="1250"/>
      <c r="F21" s="1443"/>
      <c r="G21" s="1432">
        <v>0</v>
      </c>
      <c r="H21" s="1251">
        <f t="shared" si="0"/>
        <v>0</v>
      </c>
    </row>
    <row r="22" spans="1:8" ht="13.35" customHeight="1">
      <c r="A22" s="1257">
        <f>'Data Validation'!B14</f>
        <v>0</v>
      </c>
      <c r="B22" s="1442" t="str">
        <f>'Data Validation'!A14</f>
        <v>Trucking/Delivery</v>
      </c>
      <c r="C22" s="1248"/>
      <c r="D22" s="1249"/>
      <c r="E22" s="1250"/>
      <c r="F22" s="1443"/>
      <c r="G22" s="1432">
        <v>0</v>
      </c>
      <c r="H22" s="1251">
        <f t="shared" si="0"/>
        <v>0</v>
      </c>
    </row>
    <row r="23" spans="1:8" ht="13.35" customHeight="1">
      <c r="A23" s="1257">
        <f>'Data Validation'!B15</f>
        <v>0</v>
      </c>
      <c r="B23" s="1442" t="str">
        <f>'Data Validation'!A15</f>
        <v>Tank Truck</v>
      </c>
      <c r="C23" s="1426"/>
      <c r="D23" s="1249"/>
      <c r="E23" s="1292" t="s">
        <v>1291</v>
      </c>
      <c r="F23" s="1456">
        <v>0</v>
      </c>
      <c r="G23" s="1432">
        <f>+D23*F23</f>
        <v>0</v>
      </c>
      <c r="H23" s="1251">
        <f t="shared" si="0"/>
        <v>0</v>
      </c>
    </row>
    <row r="24" spans="1:8" ht="13.35" customHeight="1">
      <c r="A24" s="1257">
        <f>'Data Validation'!B16</f>
        <v>0</v>
      </c>
      <c r="B24" s="1442" t="str">
        <f>'Data Validation'!A16</f>
        <v>Vacuum Truck</v>
      </c>
      <c r="C24" s="1248"/>
      <c r="D24" s="1249"/>
      <c r="E24" s="1250"/>
      <c r="F24" s="1443"/>
      <c r="G24" s="1432">
        <v>0</v>
      </c>
      <c r="H24" s="1251">
        <f t="shared" si="0"/>
        <v>0</v>
      </c>
    </row>
    <row r="25" spans="1:8" ht="13.35" customHeight="1">
      <c r="A25" s="1257">
        <f>'Data Validation'!B17</f>
        <v>0</v>
      </c>
      <c r="B25" s="1442" t="str">
        <f>'Data Validation'!A17</f>
        <v>Misc.</v>
      </c>
      <c r="C25" s="1263"/>
      <c r="D25" s="1294"/>
      <c r="E25" s="1295"/>
      <c r="F25" s="1443"/>
      <c r="G25" s="1432">
        <v>0</v>
      </c>
      <c r="H25" s="1251">
        <f t="shared" si="0"/>
        <v>0</v>
      </c>
    </row>
    <row r="26" spans="1:8" ht="13.35" customHeight="1">
      <c r="A26" s="1257">
        <f>'Data Validation'!B18</f>
        <v>0</v>
      </c>
      <c r="B26" s="1442" t="str">
        <f>'Data Validation'!A18</f>
        <v>Disposal</v>
      </c>
      <c r="C26" s="1248"/>
      <c r="D26" s="1249"/>
      <c r="E26" s="1250"/>
      <c r="F26" s="1443"/>
      <c r="G26" s="1432">
        <v>0</v>
      </c>
      <c r="H26" s="1251">
        <f t="shared" si="0"/>
        <v>0</v>
      </c>
    </row>
    <row r="27" spans="1:8" ht="13.35" customHeight="1">
      <c r="A27" s="1257">
        <f>'Data Validation'!B19</f>
        <v>0</v>
      </c>
      <c r="B27" s="1442" t="str">
        <f>'Data Validation'!A19</f>
        <v>Stuck &amp; Tow</v>
      </c>
      <c r="C27" s="1248"/>
      <c r="D27" s="1249"/>
      <c r="E27" s="1250"/>
      <c r="F27" s="1443"/>
      <c r="G27" s="1432">
        <v>0</v>
      </c>
      <c r="H27" s="1251">
        <f t="shared" si="0"/>
        <v>0</v>
      </c>
    </row>
    <row r="28" spans="1:8" ht="13.35" customHeight="1">
      <c r="A28" s="1257">
        <f>'Data Validation'!B20</f>
        <v>0</v>
      </c>
      <c r="B28" s="1442">
        <f>'Data Validation'!A20</f>
        <v>0</v>
      </c>
      <c r="C28" s="1248"/>
      <c r="D28" s="1249"/>
      <c r="E28" s="1249"/>
      <c r="F28" s="1443"/>
      <c r="G28" s="1432">
        <v>0</v>
      </c>
      <c r="H28" s="1251">
        <f t="shared" si="0"/>
        <v>0</v>
      </c>
    </row>
    <row r="29" spans="1:8" ht="13.35" customHeight="1">
      <c r="A29" s="1257">
        <f>'Data Validation'!B21</f>
        <v>0</v>
      </c>
      <c r="B29" s="1442">
        <f>'Data Validation'!A21</f>
        <v>0</v>
      </c>
      <c r="C29" s="1249"/>
      <c r="D29" s="1249"/>
      <c r="E29" s="1250"/>
      <c r="F29" s="1443"/>
      <c r="G29" s="1432">
        <v>0</v>
      </c>
      <c r="H29" s="1251">
        <f t="shared" si="0"/>
        <v>0</v>
      </c>
    </row>
    <row r="30" spans="1:8" ht="13.35" customHeight="1">
      <c r="A30" s="1257">
        <f>'Data Validation'!B22</f>
        <v>0</v>
      </c>
      <c r="B30" s="1442">
        <f>'Data Validation'!A22</f>
        <v>0</v>
      </c>
      <c r="C30" s="1248"/>
      <c r="D30" s="1249"/>
      <c r="E30" s="1250"/>
      <c r="F30" s="1443"/>
      <c r="G30" s="1432">
        <v>0</v>
      </c>
      <c r="H30" s="1251">
        <f t="shared" si="0"/>
        <v>0</v>
      </c>
    </row>
    <row r="31" spans="1:8" ht="13.35" customHeight="1">
      <c r="A31" s="1257">
        <f>'Data Validation'!B23</f>
        <v>0</v>
      </c>
      <c r="B31" s="1442">
        <f>'Data Validation'!A23</f>
        <v>0</v>
      </c>
      <c r="C31" s="1248"/>
      <c r="D31" s="1249"/>
      <c r="E31" s="1250"/>
      <c r="F31" s="1443"/>
      <c r="G31" s="1432">
        <v>0</v>
      </c>
      <c r="H31" s="1251">
        <f t="shared" si="0"/>
        <v>0</v>
      </c>
    </row>
    <row r="32" spans="1:8" ht="13.35" customHeight="1" thickBot="1">
      <c r="A32" s="1257">
        <f>'Data Validation'!B24</f>
        <v>0</v>
      </c>
      <c r="B32" s="1444">
        <f>'Data Validation'!A24</f>
        <v>0</v>
      </c>
      <c r="C32" s="1453"/>
      <c r="D32" s="1453"/>
      <c r="E32" s="1457"/>
      <c r="F32" s="1455"/>
      <c r="G32" s="1433">
        <v>0</v>
      </c>
      <c r="H32" s="1428">
        <f t="shared" si="0"/>
        <v>0</v>
      </c>
    </row>
    <row r="33" spans="1:8" ht="13.35" customHeight="1">
      <c r="A33" s="1257">
        <f>'Data Validation'!B25</f>
        <v>0</v>
      </c>
      <c r="B33" s="1437" t="str">
        <f>'Data Validation'!A25</f>
        <v>Tank(s)</v>
      </c>
      <c r="C33" s="1449"/>
      <c r="D33" s="1449"/>
      <c r="E33" s="1450"/>
      <c r="F33" s="1451"/>
      <c r="G33" s="1434">
        <v>0</v>
      </c>
      <c r="H33" s="1428">
        <f t="shared" si="0"/>
        <v>0</v>
      </c>
    </row>
    <row r="34" spans="1:8" ht="13.35" customHeight="1">
      <c r="A34" s="1257">
        <f>'Data Validation'!B26</f>
        <v>0</v>
      </c>
      <c r="B34" s="1442" t="str">
        <f>'Data Validation'!A26</f>
        <v>Power Swivel</v>
      </c>
      <c r="C34" s="1427"/>
      <c r="D34" s="1427"/>
      <c r="E34" s="1429"/>
      <c r="F34" s="1452"/>
      <c r="G34" s="1434">
        <v>0</v>
      </c>
      <c r="H34" s="1428">
        <f t="shared" si="0"/>
        <v>0</v>
      </c>
    </row>
    <row r="35" spans="1:8" ht="13.35" customHeight="1">
      <c r="A35" s="1257">
        <f>'Data Validation'!B27</f>
        <v>0</v>
      </c>
      <c r="B35" s="1442" t="str">
        <f>'Data Validation'!A27</f>
        <v>Tubing</v>
      </c>
      <c r="C35" s="1427"/>
      <c r="D35" s="1427"/>
      <c r="E35" s="1429"/>
      <c r="F35" s="1452"/>
      <c r="G35" s="1434">
        <v>0</v>
      </c>
      <c r="H35" s="1428">
        <f t="shared" si="0"/>
        <v>0</v>
      </c>
    </row>
    <row r="36" spans="1:8" ht="13.35" customHeight="1">
      <c r="A36" s="1257">
        <f>'Data Validation'!B28</f>
        <v>0</v>
      </c>
      <c r="B36" s="1442" t="str">
        <f>'Data Validation'!A28</f>
        <v>Handling Equipment</v>
      </c>
      <c r="C36" s="1427"/>
      <c r="D36" s="1427"/>
      <c r="E36" s="1429"/>
      <c r="F36" s="1452"/>
      <c r="G36" s="1434">
        <v>0</v>
      </c>
      <c r="H36" s="1428">
        <f t="shared" si="0"/>
        <v>0</v>
      </c>
    </row>
    <row r="37" spans="1:8" ht="13.35" customHeight="1">
      <c r="A37" s="1257">
        <f>'Data Validation'!B29</f>
        <v>0</v>
      </c>
      <c r="B37" s="1442" t="str">
        <f>'Data Validation'!A29</f>
        <v>Drill Pipe/Collars</v>
      </c>
      <c r="C37" s="1427"/>
      <c r="D37" s="1427"/>
      <c r="E37" s="1429"/>
      <c r="F37" s="1452"/>
      <c r="G37" s="1434">
        <v>0</v>
      </c>
      <c r="H37" s="1428">
        <f t="shared" si="0"/>
        <v>0</v>
      </c>
    </row>
    <row r="38" spans="1:8" ht="13.35" customHeight="1">
      <c r="A38" s="1257">
        <f>'Data Validation'!B30</f>
        <v>0</v>
      </c>
      <c r="B38" s="1442" t="str">
        <f>'Data Validation'!A30</f>
        <v>Casing Scraper</v>
      </c>
      <c r="C38" s="1427"/>
      <c r="D38" s="1427"/>
      <c r="E38" s="1429"/>
      <c r="F38" s="1452"/>
      <c r="G38" s="1434">
        <v>0</v>
      </c>
      <c r="H38" s="1428">
        <f t="shared" si="0"/>
        <v>0</v>
      </c>
    </row>
    <row r="39" spans="1:8" ht="13.35" customHeight="1">
      <c r="A39" s="1257">
        <f>'Data Validation'!B31</f>
        <v>0</v>
      </c>
      <c r="B39" s="1442" t="str">
        <f>'Data Validation'!A31</f>
        <v>Tree Saver</v>
      </c>
      <c r="C39" s="1427"/>
      <c r="D39" s="1427"/>
      <c r="E39" s="1429"/>
      <c r="F39" s="1452"/>
      <c r="G39" s="1434">
        <v>0</v>
      </c>
      <c r="H39" s="1428">
        <f t="shared" si="0"/>
        <v>0</v>
      </c>
    </row>
    <row r="40" spans="1:8" ht="13.35" customHeight="1">
      <c r="A40" s="1257">
        <f>'Data Validation'!B32</f>
        <v>0</v>
      </c>
      <c r="B40" s="1442" t="str">
        <f>'Data Validation'!A32</f>
        <v>Recycle Bin</v>
      </c>
      <c r="C40" s="1427"/>
      <c r="D40" s="1427"/>
      <c r="E40" s="1429"/>
      <c r="F40" s="1452"/>
      <c r="G40" s="1434">
        <v>0</v>
      </c>
      <c r="H40" s="1428">
        <f t="shared" si="0"/>
        <v>0</v>
      </c>
    </row>
    <row r="41" spans="1:8" ht="13.35" customHeight="1">
      <c r="A41" s="1257">
        <f>'Data Validation'!B33</f>
        <v>0</v>
      </c>
      <c r="B41" s="1442" t="str">
        <f>'Data Validation'!A33</f>
        <v>Light Towers</v>
      </c>
      <c r="C41" s="1427"/>
      <c r="D41" s="1427"/>
      <c r="E41" s="1429"/>
      <c r="F41" s="1452"/>
      <c r="G41" s="1434">
        <v>0</v>
      </c>
      <c r="H41" s="1428">
        <f t="shared" si="0"/>
        <v>0</v>
      </c>
    </row>
    <row r="42" spans="1:8" ht="13.35" customHeight="1">
      <c r="A42" s="1257">
        <f>'Data Validation'!B34</f>
        <v>0</v>
      </c>
      <c r="B42" s="1442" t="str">
        <f>'Data Validation'!A34</f>
        <v>Wellsite Unit</v>
      </c>
      <c r="C42" s="1427"/>
      <c r="D42" s="1427"/>
      <c r="E42" s="1429"/>
      <c r="F42" s="1452"/>
      <c r="G42" s="1434">
        <v>0</v>
      </c>
      <c r="H42" s="1428">
        <f t="shared" si="0"/>
        <v>0</v>
      </c>
    </row>
    <row r="43" spans="1:8" ht="13.35" customHeight="1">
      <c r="A43" s="1257">
        <f>'Data Validation'!B35</f>
        <v>0</v>
      </c>
      <c r="B43" s="1442">
        <f>'Data Validation'!A35</f>
        <v>0</v>
      </c>
      <c r="C43" s="1427"/>
      <c r="D43" s="1427"/>
      <c r="E43" s="1429"/>
      <c r="F43" s="1452"/>
      <c r="G43" s="1434">
        <v>0</v>
      </c>
      <c r="H43" s="1428">
        <f t="shared" si="0"/>
        <v>0</v>
      </c>
    </row>
    <row r="44" spans="1:8" ht="13.35" customHeight="1" thickBot="1">
      <c r="A44" s="1257">
        <f>'Data Validation'!B36</f>
        <v>0</v>
      </c>
      <c r="B44" s="1444">
        <f>'Data Validation'!A36</f>
        <v>0</v>
      </c>
      <c r="C44" s="1453"/>
      <c r="D44" s="1453"/>
      <c r="E44" s="1454"/>
      <c r="F44" s="1455"/>
      <c r="G44" s="1434">
        <v>0</v>
      </c>
      <c r="H44" s="1428">
        <f t="shared" si="0"/>
        <v>0</v>
      </c>
    </row>
    <row r="45" spans="1:8" ht="13.35" customHeight="1">
      <c r="A45" s="1257">
        <f>'Data Validation'!B37</f>
        <v>0</v>
      </c>
      <c r="B45" s="1437" t="str">
        <f>'Data Validation'!A37</f>
        <v>Water</v>
      </c>
      <c r="C45" s="1449"/>
      <c r="D45" s="1449"/>
      <c r="E45" s="1450"/>
      <c r="F45" s="1451"/>
      <c r="G45" s="1434">
        <v>0</v>
      </c>
      <c r="H45" s="1428">
        <f t="shared" si="0"/>
        <v>0</v>
      </c>
    </row>
    <row r="46" spans="1:8" ht="13.35" customHeight="1">
      <c r="A46" s="1257">
        <f>'Data Validation'!B38</f>
        <v>0</v>
      </c>
      <c r="B46" s="1442" t="str">
        <f>'Data Validation'!A38</f>
        <v>Load Oil</v>
      </c>
      <c r="C46" s="1427"/>
      <c r="D46" s="1427"/>
      <c r="E46" s="1429"/>
      <c r="F46" s="1452"/>
      <c r="G46" s="1434">
        <v>0</v>
      </c>
      <c r="H46" s="1428">
        <f t="shared" si="0"/>
        <v>0</v>
      </c>
    </row>
    <row r="47" spans="1:8" ht="13.35" customHeight="1">
      <c r="A47" s="1257">
        <f>'Data Validation'!B39</f>
        <v>0</v>
      </c>
      <c r="B47" s="1442" t="str">
        <f>'Data Validation'!A39</f>
        <v>Chemical</v>
      </c>
      <c r="C47" s="1427"/>
      <c r="D47" s="1427"/>
      <c r="E47" s="1429"/>
      <c r="F47" s="1452"/>
      <c r="G47" s="1434">
        <v>0</v>
      </c>
      <c r="H47" s="1428">
        <f t="shared" si="0"/>
        <v>0</v>
      </c>
    </row>
    <row r="48" spans="1:8" ht="13.35" customHeight="1">
      <c r="A48" s="1257">
        <f>'Data Validation'!B40</f>
        <v>0</v>
      </c>
      <c r="B48" s="1442" t="str">
        <f>'Data Validation'!A40</f>
        <v>Methanol</v>
      </c>
      <c r="C48" s="1427"/>
      <c r="D48" s="1427"/>
      <c r="E48" s="1429"/>
      <c r="F48" s="1452"/>
      <c r="G48" s="1434">
        <v>0</v>
      </c>
      <c r="H48" s="1428">
        <f t="shared" si="0"/>
        <v>0</v>
      </c>
    </row>
    <row r="49" spans="1:8" ht="13.35" customHeight="1">
      <c r="A49" s="1257">
        <f>'Data Validation'!B41</f>
        <v>0</v>
      </c>
      <c r="B49" s="1442">
        <f>'Data Validation'!A41</f>
        <v>0</v>
      </c>
      <c r="C49" s="1427"/>
      <c r="D49" s="1427"/>
      <c r="E49" s="1429"/>
      <c r="F49" s="1452"/>
      <c r="G49" s="1434">
        <v>0</v>
      </c>
      <c r="H49" s="1428">
        <f t="shared" si="0"/>
        <v>0</v>
      </c>
    </row>
    <row r="50" spans="1:8" ht="13.35" customHeight="1">
      <c r="A50" s="1257">
        <f>'Data Validation'!B42</f>
        <v>0</v>
      </c>
      <c r="B50" s="1442">
        <f>'Data Validation'!A42</f>
        <v>0</v>
      </c>
      <c r="C50" s="1248"/>
      <c r="D50" s="1249"/>
      <c r="E50" s="1250"/>
      <c r="F50" s="1443"/>
      <c r="G50" s="1434">
        <f>SUM(G10:G31)*0.05</f>
        <v>0</v>
      </c>
      <c r="H50" s="1251">
        <f t="shared" si="0"/>
        <v>0</v>
      </c>
    </row>
    <row r="51" spans="1:8" ht="13.35" customHeight="1" thickBot="1">
      <c r="A51" s="1257">
        <f>'Data Validation'!B43</f>
        <v>0</v>
      </c>
      <c r="B51" s="1444">
        <f>'Data Validation'!A43</f>
        <v>0</v>
      </c>
      <c r="C51" s="1445"/>
      <c r="D51" s="1446"/>
      <c r="E51" s="1447"/>
      <c r="F51" s="1448"/>
      <c r="G51" s="1434">
        <v>0</v>
      </c>
      <c r="H51" s="1251">
        <f t="shared" si="0"/>
        <v>0</v>
      </c>
    </row>
    <row r="52" spans="1:8" ht="13.35" customHeight="1">
      <c r="A52" s="1257">
        <f>'Data Validation'!B44</f>
        <v>0</v>
      </c>
      <c r="B52" s="1437" t="str">
        <f>'Data Validation'!A44</f>
        <v>Wellsite Supervisor</v>
      </c>
      <c r="C52" s="1438"/>
      <c r="D52" s="1439"/>
      <c r="E52" s="1440"/>
      <c r="F52" s="1441"/>
      <c r="G52" s="1434">
        <v>0</v>
      </c>
      <c r="H52" s="1251">
        <f t="shared" si="0"/>
        <v>0</v>
      </c>
    </row>
    <row r="53" spans="1:8" ht="13.35" customHeight="1">
      <c r="A53" s="1257">
        <f>'Data Validation'!B45</f>
        <v>0</v>
      </c>
      <c r="B53" s="1442" t="str">
        <f>'Data Validation'!A45</f>
        <v>Accommodation</v>
      </c>
      <c r="C53" s="1248"/>
      <c r="D53" s="1249"/>
      <c r="E53" s="1250"/>
      <c r="F53" s="1443"/>
      <c r="G53" s="1434">
        <v>0</v>
      </c>
      <c r="H53" s="1251">
        <f t="shared" si="0"/>
        <v>0</v>
      </c>
    </row>
    <row r="54" spans="1:8" ht="13.35" customHeight="1">
      <c r="A54" s="1257">
        <f>'Data Validation'!B46</f>
        <v>0</v>
      </c>
      <c r="B54" s="1442" t="str">
        <f>'Data Validation'!A46</f>
        <v>Vehicle</v>
      </c>
      <c r="C54" s="1248"/>
      <c r="D54" s="1249"/>
      <c r="E54" s="1250"/>
      <c r="F54" s="1443"/>
      <c r="G54" s="1434">
        <v>0</v>
      </c>
      <c r="H54" s="1251">
        <f t="shared" si="0"/>
        <v>0</v>
      </c>
    </row>
    <row r="55" spans="1:8" ht="13.35" customHeight="1">
      <c r="A55" s="1257">
        <f>'Data Validation'!B47</f>
        <v>0</v>
      </c>
      <c r="B55" s="1442" t="str">
        <f>'Data Validation'!A47</f>
        <v>Subsistence</v>
      </c>
      <c r="C55" s="1248"/>
      <c r="D55" s="1249"/>
      <c r="E55" s="1250"/>
      <c r="F55" s="1443"/>
      <c r="G55" s="1434">
        <v>0</v>
      </c>
      <c r="H55" s="1251">
        <f t="shared" si="0"/>
        <v>0</v>
      </c>
    </row>
    <row r="56" spans="1:8" ht="13.35" customHeight="1">
      <c r="A56" s="1257">
        <f>'Data Validation'!B48</f>
        <v>0</v>
      </c>
      <c r="B56" s="1442" t="str">
        <f>'Data Validation'!A48</f>
        <v>Communication</v>
      </c>
      <c r="C56" s="1248"/>
      <c r="D56" s="1249"/>
      <c r="E56" s="1250"/>
      <c r="F56" s="1443"/>
      <c r="G56" s="1434">
        <v>0</v>
      </c>
      <c r="H56" s="1251">
        <f t="shared" si="0"/>
        <v>0</v>
      </c>
    </row>
    <row r="57" spans="1:8" ht="13.35" customHeight="1">
      <c r="A57" s="1257">
        <f>'Data Validation'!B49</f>
        <v>0</v>
      </c>
      <c r="B57" s="1442">
        <f>'Data Validation'!A49</f>
        <v>0</v>
      </c>
      <c r="C57" s="1248"/>
      <c r="D57" s="1249"/>
      <c r="E57" s="1250"/>
      <c r="F57" s="1443"/>
      <c r="G57" s="1434">
        <v>0</v>
      </c>
      <c r="H57" s="1251">
        <f t="shared" si="0"/>
        <v>0</v>
      </c>
    </row>
    <row r="58" spans="1:8" ht="13.35" customHeight="1" thickBot="1">
      <c r="A58" s="1257">
        <f>'Data Validation'!B50</f>
        <v>0</v>
      </c>
      <c r="B58" s="1459">
        <f>'Data Validation'!A50</f>
        <v>0</v>
      </c>
      <c r="C58" s="1460"/>
      <c r="D58" s="1461"/>
      <c r="E58" s="1462"/>
      <c r="F58" s="1458"/>
      <c r="G58" s="1434">
        <v>0</v>
      </c>
      <c r="H58" s="1251">
        <f t="shared" si="0"/>
        <v>0</v>
      </c>
    </row>
    <row r="59" spans="1:8" ht="13.35" customHeight="1">
      <c r="A59" s="1257">
        <f>'Data Validation'!B51</f>
        <v>0</v>
      </c>
      <c r="B59" s="1437" t="str">
        <f>'Data Validation'!A51</f>
        <v>Welding</v>
      </c>
      <c r="C59" s="1438"/>
      <c r="D59" s="1439"/>
      <c r="E59" s="1440"/>
      <c r="F59" s="1467"/>
      <c r="G59" s="1434">
        <v>0</v>
      </c>
      <c r="H59" s="1251">
        <f t="shared" si="0"/>
        <v>0</v>
      </c>
    </row>
    <row r="60" spans="1:8" ht="13.35" customHeight="1">
      <c r="A60" s="1257">
        <f>'Data Validation'!B52</f>
        <v>0</v>
      </c>
      <c r="B60" s="1442">
        <f>'Data Validation'!A52</f>
        <v>0</v>
      </c>
      <c r="C60" s="1263"/>
      <c r="D60" s="1294"/>
      <c r="E60" s="1295"/>
      <c r="F60" s="1458"/>
      <c r="G60" s="1434">
        <v>0</v>
      </c>
      <c r="H60" s="1251">
        <f t="shared" si="0"/>
        <v>0</v>
      </c>
    </row>
    <row r="61" spans="1:8" ht="13.35" customHeight="1">
      <c r="A61" s="1257">
        <f>'Data Validation'!B53</f>
        <v>0</v>
      </c>
      <c r="B61" s="1442">
        <f>'Data Validation'!A53</f>
        <v>0</v>
      </c>
      <c r="C61" s="1263"/>
      <c r="D61" s="1294"/>
      <c r="E61" s="1295"/>
      <c r="F61" s="1458"/>
      <c r="G61" s="1434">
        <v>0</v>
      </c>
      <c r="H61" s="1251">
        <f t="shared" si="0"/>
        <v>0</v>
      </c>
    </row>
    <row r="62" spans="1:8" ht="13.35" customHeight="1">
      <c r="A62" s="1257">
        <f>'Data Validation'!B54</f>
        <v>0</v>
      </c>
      <c r="B62" s="1442">
        <f>'Data Validation'!A54</f>
        <v>0</v>
      </c>
      <c r="C62" s="1263"/>
      <c r="D62" s="1294"/>
      <c r="E62" s="1295"/>
      <c r="F62" s="1458"/>
      <c r="G62" s="1434">
        <v>0</v>
      </c>
      <c r="H62" s="1251">
        <f t="shared" si="0"/>
        <v>0</v>
      </c>
    </row>
    <row r="63" spans="1:8" ht="13.35" customHeight="1">
      <c r="A63" s="1257">
        <f>'Data Validation'!B55</f>
        <v>0</v>
      </c>
      <c r="B63" s="1442">
        <f>'Data Validation'!A55</f>
        <v>0</v>
      </c>
      <c r="C63" s="1263"/>
      <c r="D63" s="1294"/>
      <c r="E63" s="1295"/>
      <c r="F63" s="1458"/>
      <c r="G63" s="1434">
        <v>0</v>
      </c>
      <c r="H63" s="1251">
        <f t="shared" si="0"/>
        <v>0</v>
      </c>
    </row>
    <row r="64" spans="1:8" ht="13.35" customHeight="1" thickBot="1">
      <c r="A64" s="1257">
        <f>'Data Validation'!B50</f>
        <v>0</v>
      </c>
      <c r="B64" s="1444">
        <f>'Data Validation'!A56</f>
        <v>0</v>
      </c>
      <c r="C64" s="1445"/>
      <c r="D64" s="1446"/>
      <c r="E64" s="1447"/>
      <c r="F64" s="1448"/>
      <c r="G64" s="1434">
        <f>SUM(G10:G50)*0.05</f>
        <v>0</v>
      </c>
      <c r="H64" s="1251">
        <f t="shared" si="0"/>
        <v>0</v>
      </c>
    </row>
    <row r="65" spans="1:8" s="1270" customFormat="1" ht="13.35" customHeight="1">
      <c r="A65" s="1297"/>
      <c r="B65" s="1265" t="str">
        <f>"SUBTOTAL "&amp;A8</f>
        <v>SUBTOTAL COMPLETION / WORKOVER INTANGIBLE COSTS</v>
      </c>
      <c r="C65" s="1463"/>
      <c r="D65" s="1464"/>
      <c r="E65" s="1465"/>
      <c r="F65" s="1466"/>
      <c r="G65" s="1256">
        <f>+SUM(G10:G64)</f>
        <v>0</v>
      </c>
      <c r="H65" s="1298">
        <f t="shared" si="0"/>
        <v>0</v>
      </c>
    </row>
    <row r="66" spans="1:8" s="1270" customFormat="1" ht="8.25" customHeight="1">
      <c r="A66" s="1257"/>
      <c r="B66" s="1249"/>
      <c r="C66" s="1248"/>
      <c r="D66" s="1249"/>
      <c r="E66" s="1250"/>
      <c r="F66" s="1258"/>
      <c r="G66" s="1259"/>
      <c r="H66" s="1260"/>
    </row>
    <row r="67" spans="1:8" ht="16.5" customHeight="1">
      <c r="B67" s="1284" t="s">
        <v>1298</v>
      </c>
      <c r="C67" s="1285"/>
      <c r="D67" s="1285"/>
      <c r="E67" s="1285"/>
      <c r="F67" s="1285"/>
      <c r="G67" s="1286"/>
      <c r="H67" s="1261" t="s">
        <v>1283</v>
      </c>
    </row>
    <row r="68" spans="1:8" ht="16.5" customHeight="1">
      <c r="A68" s="1281"/>
      <c r="B68" s="1282"/>
      <c r="C68" s="1282"/>
      <c r="D68" s="1282"/>
      <c r="E68" s="1282"/>
      <c r="F68" s="1283"/>
      <c r="G68" s="1261" t="s">
        <v>1282</v>
      </c>
      <c r="H68" s="1261"/>
    </row>
    <row r="69" spans="1:8" ht="16.5" customHeight="1">
      <c r="A69" s="1246"/>
      <c r="B69" s="1969" t="s">
        <v>187</v>
      </c>
      <c r="C69" s="1969"/>
      <c r="D69" s="1969"/>
      <c r="E69" s="1969"/>
      <c r="F69" s="1970"/>
      <c r="G69" s="1262" t="s">
        <v>1284</v>
      </c>
      <c r="H69" s="1262" t="s">
        <v>1284</v>
      </c>
    </row>
    <row r="70" spans="1:8" ht="13.35" customHeight="1">
      <c r="A70" s="1252">
        <f>'Data Validation'!B57</f>
        <v>0</v>
      </c>
      <c r="B70" s="1253" t="str">
        <f>'Data Validation'!A57</f>
        <v>Wellhead Equipment</v>
      </c>
      <c r="C70" s="1254"/>
      <c r="D70" s="1253"/>
      <c r="E70" s="1296"/>
      <c r="F70" s="1299"/>
      <c r="G70" s="1432">
        <v>0</v>
      </c>
      <c r="H70" s="1251">
        <f>G70*$H$6</f>
        <v>0</v>
      </c>
    </row>
    <row r="71" spans="1:8" ht="13.35" customHeight="1">
      <c r="A71" s="1252">
        <f>'Data Validation'!B58</f>
        <v>0</v>
      </c>
      <c r="B71" s="1253" t="str">
        <f>'Data Validation'!A58</f>
        <v>Tubing</v>
      </c>
      <c r="C71" s="1254"/>
      <c r="D71" s="1300">
        <v>0</v>
      </c>
      <c r="E71" s="1301" t="s">
        <v>1299</v>
      </c>
      <c r="F71" s="1302">
        <v>0</v>
      </c>
      <c r="G71" s="1432">
        <f>+D71*F71</f>
        <v>0</v>
      </c>
      <c r="H71" s="1251">
        <f>G71*$H$6</f>
        <v>0</v>
      </c>
    </row>
    <row r="72" spans="1:8" ht="13.35" customHeight="1">
      <c r="A72" s="1252">
        <f>'Data Validation'!B59</f>
        <v>0</v>
      </c>
      <c r="B72" s="1253" t="str">
        <f>'Data Validation'!A59</f>
        <v>Packers/Nipples/Fittings</v>
      </c>
      <c r="C72" s="1254"/>
      <c r="D72" s="1253"/>
      <c r="E72" s="1296"/>
      <c r="F72" s="1303"/>
      <c r="G72" s="1432">
        <v>0</v>
      </c>
      <c r="H72" s="1251">
        <f>G72*$H$6</f>
        <v>0</v>
      </c>
    </row>
    <row r="73" spans="1:8" ht="13.35" customHeight="1">
      <c r="A73" s="1252">
        <f>'Data Validation'!B60</f>
        <v>0</v>
      </c>
      <c r="B73" s="1253" t="str">
        <f>'Data Validation'!A60</f>
        <v>BHP/ESP</v>
      </c>
      <c r="C73" s="1254"/>
      <c r="D73" s="1253"/>
      <c r="E73" s="1296"/>
      <c r="F73" s="1303"/>
      <c r="G73" s="1432">
        <v>0</v>
      </c>
      <c r="H73" s="1251">
        <f t="shared" ref="H73:H78" si="1">G73*$H$6</f>
        <v>0</v>
      </c>
    </row>
    <row r="74" spans="1:8" ht="13.35" customHeight="1">
      <c r="A74" s="1252">
        <f>'Data Validation'!B61</f>
        <v>0</v>
      </c>
      <c r="B74" s="1253" t="str">
        <f>'Data Validation'!A61</f>
        <v>Sucker Rods/Equip</v>
      </c>
      <c r="C74" s="1254"/>
      <c r="D74" s="1253"/>
      <c r="E74" s="1296"/>
      <c r="F74" s="1303"/>
      <c r="G74" s="1432">
        <v>0</v>
      </c>
      <c r="H74" s="1251">
        <f t="shared" si="1"/>
        <v>0</v>
      </c>
    </row>
    <row r="75" spans="1:8" ht="13.35" customHeight="1">
      <c r="A75" s="1252">
        <f>'Data Validation'!B62</f>
        <v>0</v>
      </c>
      <c r="B75" s="1253" t="str">
        <f>'Data Validation'!A62</f>
        <v>Bridge Plugs</v>
      </c>
      <c r="C75" s="1254"/>
      <c r="D75" s="1253"/>
      <c r="E75" s="1296"/>
      <c r="F75" s="1303"/>
      <c r="G75" s="1432">
        <v>0</v>
      </c>
      <c r="H75" s="1251">
        <f t="shared" si="1"/>
        <v>0</v>
      </c>
    </row>
    <row r="76" spans="1:8" ht="13.35" customHeight="1">
      <c r="A76" s="1252">
        <f>'Data Validation'!B63</f>
        <v>0</v>
      </c>
      <c r="B76" s="1253">
        <f>'Data Validation'!A63</f>
        <v>0</v>
      </c>
      <c r="C76" s="1254"/>
      <c r="D76" s="1253"/>
      <c r="E76" s="1296"/>
      <c r="F76" s="1303"/>
      <c r="G76" s="1432">
        <v>0</v>
      </c>
      <c r="H76" s="1251">
        <f t="shared" si="1"/>
        <v>0</v>
      </c>
    </row>
    <row r="77" spans="1:8" ht="13.35" customHeight="1">
      <c r="A77" s="1252">
        <f>'Data Validation'!B64</f>
        <v>0</v>
      </c>
      <c r="B77" s="1253">
        <f>'Data Validation'!A64</f>
        <v>0</v>
      </c>
      <c r="C77" s="1254"/>
      <c r="D77" s="1253"/>
      <c r="E77" s="1296"/>
      <c r="F77" s="1303"/>
      <c r="G77" s="1432">
        <v>0</v>
      </c>
      <c r="H77" s="1251">
        <f t="shared" si="1"/>
        <v>0</v>
      </c>
    </row>
    <row r="78" spans="1:8" ht="13.35" customHeight="1">
      <c r="A78" s="1252">
        <f>'Data Validation'!B65</f>
        <v>0</v>
      </c>
      <c r="B78" s="1253">
        <f>'Data Validation'!A65</f>
        <v>0</v>
      </c>
      <c r="C78" s="1254"/>
      <c r="D78" s="1253"/>
      <c r="E78" s="1296"/>
      <c r="F78" s="1303"/>
      <c r="G78" s="1432">
        <v>0</v>
      </c>
      <c r="H78" s="1251">
        <f t="shared" si="1"/>
        <v>0</v>
      </c>
    </row>
    <row r="79" spans="1:8" s="1270" customFormat="1" ht="13.35" customHeight="1">
      <c r="A79" s="1264"/>
      <c r="B79" s="1265" t="str">
        <f>"SUBTOTAL "&amp;B67</f>
        <v>SUBTOTAL COMPLETION / WORKOVER TANGIBLE COSTS</v>
      </c>
      <c r="C79" s="1266"/>
      <c r="D79" s="1267"/>
      <c r="E79" s="1268"/>
      <c r="F79" s="1269"/>
      <c r="G79" s="1304">
        <f>SUM(Comp2)</f>
        <v>0</v>
      </c>
      <c r="H79" s="1304">
        <f>SUM(H70:H78)</f>
        <v>0</v>
      </c>
    </row>
    <row r="80" spans="1:8" ht="7.5" customHeight="1">
      <c r="A80" s="1271"/>
      <c r="B80" s="1272"/>
      <c r="C80" s="1273"/>
      <c r="D80" s="1272"/>
      <c r="E80" s="1274"/>
      <c r="F80" s="1275"/>
      <c r="G80" s="1305"/>
      <c r="H80" s="1305"/>
    </row>
    <row r="81" spans="1:8" s="1270" customFormat="1" ht="13.35" customHeight="1">
      <c r="A81" s="1264"/>
      <c r="B81" s="1265" t="s">
        <v>1300</v>
      </c>
      <c r="C81" s="1266"/>
      <c r="D81" s="1267"/>
      <c r="E81" s="1268"/>
      <c r="F81" s="1269"/>
      <c r="G81" s="1304">
        <f>+G79+G65</f>
        <v>0</v>
      </c>
      <c r="H81" s="1304">
        <f>+H79+H65</f>
        <v>0</v>
      </c>
    </row>
    <row r="82" spans="1:8" ht="13.35" customHeight="1">
      <c r="A82" s="1252">
        <f>'Data Validation'!B66</f>
        <v>0</v>
      </c>
      <c r="B82" s="1253" t="str">
        <f>'Data Validation'!A66</f>
        <v>Contingency</v>
      </c>
      <c r="C82" s="1254"/>
      <c r="D82" s="1254"/>
      <c r="E82" s="1296"/>
      <c r="F82" s="1255"/>
      <c r="G82" s="1433">
        <f>IF(N(G81)&gt;0,IF(G81&lt;=50000,G81*0.03,IF(AND(G81&gt;50000,G81&lt;=100000),1500+(G81-50000)*0.02,3500+(G81-150000)*0.01)), )</f>
        <v>0</v>
      </c>
      <c r="H82" s="1251">
        <f>G82*$H$6</f>
        <v>0</v>
      </c>
    </row>
    <row r="83" spans="1:8" s="1270" customFormat="1" ht="18.75" customHeight="1">
      <c r="A83" s="1306"/>
      <c r="B83" s="1276" t="s">
        <v>1288</v>
      </c>
      <c r="C83" s="1277"/>
      <c r="D83" s="1276"/>
      <c r="E83" s="1278"/>
      <c r="F83" s="1279"/>
      <c r="G83" s="1280">
        <f>G65+G79+G81+G82</f>
        <v>0</v>
      </c>
      <c r="H83" s="1280">
        <f>SUM(H81:H82)</f>
        <v>0</v>
      </c>
    </row>
  </sheetData>
  <sheetProtection sheet="1" objects="1" scenarios="1"/>
  <mergeCells count="14">
    <mergeCell ref="I8:I9"/>
    <mergeCell ref="B69:F69"/>
    <mergeCell ref="A1:H1"/>
    <mergeCell ref="F7:G7"/>
    <mergeCell ref="D4:E4"/>
    <mergeCell ref="F4:G4"/>
    <mergeCell ref="F5:G5"/>
    <mergeCell ref="F6:G6"/>
    <mergeCell ref="A7:B7"/>
    <mergeCell ref="A6:B6"/>
    <mergeCell ref="A5:B5"/>
    <mergeCell ref="A4:B4"/>
    <mergeCell ref="A8:F8"/>
    <mergeCell ref="B9:F9"/>
  </mergeCells>
  <phoneticPr fontId="148" type="noConversion"/>
  <printOptions horizontalCentered="1"/>
  <pageMargins left="0" right="0" top="0" bottom="0" header="0.5" footer="0.5"/>
  <pageSetup scale="6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3731" r:id="rId4" name="Button 3">
              <controlPr defaultSize="0" print="0" autoFill="0" autoPict="0" macro="[0]!BACKTOMENU">
                <anchor moveWithCells="1">
                  <from>
                    <xdr:col>9</xdr:col>
                    <xdr:colOff>465364</xdr:colOff>
                    <xdr:row>0</xdr:row>
                    <xdr:rowOff>103414</xdr:rowOff>
                  </from>
                  <to>
                    <xdr:col>10</xdr:col>
                    <xdr:colOff>100693</xdr:colOff>
                    <xdr:row>1</xdr:row>
                    <xdr:rowOff>46264</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6C12F39-58B7-4384-8738-28DAD25D2872}">
          <x14:formula1>
            <xm:f>'Data Validation'!$C$4:$D$4</xm:f>
          </x14:formula1>
          <xm:sqref>E7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945FF-85A6-4DA8-8428-B6E248EB6AC8}">
  <sheetPr>
    <tabColor rgb="FFFF0000"/>
  </sheetPr>
  <dimension ref="A1:K487"/>
  <sheetViews>
    <sheetView tabSelected="1" workbookViewId="0">
      <selection activeCell="C66" sqref="C66"/>
    </sheetView>
  </sheetViews>
  <sheetFormatPr defaultRowHeight="12.9"/>
  <cols>
    <col min="1" max="1" width="22.8046875" customWidth="1"/>
    <col min="2" max="2" width="17.8828125" style="3" customWidth="1"/>
    <col min="3" max="3" width="17.73046875" customWidth="1"/>
    <col min="4" max="4" width="17.765625" customWidth="1"/>
    <col min="5" max="5" width="18" customWidth="1"/>
    <col min="6" max="6" width="17.69140625" customWidth="1"/>
  </cols>
  <sheetData>
    <row r="1" spans="1:11" s="4" customFormat="1" ht="13.75" thickBot="1">
      <c r="A1" s="4" t="s">
        <v>1529</v>
      </c>
      <c r="B1" s="4" t="s">
        <v>1520</v>
      </c>
      <c r="C1" s="4" t="s">
        <v>1521</v>
      </c>
      <c r="D1" s="4" t="s">
        <v>1522</v>
      </c>
      <c r="E1" s="1664" t="s">
        <v>1552</v>
      </c>
      <c r="F1" s="1664"/>
    </row>
    <row r="2" spans="1:11" ht="13.5">
      <c r="A2" s="1476" t="s">
        <v>206</v>
      </c>
      <c r="B2" s="1477"/>
      <c r="C2" s="1478" t="s">
        <v>1523</v>
      </c>
      <c r="D2" s="1478" t="s">
        <v>1524</v>
      </c>
      <c r="E2" s="1488">
        <f>25.4*0.625</f>
        <v>15.875</v>
      </c>
      <c r="F2" s="1530" t="s">
        <v>1555</v>
      </c>
      <c r="G2" s="1479"/>
      <c r="H2" s="1479"/>
      <c r="I2" s="1479"/>
      <c r="J2" s="1479"/>
      <c r="K2" s="1479"/>
    </row>
    <row r="3" spans="1:11" ht="13.5">
      <c r="A3" s="1480" t="s">
        <v>538</v>
      </c>
      <c r="B3" s="1481"/>
      <c r="C3" s="1478" t="s">
        <v>509</v>
      </c>
      <c r="D3" s="1478" t="s">
        <v>1525</v>
      </c>
      <c r="E3" s="1488">
        <f>25.4*3/4</f>
        <v>19.049999999999997</v>
      </c>
      <c r="F3" s="1530" t="s">
        <v>1553</v>
      </c>
      <c r="G3" s="1479"/>
      <c r="H3" s="1479"/>
      <c r="I3" s="1479"/>
      <c r="J3" s="1479"/>
      <c r="K3" s="1479"/>
    </row>
    <row r="4" spans="1:11" ht="13.5">
      <c r="A4" s="1480" t="s">
        <v>666</v>
      </c>
      <c r="B4" s="1481"/>
      <c r="C4" s="1478" t="s">
        <v>1526</v>
      </c>
      <c r="D4" s="1478" t="s">
        <v>1527</v>
      </c>
      <c r="E4" s="1488">
        <v>22.2</v>
      </c>
      <c r="F4" s="1530" t="s">
        <v>1554</v>
      </c>
      <c r="G4" s="1479"/>
      <c r="H4" s="1479"/>
      <c r="I4" s="1479"/>
      <c r="J4" s="1479"/>
      <c r="K4" s="1479"/>
    </row>
    <row r="5" spans="1:11">
      <c r="A5" s="1480" t="s">
        <v>127</v>
      </c>
      <c r="B5" s="1481"/>
      <c r="C5" s="1478" t="s">
        <v>1541</v>
      </c>
      <c r="D5" s="1478" t="s">
        <v>1525</v>
      </c>
      <c r="E5" s="1488">
        <v>25.4</v>
      </c>
      <c r="F5" s="1488">
        <v>1</v>
      </c>
      <c r="G5" s="1479"/>
      <c r="H5" s="1479"/>
      <c r="I5" s="1479"/>
      <c r="J5" s="1479"/>
      <c r="K5" s="1479"/>
    </row>
    <row r="6" spans="1:11" ht="13.5">
      <c r="A6" s="1480" t="s">
        <v>129</v>
      </c>
      <c r="B6" s="1481"/>
      <c r="C6" s="1478" t="s">
        <v>952</v>
      </c>
      <c r="D6" s="1478" t="s">
        <v>1528</v>
      </c>
      <c r="E6" s="1488">
        <f>1.25*25.4</f>
        <v>31.75</v>
      </c>
      <c r="F6" s="1531" t="s">
        <v>1556</v>
      </c>
      <c r="G6" s="1479"/>
      <c r="H6" s="1479"/>
      <c r="I6" s="1479"/>
      <c r="J6" s="1479"/>
      <c r="K6" s="1479"/>
    </row>
    <row r="7" spans="1:11">
      <c r="A7" s="1480" t="s">
        <v>128</v>
      </c>
      <c r="B7" s="1481"/>
      <c r="C7" s="1478" t="s">
        <v>360</v>
      </c>
      <c r="D7" s="1478" t="s">
        <v>1544</v>
      </c>
      <c r="E7" s="1488"/>
      <c r="F7" s="1488"/>
      <c r="G7" s="1479"/>
      <c r="H7" s="1479"/>
      <c r="I7" s="1479"/>
      <c r="J7" s="1479"/>
      <c r="K7" s="1479"/>
    </row>
    <row r="8" spans="1:11" ht="13.5">
      <c r="A8" s="1480" t="s">
        <v>667</v>
      </c>
      <c r="B8" s="1481"/>
      <c r="C8" s="1478" t="s">
        <v>1566</v>
      </c>
      <c r="D8" s="1478" t="s">
        <v>1567</v>
      </c>
      <c r="E8" s="1488"/>
      <c r="F8" s="1488"/>
      <c r="G8" s="1479"/>
      <c r="H8" s="1479"/>
      <c r="I8" s="1479"/>
      <c r="J8" s="1479"/>
      <c r="K8" s="1479"/>
    </row>
    <row r="9" spans="1:11" ht="13.5" thickBot="1">
      <c r="A9" s="1480" t="s">
        <v>668</v>
      </c>
      <c r="B9" s="1481"/>
      <c r="C9" s="1478" t="s">
        <v>118</v>
      </c>
      <c r="D9" s="1478" t="s">
        <v>1582</v>
      </c>
      <c r="E9" s="1488"/>
      <c r="F9" s="1488"/>
      <c r="G9" s="1479"/>
      <c r="H9" s="1479"/>
      <c r="I9" s="1479"/>
      <c r="J9" s="1479"/>
      <c r="K9" s="1479"/>
    </row>
    <row r="10" spans="1:11">
      <c r="A10" s="1480" t="s">
        <v>669</v>
      </c>
      <c r="B10" s="1481"/>
      <c r="C10" s="1478" t="s">
        <v>822</v>
      </c>
      <c r="D10" s="1478" t="s">
        <v>1583</v>
      </c>
      <c r="E10" s="1551" t="s">
        <v>1557</v>
      </c>
      <c r="F10" s="1488"/>
      <c r="G10" s="1479"/>
      <c r="H10" s="1479"/>
      <c r="I10" s="1479"/>
      <c r="J10" s="1479"/>
      <c r="K10" s="1479"/>
    </row>
    <row r="11" spans="1:11" ht="13.5">
      <c r="A11" s="1480" t="s">
        <v>670</v>
      </c>
      <c r="B11" s="1481"/>
      <c r="C11" s="1478" t="s">
        <v>1594</v>
      </c>
      <c r="D11" s="1478" t="s">
        <v>1595</v>
      </c>
      <c r="E11" s="1552" t="s">
        <v>1558</v>
      </c>
      <c r="F11" s="1488"/>
      <c r="G11" s="1479"/>
      <c r="H11" s="1479"/>
      <c r="I11" s="1479"/>
      <c r="J11" s="1479"/>
      <c r="K11" s="1479"/>
    </row>
    <row r="12" spans="1:11">
      <c r="A12" s="1480" t="s">
        <v>671</v>
      </c>
      <c r="B12" s="1481"/>
      <c r="C12" s="1478" t="s">
        <v>975</v>
      </c>
      <c r="D12" s="1478" t="s">
        <v>1601</v>
      </c>
      <c r="E12" s="1552" t="s">
        <v>1559</v>
      </c>
      <c r="F12" s="1488"/>
      <c r="G12" s="1479"/>
      <c r="H12" s="1479"/>
      <c r="I12" s="1479"/>
      <c r="J12" s="1479"/>
      <c r="K12" s="1479"/>
    </row>
    <row r="13" spans="1:11" ht="13.5" thickBot="1">
      <c r="A13" s="1480" t="s">
        <v>732</v>
      </c>
      <c r="B13" s="1481"/>
      <c r="C13" s="1478" t="s">
        <v>1081</v>
      </c>
      <c r="D13" s="1478" t="s">
        <v>272</v>
      </c>
      <c r="E13" s="1553"/>
      <c r="F13" s="1488"/>
      <c r="G13" s="1479"/>
      <c r="H13" s="1479"/>
      <c r="I13" s="1479"/>
      <c r="J13" s="1479"/>
      <c r="K13" s="1479"/>
    </row>
    <row r="14" spans="1:11" ht="13.5" thickBot="1">
      <c r="A14" s="1480" t="s">
        <v>917</v>
      </c>
      <c r="B14" s="1481"/>
      <c r="C14" s="1478" t="s">
        <v>966</v>
      </c>
      <c r="D14" s="1478" t="s">
        <v>1611</v>
      </c>
      <c r="E14" s="1479"/>
      <c r="F14" s="1479"/>
      <c r="G14" s="1479"/>
      <c r="H14" s="1479"/>
      <c r="I14" s="1479"/>
      <c r="J14" s="1479"/>
      <c r="K14" s="1479"/>
    </row>
    <row r="15" spans="1:11">
      <c r="A15" s="1480" t="s">
        <v>672</v>
      </c>
      <c r="B15" s="1481"/>
      <c r="C15" s="1992" t="s">
        <v>549</v>
      </c>
      <c r="D15" s="1993"/>
      <c r="E15" s="1994" t="s">
        <v>1589</v>
      </c>
      <c r="F15" s="1995"/>
      <c r="G15" s="1479"/>
      <c r="H15" s="1479"/>
      <c r="I15" s="1479"/>
      <c r="J15" s="1479"/>
      <c r="K15" s="1479"/>
    </row>
    <row r="16" spans="1:11" ht="13.5">
      <c r="A16" s="1480" t="s">
        <v>673</v>
      </c>
      <c r="B16" s="1481"/>
      <c r="C16" s="1554" t="s">
        <v>1568</v>
      </c>
      <c r="D16" s="1481"/>
      <c r="E16" s="1488"/>
      <c r="F16" s="1479">
        <v>1.0625</v>
      </c>
      <c r="G16" s="1479"/>
      <c r="H16" s="1479"/>
      <c r="I16" s="1479"/>
      <c r="J16" s="1479"/>
      <c r="K16" s="1479"/>
    </row>
    <row r="17" spans="1:11" ht="13.5">
      <c r="A17" s="1480" t="s">
        <v>1451</v>
      </c>
      <c r="B17" s="1481"/>
      <c r="C17" s="1554" t="s">
        <v>1572</v>
      </c>
      <c r="D17" s="1481"/>
      <c r="E17" s="1488">
        <f>1.5*25.4</f>
        <v>38.099999999999994</v>
      </c>
      <c r="F17" s="1488">
        <v>1.5</v>
      </c>
      <c r="G17" s="1479"/>
      <c r="H17" s="1479"/>
      <c r="I17" s="1479"/>
      <c r="J17" s="1479"/>
      <c r="K17" s="1479"/>
    </row>
    <row r="18" spans="1:11" ht="13.5">
      <c r="A18" s="1480" t="s">
        <v>674</v>
      </c>
      <c r="B18" s="1481"/>
      <c r="C18" s="1554" t="s">
        <v>1573</v>
      </c>
      <c r="D18" s="1481"/>
      <c r="E18" s="1488">
        <v>60.3</v>
      </c>
      <c r="F18" s="1531" t="s">
        <v>1590</v>
      </c>
      <c r="G18" s="1479"/>
      <c r="H18" s="1479"/>
      <c r="I18" s="1479"/>
      <c r="J18" s="1479"/>
      <c r="K18" s="1479"/>
    </row>
    <row r="19" spans="1:11" ht="13.5">
      <c r="A19" s="1480" t="s">
        <v>675</v>
      </c>
      <c r="B19" s="1481"/>
      <c r="C19" s="1554" t="s">
        <v>1570</v>
      </c>
      <c r="D19" s="45"/>
      <c r="E19" s="1488">
        <v>73</v>
      </c>
      <c r="F19" s="1531" t="s">
        <v>1591</v>
      </c>
      <c r="G19" s="1479"/>
      <c r="H19" s="1479"/>
      <c r="I19" s="1479"/>
      <c r="J19" s="1479"/>
      <c r="K19" s="1479"/>
    </row>
    <row r="20" spans="1:11">
      <c r="A20" s="1487"/>
      <c r="B20" s="1482"/>
      <c r="C20" s="1554" t="s">
        <v>1571</v>
      </c>
      <c r="D20" s="1482"/>
      <c r="E20" s="1488">
        <f>3*2.54</f>
        <v>7.62</v>
      </c>
      <c r="F20" s="1488">
        <v>3</v>
      </c>
      <c r="G20" s="1479"/>
      <c r="H20" s="1479"/>
      <c r="I20" s="1479"/>
      <c r="J20" s="1479"/>
      <c r="K20" s="1479"/>
    </row>
    <row r="21" spans="1:11" ht="14.15" thickBot="1">
      <c r="A21" s="1487"/>
      <c r="B21" s="1482"/>
      <c r="C21" s="1556" t="s">
        <v>1569</v>
      </c>
      <c r="D21" s="1486"/>
      <c r="E21" s="1488">
        <v>88.9</v>
      </c>
      <c r="F21" s="1531" t="s">
        <v>1592</v>
      </c>
      <c r="G21" s="1479"/>
      <c r="H21" s="1479"/>
      <c r="I21" s="1479"/>
      <c r="J21" s="1479"/>
      <c r="K21" s="1479"/>
    </row>
    <row r="22" spans="1:11">
      <c r="A22" s="1487"/>
      <c r="B22" s="1482"/>
      <c r="C22" s="1479"/>
      <c r="D22" s="1479"/>
      <c r="E22" s="1488"/>
      <c r="F22" s="1488"/>
      <c r="G22" s="1479"/>
      <c r="H22" s="1479"/>
      <c r="I22" s="1479"/>
      <c r="J22" s="1479"/>
      <c r="K22" s="1479"/>
    </row>
    <row r="23" spans="1:11">
      <c r="A23" s="1487"/>
      <c r="B23" s="1482"/>
      <c r="C23" s="1479"/>
      <c r="D23" s="1479"/>
      <c r="E23" s="1488"/>
      <c r="F23" s="1488"/>
      <c r="G23" s="1479"/>
      <c r="H23" s="1479"/>
      <c r="I23" s="1479"/>
      <c r="J23" s="1479"/>
      <c r="K23" s="1479"/>
    </row>
    <row r="24" spans="1:11" ht="13.5" thickBot="1">
      <c r="A24" s="1487"/>
      <c r="B24" s="1482"/>
      <c r="C24" s="1479"/>
      <c r="D24" s="1479"/>
      <c r="E24" s="1488"/>
      <c r="F24" s="1488"/>
      <c r="G24" s="1479"/>
      <c r="H24" s="1479"/>
      <c r="I24" s="1479"/>
      <c r="J24" s="1479"/>
      <c r="K24" s="1479"/>
    </row>
    <row r="25" spans="1:11">
      <c r="A25" s="1483" t="s">
        <v>682</v>
      </c>
      <c r="B25" s="1484"/>
      <c r="C25" s="1479"/>
      <c r="D25" s="1479"/>
      <c r="E25" s="1488"/>
      <c r="F25" s="1488"/>
      <c r="G25" s="1479"/>
      <c r="H25" s="1479"/>
      <c r="I25" s="1479"/>
      <c r="J25" s="1479"/>
      <c r="K25" s="1479"/>
    </row>
    <row r="26" spans="1:11">
      <c r="A26" s="1480" t="s">
        <v>683</v>
      </c>
      <c r="B26" s="1482"/>
      <c r="C26" s="1479"/>
      <c r="D26" s="1479"/>
      <c r="E26" s="1479"/>
      <c r="F26" s="1488"/>
      <c r="G26" s="1479"/>
      <c r="H26" s="1479"/>
      <c r="I26" s="1479"/>
      <c r="J26" s="1479"/>
      <c r="K26" s="1479"/>
    </row>
    <row r="27" spans="1:11">
      <c r="A27" s="1480" t="s">
        <v>204</v>
      </c>
      <c r="B27" s="1482"/>
      <c r="C27" s="1479"/>
      <c r="D27" s="1479"/>
      <c r="E27" s="1479"/>
      <c r="F27" s="1488"/>
      <c r="G27" s="1479"/>
      <c r="H27" s="1479"/>
      <c r="I27" s="1479"/>
      <c r="J27" s="1479"/>
      <c r="K27" s="1479"/>
    </row>
    <row r="28" spans="1:11">
      <c r="A28" s="1480" t="s">
        <v>684</v>
      </c>
      <c r="B28" s="1482"/>
      <c r="C28" s="1479"/>
      <c r="D28" s="1479"/>
      <c r="E28" s="1479"/>
      <c r="F28" s="1479"/>
      <c r="G28" s="1479"/>
      <c r="H28" s="1479"/>
      <c r="I28" s="1479"/>
      <c r="J28" s="1479"/>
      <c r="K28" s="1479"/>
    </row>
    <row r="29" spans="1:11">
      <c r="A29" s="1480" t="s">
        <v>685</v>
      </c>
      <c r="B29" s="1482"/>
      <c r="C29" s="1479"/>
      <c r="D29" s="1479"/>
      <c r="E29" s="1479"/>
      <c r="F29" s="1479"/>
      <c r="G29" s="1479"/>
      <c r="H29" s="1479"/>
      <c r="I29" s="1479"/>
      <c r="J29" s="1479"/>
      <c r="K29" s="1479"/>
    </row>
    <row r="30" spans="1:11">
      <c r="A30" s="1480" t="s">
        <v>686</v>
      </c>
      <c r="B30" s="1482"/>
      <c r="C30" s="1479"/>
      <c r="D30" s="1479"/>
      <c r="E30" s="1479"/>
      <c r="F30" s="1479"/>
      <c r="G30" s="1479"/>
      <c r="H30" s="1479"/>
      <c r="I30" s="1479"/>
      <c r="J30" s="1479"/>
      <c r="K30" s="1479"/>
    </row>
    <row r="31" spans="1:11">
      <c r="A31" s="1480" t="s">
        <v>687</v>
      </c>
      <c r="B31" s="1482"/>
      <c r="C31" s="1479"/>
      <c r="D31" s="1479"/>
      <c r="E31" s="1479"/>
      <c r="F31" s="1479"/>
      <c r="G31" s="1479"/>
      <c r="H31" s="1479"/>
      <c r="I31" s="1479"/>
      <c r="J31" s="1479"/>
      <c r="K31" s="1479"/>
    </row>
    <row r="32" spans="1:11">
      <c r="A32" s="1480" t="s">
        <v>690</v>
      </c>
      <c r="B32" s="1482"/>
      <c r="C32" s="1479"/>
      <c r="D32" s="1479"/>
      <c r="E32" s="1479"/>
      <c r="F32" s="1479"/>
      <c r="G32" s="1479"/>
      <c r="H32" s="1479"/>
      <c r="I32" s="1479"/>
      <c r="J32" s="1479"/>
      <c r="K32" s="1479"/>
    </row>
    <row r="33" spans="1:11">
      <c r="A33" s="1480" t="s">
        <v>1287</v>
      </c>
      <c r="B33" s="1482"/>
      <c r="C33" s="1479"/>
      <c r="D33" s="1479"/>
      <c r="E33" s="1479"/>
      <c r="F33" s="1479"/>
      <c r="G33" s="1479"/>
      <c r="H33" s="1479"/>
      <c r="I33" s="1479"/>
      <c r="J33" s="1479"/>
      <c r="K33" s="1479"/>
    </row>
    <row r="34" spans="1:11">
      <c r="A34" s="1480" t="s">
        <v>678</v>
      </c>
      <c r="B34" s="1482"/>
      <c r="C34" s="1479"/>
      <c r="D34" s="1479"/>
      <c r="E34" s="1479"/>
      <c r="F34" s="1479"/>
      <c r="G34" s="1479"/>
      <c r="H34" s="1479"/>
      <c r="I34" s="1479"/>
      <c r="J34" s="1479"/>
      <c r="K34" s="1479"/>
    </row>
    <row r="35" spans="1:11">
      <c r="A35" s="1480"/>
      <c r="B35" s="1482"/>
      <c r="C35" s="1479"/>
      <c r="D35" s="1479"/>
      <c r="E35" s="1479"/>
      <c r="F35" s="1479"/>
      <c r="G35" s="1479"/>
      <c r="H35" s="1479"/>
      <c r="I35" s="1479"/>
      <c r="J35" s="1479"/>
      <c r="K35" s="1479"/>
    </row>
    <row r="36" spans="1:11" ht="13.5" thickBot="1">
      <c r="A36" s="1485"/>
      <c r="B36" s="1486"/>
      <c r="C36" s="1479"/>
      <c r="D36" s="1479"/>
      <c r="E36" s="1479"/>
      <c r="F36" s="1479"/>
      <c r="G36" s="1479"/>
      <c r="H36" s="1479"/>
      <c r="I36" s="1479"/>
      <c r="J36" s="1479"/>
      <c r="K36" s="1479"/>
    </row>
    <row r="37" spans="1:11">
      <c r="A37" s="1483" t="s">
        <v>193</v>
      </c>
      <c r="B37" s="1484"/>
      <c r="C37" s="1479"/>
      <c r="D37" s="1479"/>
      <c r="E37" s="1479"/>
      <c r="F37" s="1479"/>
      <c r="G37" s="1479"/>
      <c r="H37" s="1479"/>
      <c r="I37" s="1479"/>
      <c r="J37" s="1479"/>
      <c r="K37" s="1479"/>
    </row>
    <row r="38" spans="1:11">
      <c r="A38" s="1480" t="s">
        <v>1204</v>
      </c>
      <c r="B38" s="1482"/>
      <c r="C38" s="1479"/>
      <c r="D38" s="1479"/>
      <c r="E38" s="1479"/>
      <c r="F38" s="1479"/>
      <c r="G38" s="1479"/>
      <c r="H38" s="1479"/>
      <c r="I38" s="1479"/>
      <c r="J38" s="1479"/>
      <c r="K38" s="1479"/>
    </row>
    <row r="39" spans="1:11">
      <c r="A39" s="1480" t="s">
        <v>1205</v>
      </c>
      <c r="B39" s="1482"/>
      <c r="C39" s="1479"/>
      <c r="D39" s="1479"/>
      <c r="E39" s="1479"/>
      <c r="F39" s="1479"/>
      <c r="G39" s="1479"/>
      <c r="H39" s="1479"/>
      <c r="I39" s="1479"/>
      <c r="J39" s="1479"/>
      <c r="K39" s="1479"/>
    </row>
    <row r="40" spans="1:11">
      <c r="A40" s="1480" t="s">
        <v>1379</v>
      </c>
      <c r="B40" s="1482"/>
      <c r="C40" s="1479"/>
      <c r="D40" s="1479"/>
      <c r="E40" s="1479"/>
      <c r="F40" s="1479"/>
      <c r="G40" s="1479"/>
      <c r="H40" s="1479"/>
      <c r="I40" s="1479"/>
      <c r="J40" s="1479"/>
      <c r="K40" s="1479"/>
    </row>
    <row r="41" spans="1:11">
      <c r="A41" s="1480"/>
      <c r="B41" s="1482"/>
      <c r="C41" s="1479"/>
      <c r="D41" s="1479"/>
      <c r="E41" s="1479"/>
      <c r="F41" s="1479"/>
      <c r="G41" s="1479"/>
      <c r="H41" s="1479"/>
      <c r="I41" s="1479"/>
      <c r="J41" s="1479"/>
      <c r="K41" s="1479"/>
    </row>
    <row r="42" spans="1:11">
      <c r="A42" s="1480"/>
      <c r="B42" s="1482"/>
      <c r="C42" s="1479"/>
      <c r="D42" s="1479"/>
      <c r="E42" s="1479"/>
      <c r="F42" s="1479"/>
      <c r="G42" s="1479"/>
      <c r="H42" s="1479"/>
      <c r="I42" s="1479"/>
      <c r="J42" s="1479"/>
      <c r="K42" s="1479"/>
    </row>
    <row r="43" spans="1:11" ht="13.5" thickBot="1">
      <c r="A43" s="1485"/>
      <c r="B43" s="1486"/>
      <c r="C43" s="1479"/>
      <c r="D43" s="1479"/>
      <c r="E43" s="1479"/>
      <c r="F43" s="1479"/>
      <c r="G43" s="1479"/>
      <c r="H43" s="1479"/>
      <c r="I43" s="1479"/>
      <c r="J43" s="1479"/>
      <c r="K43" s="1479"/>
    </row>
    <row r="44" spans="1:11">
      <c r="A44" s="1480" t="s">
        <v>677</v>
      </c>
      <c r="B44" s="1482"/>
      <c r="C44" s="1479"/>
      <c r="D44" s="1479"/>
      <c r="E44" s="1479"/>
      <c r="F44" s="1479"/>
      <c r="G44" s="1479"/>
      <c r="H44" s="1479"/>
      <c r="I44" s="1479"/>
      <c r="J44" s="1479"/>
      <c r="K44" s="1479"/>
    </row>
    <row r="45" spans="1:11">
      <c r="A45" s="1480" t="s">
        <v>1201</v>
      </c>
      <c r="B45" s="1482"/>
      <c r="C45" s="1479"/>
      <c r="D45" s="1479"/>
      <c r="E45" s="1479"/>
      <c r="F45" s="1479"/>
      <c r="G45" s="1479"/>
      <c r="H45" s="1479"/>
      <c r="I45" s="1479"/>
      <c r="J45" s="1479"/>
      <c r="K45" s="1479"/>
    </row>
    <row r="46" spans="1:11">
      <c r="A46" s="1480" t="s">
        <v>679</v>
      </c>
      <c r="B46" s="1482"/>
      <c r="C46" s="1479"/>
      <c r="D46" s="1479"/>
      <c r="E46" s="1479"/>
      <c r="F46" s="1479"/>
      <c r="G46" s="1479"/>
      <c r="H46" s="1479"/>
      <c r="I46" s="1479"/>
      <c r="J46" s="1479"/>
      <c r="K46" s="1479"/>
    </row>
    <row r="47" spans="1:11">
      <c r="A47" s="1480" t="s">
        <v>593</v>
      </c>
      <c r="B47" s="1482"/>
      <c r="C47" s="1479"/>
      <c r="D47" s="1479"/>
      <c r="E47" s="1479"/>
      <c r="F47" s="1479"/>
      <c r="G47" s="1479"/>
      <c r="H47" s="1479"/>
      <c r="I47" s="1479"/>
      <c r="J47" s="1479"/>
      <c r="K47" s="1479"/>
    </row>
    <row r="48" spans="1:11">
      <c r="A48" s="1480" t="s">
        <v>1260</v>
      </c>
      <c r="B48" s="1482"/>
      <c r="C48" s="1479"/>
      <c r="D48" s="1479"/>
      <c r="E48" s="1479"/>
      <c r="F48" s="1479"/>
      <c r="G48" s="1479"/>
      <c r="H48" s="1479"/>
      <c r="I48" s="1479"/>
      <c r="J48" s="1479"/>
      <c r="K48" s="1479"/>
    </row>
    <row r="49" spans="1:11">
      <c r="A49" s="1480"/>
      <c r="B49" s="1482"/>
      <c r="C49" s="1479"/>
      <c r="D49" s="1479"/>
      <c r="E49" s="1479"/>
      <c r="F49" s="1479"/>
      <c r="G49" s="1479"/>
      <c r="H49" s="1479"/>
      <c r="I49" s="1479"/>
      <c r="J49" s="1479"/>
      <c r="K49" s="1479"/>
    </row>
    <row r="50" spans="1:11" ht="13.5" thickBot="1">
      <c r="A50" s="1480"/>
      <c r="B50" s="1482"/>
      <c r="C50" s="1479"/>
      <c r="D50" s="1479"/>
      <c r="E50" s="1479"/>
      <c r="F50" s="1479"/>
      <c r="G50" s="1479"/>
      <c r="H50" s="1479"/>
      <c r="I50" s="1479"/>
      <c r="J50" s="1479"/>
      <c r="K50" s="1479"/>
    </row>
    <row r="51" spans="1:11">
      <c r="A51" s="1483" t="s">
        <v>1139</v>
      </c>
      <c r="B51" s="1484"/>
      <c r="C51" s="1479"/>
      <c r="D51" s="1479"/>
      <c r="E51" s="1479"/>
      <c r="F51" s="1479"/>
      <c r="G51" s="1479"/>
      <c r="H51" s="1479"/>
      <c r="I51" s="1479"/>
      <c r="J51" s="1479"/>
      <c r="K51" s="1479"/>
    </row>
    <row r="52" spans="1:11">
      <c r="A52" s="1480"/>
      <c r="B52" s="1482"/>
      <c r="C52" s="1479"/>
      <c r="D52" s="1479"/>
      <c r="E52" s="1479"/>
      <c r="F52" s="1479"/>
      <c r="G52" s="1479"/>
      <c r="H52" s="1479"/>
      <c r="I52" s="1479"/>
      <c r="J52" s="1479"/>
      <c r="K52" s="1479"/>
    </row>
    <row r="53" spans="1:11">
      <c r="A53" s="1480"/>
      <c r="B53" s="1482"/>
      <c r="C53" s="1479"/>
      <c r="D53" s="1479"/>
      <c r="E53" s="1479"/>
      <c r="F53" s="1479"/>
      <c r="G53" s="1479"/>
      <c r="H53" s="1479"/>
      <c r="I53" s="1479"/>
      <c r="J53" s="1479"/>
      <c r="K53" s="1479"/>
    </row>
    <row r="54" spans="1:11">
      <c r="A54" s="1480"/>
      <c r="B54" s="1482"/>
      <c r="C54" s="1479"/>
      <c r="D54" s="1479"/>
      <c r="E54" s="1479"/>
      <c r="F54" s="1479"/>
      <c r="G54" s="1479"/>
      <c r="H54" s="1479"/>
      <c r="I54" s="1479"/>
      <c r="J54" s="1479"/>
      <c r="K54" s="1479"/>
    </row>
    <row r="55" spans="1:11">
      <c r="A55" s="1480"/>
      <c r="B55" s="1482"/>
      <c r="C55" s="1479"/>
      <c r="D55" s="1479"/>
      <c r="E55" s="1479"/>
      <c r="F55" s="1479"/>
      <c r="G55" s="1479"/>
      <c r="H55" s="1479"/>
      <c r="I55" s="1479"/>
      <c r="J55" s="1479"/>
      <c r="K55" s="1479"/>
    </row>
    <row r="56" spans="1:11" ht="13.5" thickBot="1">
      <c r="A56" s="1485"/>
      <c r="B56" s="1486"/>
      <c r="C56" s="1479"/>
      <c r="D56" s="1479"/>
      <c r="E56" s="1479"/>
      <c r="F56" s="1479"/>
      <c r="G56" s="1479"/>
      <c r="H56" s="1479"/>
      <c r="I56" s="1479"/>
      <c r="J56" s="1479"/>
      <c r="K56" s="1479"/>
    </row>
    <row r="57" spans="1:11">
      <c r="A57" s="1476" t="s">
        <v>663</v>
      </c>
      <c r="B57" s="1484"/>
      <c r="C57" s="1996" t="s">
        <v>663</v>
      </c>
      <c r="D57" s="1997"/>
      <c r="E57" s="1998"/>
      <c r="F57" s="1479"/>
      <c r="G57" s="1479"/>
      <c r="H57" s="1479"/>
      <c r="I57" s="1479"/>
      <c r="J57" s="1479"/>
      <c r="K57" s="1479"/>
    </row>
    <row r="58" spans="1:11">
      <c r="A58" s="1487" t="s">
        <v>204</v>
      </c>
      <c r="B58" s="1482"/>
      <c r="C58" s="1989" t="s">
        <v>204</v>
      </c>
      <c r="D58" s="1990"/>
      <c r="E58" s="1991"/>
      <c r="F58" s="1479"/>
      <c r="G58" s="1479"/>
      <c r="H58" s="1479"/>
      <c r="I58" s="1479"/>
      <c r="J58" s="1479"/>
      <c r="K58" s="1479"/>
    </row>
    <row r="59" spans="1:11">
      <c r="A59" s="1487" t="s">
        <v>1533</v>
      </c>
      <c r="B59" s="1482"/>
      <c r="C59" s="1989" t="s">
        <v>664</v>
      </c>
      <c r="D59" s="1990"/>
      <c r="E59" s="1991"/>
      <c r="F59" s="1479"/>
      <c r="G59" s="1479"/>
      <c r="H59" s="1479"/>
      <c r="I59" s="1479"/>
      <c r="J59" s="1479"/>
      <c r="K59" s="1479"/>
    </row>
    <row r="60" spans="1:11">
      <c r="A60" s="1487" t="s">
        <v>1534</v>
      </c>
      <c r="B60" s="1482"/>
      <c r="C60" s="1989" t="s">
        <v>665</v>
      </c>
      <c r="D60" s="1990"/>
      <c r="E60" s="1991"/>
      <c r="F60" s="1479"/>
      <c r="G60" s="1479"/>
      <c r="H60" s="1479"/>
      <c r="I60" s="1479"/>
      <c r="J60" s="1479"/>
      <c r="K60" s="1479"/>
    </row>
    <row r="61" spans="1:11">
      <c r="A61" s="1487" t="s">
        <v>1535</v>
      </c>
      <c r="B61" s="1482"/>
      <c r="C61" s="1989" t="s">
        <v>918</v>
      </c>
      <c r="D61" s="1990"/>
      <c r="E61" s="1991"/>
      <c r="F61" s="1479"/>
      <c r="G61" s="1479"/>
      <c r="H61" s="1479"/>
      <c r="I61" s="1479"/>
      <c r="J61" s="1479"/>
      <c r="K61" s="1479"/>
    </row>
    <row r="62" spans="1:11">
      <c r="A62" s="1487" t="s">
        <v>1536</v>
      </c>
      <c r="B62" s="1482"/>
      <c r="C62" s="1488"/>
      <c r="D62" s="1488"/>
      <c r="E62" s="1488"/>
      <c r="F62" s="1479"/>
      <c r="G62" s="1479"/>
      <c r="H62" s="1479"/>
      <c r="I62" s="1479"/>
      <c r="J62" s="1479"/>
      <c r="K62" s="1479"/>
    </row>
    <row r="63" spans="1:11">
      <c r="A63" s="1487"/>
      <c r="B63" s="1482"/>
      <c r="C63" s="1488"/>
      <c r="D63" s="1488"/>
      <c r="E63" s="1488"/>
      <c r="F63" s="1479"/>
      <c r="G63" s="1479"/>
      <c r="H63" s="1479"/>
      <c r="I63" s="1479"/>
      <c r="J63" s="1479"/>
      <c r="K63" s="1479"/>
    </row>
    <row r="64" spans="1:11">
      <c r="A64" s="1487"/>
      <c r="B64" s="1482"/>
      <c r="C64" s="1479"/>
      <c r="D64" s="1479"/>
      <c r="E64" s="1479"/>
      <c r="F64" s="1479"/>
      <c r="G64" s="1479"/>
      <c r="H64" s="1479"/>
      <c r="I64" s="1479"/>
      <c r="J64" s="1479"/>
      <c r="K64" s="1479"/>
    </row>
    <row r="65" spans="1:11" ht="13.5" thickBot="1">
      <c r="A65" s="1489"/>
      <c r="B65" s="1486"/>
      <c r="C65" s="1479"/>
      <c r="D65" s="1479"/>
      <c r="E65" s="1479"/>
      <c r="F65" s="1479"/>
      <c r="G65" s="1479"/>
      <c r="H65" s="1479"/>
      <c r="I65" s="1479"/>
      <c r="J65" s="1479"/>
      <c r="K65" s="1479"/>
    </row>
    <row r="66" spans="1:11" ht="13.5" thickBot="1">
      <c r="A66" s="1490" t="s">
        <v>1532</v>
      </c>
      <c r="B66" s="1491"/>
      <c r="C66" s="1479"/>
      <c r="D66" s="1479"/>
      <c r="E66" s="1479"/>
      <c r="F66" s="1479"/>
      <c r="G66" s="1479"/>
      <c r="H66" s="1479"/>
      <c r="I66" s="1479"/>
      <c r="J66" s="1479"/>
      <c r="K66" s="1479"/>
    </row>
    <row r="67" spans="1:11">
      <c r="A67" s="1479"/>
      <c r="B67" s="1488"/>
      <c r="C67" s="1479"/>
      <c r="D67" s="1479"/>
      <c r="E67" s="1479"/>
      <c r="F67" s="1479"/>
      <c r="G67" s="1479"/>
      <c r="H67" s="1479"/>
      <c r="I67" s="1479"/>
      <c r="J67" s="1479"/>
      <c r="K67" s="1479"/>
    </row>
    <row r="68" spans="1:11">
      <c r="A68" s="1479"/>
      <c r="B68" s="1488"/>
      <c r="C68" s="1479"/>
      <c r="D68" s="1479"/>
      <c r="E68" s="1479"/>
      <c r="F68" s="1479"/>
      <c r="G68" s="1479"/>
      <c r="H68" s="1479"/>
      <c r="I68" s="1479"/>
      <c r="J68" s="1479"/>
      <c r="K68" s="1479"/>
    </row>
    <row r="69" spans="1:11">
      <c r="A69" s="1479"/>
      <c r="B69" s="1488"/>
      <c r="C69" s="1479"/>
      <c r="D69" s="1479"/>
      <c r="E69" s="1479"/>
      <c r="F69" s="1479"/>
      <c r="G69" s="1479"/>
      <c r="H69" s="1479"/>
      <c r="I69" s="1479"/>
      <c r="J69" s="1479"/>
      <c r="K69" s="1479"/>
    </row>
    <row r="70" spans="1:11">
      <c r="A70" s="1479"/>
      <c r="B70" s="1488"/>
      <c r="C70" s="1479"/>
      <c r="D70" s="1479"/>
      <c r="E70" s="1479"/>
      <c r="F70" s="1479"/>
      <c r="G70" s="1479"/>
      <c r="H70" s="1479"/>
      <c r="I70" s="1479"/>
      <c r="J70" s="1479"/>
      <c r="K70" s="1479"/>
    </row>
    <row r="71" spans="1:11">
      <c r="A71" s="1479"/>
      <c r="B71" s="1488"/>
      <c r="C71" s="1479"/>
      <c r="D71" s="1479"/>
      <c r="E71" s="1479"/>
      <c r="F71" s="1479"/>
      <c r="G71" s="1479"/>
      <c r="H71" s="1479"/>
      <c r="I71" s="1479"/>
      <c r="J71" s="1479"/>
      <c r="K71" s="1479"/>
    </row>
    <row r="72" spans="1:11">
      <c r="A72" s="1479"/>
      <c r="B72" s="1488"/>
      <c r="C72" s="1479"/>
      <c r="D72" s="1479"/>
      <c r="E72" s="1479"/>
      <c r="F72" s="1479"/>
      <c r="G72" s="1479"/>
      <c r="H72" s="1479"/>
      <c r="I72" s="1479"/>
      <c r="J72" s="1479"/>
      <c r="K72" s="1479"/>
    </row>
    <row r="73" spans="1:11">
      <c r="A73" s="1479"/>
      <c r="B73" s="1488"/>
      <c r="C73" s="1479"/>
      <c r="D73" s="1479"/>
      <c r="E73" s="1479"/>
      <c r="F73" s="1479"/>
      <c r="G73" s="1479"/>
      <c r="H73" s="1479"/>
      <c r="I73" s="1479"/>
      <c r="J73" s="1479"/>
      <c r="K73" s="1479"/>
    </row>
    <row r="74" spans="1:11">
      <c r="A74" s="1479"/>
      <c r="B74" s="1488"/>
      <c r="C74" s="1479"/>
      <c r="D74" s="1479"/>
      <c r="E74" s="1479"/>
      <c r="F74" s="1479"/>
      <c r="G74" s="1479"/>
      <c r="H74" s="1479"/>
      <c r="I74" s="1479"/>
      <c r="J74" s="1479"/>
      <c r="K74" s="1479"/>
    </row>
    <row r="75" spans="1:11">
      <c r="A75" s="1479"/>
      <c r="B75" s="1488"/>
      <c r="C75" s="1479"/>
      <c r="D75" s="1479"/>
      <c r="E75" s="1479"/>
      <c r="F75" s="1479"/>
      <c r="G75" s="1479"/>
      <c r="H75" s="1479"/>
      <c r="I75" s="1479"/>
      <c r="J75" s="1479"/>
      <c r="K75" s="1479"/>
    </row>
    <row r="76" spans="1:11">
      <c r="A76" s="1479"/>
      <c r="B76" s="1488"/>
      <c r="C76" s="1479"/>
      <c r="D76" s="1479"/>
      <c r="E76" s="1479"/>
      <c r="F76" s="1479"/>
      <c r="G76" s="1479"/>
      <c r="H76" s="1479"/>
      <c r="I76" s="1479"/>
      <c r="J76" s="1479"/>
      <c r="K76" s="1479"/>
    </row>
    <row r="77" spans="1:11">
      <c r="A77" s="1479"/>
      <c r="B77" s="1488"/>
      <c r="C77" s="1479"/>
      <c r="D77" s="1479"/>
      <c r="E77" s="1479"/>
      <c r="F77" s="1479"/>
      <c r="G77" s="1479"/>
      <c r="H77" s="1479"/>
      <c r="I77" s="1479"/>
      <c r="J77" s="1479"/>
      <c r="K77" s="1479"/>
    </row>
    <row r="78" spans="1:11">
      <c r="A78" s="1479"/>
      <c r="B78" s="1488"/>
      <c r="C78" s="1479"/>
      <c r="D78" s="1479"/>
      <c r="E78" s="1479"/>
      <c r="F78" s="1479"/>
      <c r="G78" s="1479"/>
      <c r="H78" s="1479"/>
      <c r="I78" s="1479"/>
      <c r="J78" s="1479"/>
      <c r="K78" s="1479"/>
    </row>
    <row r="79" spans="1:11">
      <c r="A79" s="1479"/>
      <c r="B79" s="1488"/>
      <c r="C79" s="1479"/>
      <c r="D79" s="1479"/>
      <c r="E79" s="1479"/>
      <c r="F79" s="1479"/>
      <c r="G79" s="1479"/>
      <c r="H79" s="1479"/>
      <c r="I79" s="1479"/>
      <c r="J79" s="1479"/>
      <c r="K79" s="1479"/>
    </row>
    <row r="80" spans="1:11">
      <c r="A80" s="1479"/>
      <c r="B80" s="1488"/>
      <c r="C80" s="1479"/>
      <c r="D80" s="1479"/>
      <c r="E80" s="1479"/>
      <c r="F80" s="1479"/>
      <c r="G80" s="1479"/>
      <c r="H80" s="1479"/>
      <c r="I80" s="1479"/>
      <c r="J80" s="1479"/>
      <c r="K80" s="1479"/>
    </row>
    <row r="81" spans="1:11">
      <c r="A81" s="1479"/>
      <c r="B81" s="1488"/>
      <c r="C81" s="1479"/>
      <c r="D81" s="1479"/>
      <c r="E81" s="1479"/>
      <c r="F81" s="1479"/>
      <c r="G81" s="1479"/>
      <c r="H81" s="1479"/>
      <c r="I81" s="1479"/>
      <c r="J81" s="1479"/>
      <c r="K81" s="1479"/>
    </row>
    <row r="82" spans="1:11">
      <c r="A82" s="1479"/>
      <c r="B82" s="1488"/>
      <c r="C82" s="1479"/>
      <c r="D82" s="1479"/>
      <c r="E82" s="1479"/>
      <c r="F82" s="1479"/>
      <c r="G82" s="1479"/>
      <c r="H82" s="1479"/>
      <c r="I82" s="1479"/>
      <c r="J82" s="1479"/>
      <c r="K82" s="1479"/>
    </row>
    <row r="83" spans="1:11">
      <c r="A83" s="1479"/>
      <c r="B83" s="1488"/>
      <c r="C83" s="1479"/>
      <c r="D83" s="1479"/>
      <c r="E83" s="1479"/>
      <c r="F83" s="1479"/>
      <c r="G83" s="1479"/>
      <c r="H83" s="1479"/>
      <c r="I83" s="1479"/>
      <c r="J83" s="1479"/>
      <c r="K83" s="1479"/>
    </row>
    <row r="84" spans="1:11">
      <c r="A84" s="1479"/>
      <c r="B84" s="1488"/>
      <c r="C84" s="1479"/>
      <c r="D84" s="1479"/>
      <c r="E84" s="1479"/>
      <c r="F84" s="1479"/>
      <c r="G84" s="1479"/>
      <c r="H84" s="1479"/>
      <c r="I84" s="1479"/>
      <c r="J84" s="1479"/>
      <c r="K84" s="1479"/>
    </row>
    <row r="85" spans="1:11">
      <c r="A85" s="1479"/>
      <c r="B85" s="1488"/>
      <c r="C85" s="1479"/>
      <c r="D85" s="1479"/>
      <c r="E85" s="1479"/>
      <c r="F85" s="1479"/>
      <c r="G85" s="1479"/>
      <c r="H85" s="1479"/>
      <c r="I85" s="1479"/>
      <c r="J85" s="1479"/>
      <c r="K85" s="1479"/>
    </row>
    <row r="86" spans="1:11">
      <c r="A86" s="1479"/>
      <c r="B86" s="1488"/>
      <c r="C86" s="1479"/>
      <c r="D86" s="1479"/>
      <c r="E86" s="1479"/>
      <c r="F86" s="1479"/>
      <c r="G86" s="1479"/>
      <c r="H86" s="1479"/>
      <c r="I86" s="1479"/>
      <c r="J86" s="1479"/>
      <c r="K86" s="1479"/>
    </row>
    <row r="87" spans="1:11">
      <c r="A87" s="1479"/>
      <c r="B87" s="1488"/>
      <c r="C87" s="1479"/>
      <c r="D87" s="1479"/>
      <c r="E87" s="1479"/>
      <c r="F87" s="1479"/>
      <c r="G87" s="1479"/>
      <c r="H87" s="1479"/>
      <c r="I87" s="1479"/>
      <c r="J87" s="1479"/>
      <c r="K87" s="1479"/>
    </row>
    <row r="88" spans="1:11">
      <c r="A88" s="1479"/>
      <c r="B88" s="1488"/>
      <c r="C88" s="1479"/>
      <c r="D88" s="1479"/>
      <c r="E88" s="1479"/>
      <c r="F88" s="1479"/>
      <c r="G88" s="1479"/>
      <c r="H88" s="1479"/>
      <c r="I88" s="1479"/>
      <c r="J88" s="1479"/>
      <c r="K88" s="1479"/>
    </row>
    <row r="89" spans="1:11">
      <c r="A89" s="1479"/>
      <c r="B89" s="1488"/>
      <c r="C89" s="1479"/>
      <c r="D89" s="1479"/>
      <c r="E89" s="1479"/>
      <c r="F89" s="1479"/>
      <c r="G89" s="1479"/>
      <c r="H89" s="1479"/>
      <c r="I89" s="1479"/>
      <c r="J89" s="1479"/>
      <c r="K89" s="1479"/>
    </row>
    <row r="90" spans="1:11">
      <c r="A90" s="1479"/>
      <c r="B90" s="1488"/>
      <c r="C90" s="1479"/>
      <c r="D90" s="1479"/>
      <c r="E90" s="1479"/>
      <c r="F90" s="1479"/>
      <c r="G90" s="1479"/>
      <c r="H90" s="1479"/>
      <c r="I90" s="1479"/>
      <c r="J90" s="1479"/>
      <c r="K90" s="1479"/>
    </row>
    <row r="91" spans="1:11">
      <c r="A91" s="1479"/>
      <c r="B91" s="1488"/>
      <c r="C91" s="1479"/>
      <c r="D91" s="1479"/>
      <c r="E91" s="1479"/>
      <c r="F91" s="1479"/>
      <c r="G91" s="1479"/>
      <c r="H91" s="1479"/>
      <c r="I91" s="1479"/>
      <c r="J91" s="1479"/>
      <c r="K91" s="1479"/>
    </row>
    <row r="92" spans="1:11">
      <c r="A92" s="1479"/>
      <c r="B92" s="1488"/>
      <c r="C92" s="1479"/>
      <c r="D92" s="1479"/>
      <c r="E92" s="1479"/>
      <c r="F92" s="1479"/>
      <c r="G92" s="1479"/>
      <c r="H92" s="1479"/>
      <c r="I92" s="1479"/>
      <c r="J92" s="1479"/>
      <c r="K92" s="1479"/>
    </row>
    <row r="93" spans="1:11">
      <c r="A93" s="1479"/>
      <c r="B93" s="1488"/>
      <c r="C93" s="1479"/>
      <c r="D93" s="1479"/>
      <c r="E93" s="1479"/>
      <c r="F93" s="1479"/>
      <c r="G93" s="1479"/>
      <c r="H93" s="1479"/>
      <c r="I93" s="1479"/>
      <c r="J93" s="1479"/>
      <c r="K93" s="1479"/>
    </row>
    <row r="94" spans="1:11">
      <c r="A94" s="1479"/>
      <c r="B94" s="1488"/>
      <c r="C94" s="1479"/>
      <c r="D94" s="1479"/>
      <c r="E94" s="1479"/>
      <c r="F94" s="1479"/>
      <c r="G94" s="1479"/>
      <c r="H94" s="1479"/>
      <c r="I94" s="1479"/>
      <c r="J94" s="1479"/>
      <c r="K94" s="1479"/>
    </row>
    <row r="95" spans="1:11">
      <c r="A95" s="1479"/>
      <c r="B95" s="1488"/>
      <c r="C95" s="1479"/>
      <c r="D95" s="1479"/>
      <c r="E95" s="1479"/>
      <c r="F95" s="1479"/>
      <c r="G95" s="1479"/>
      <c r="H95" s="1479"/>
      <c r="I95" s="1479"/>
      <c r="J95" s="1479"/>
      <c r="K95" s="1479"/>
    </row>
    <row r="96" spans="1:11">
      <c r="A96" s="1479"/>
      <c r="B96" s="1488"/>
      <c r="C96" s="1479"/>
      <c r="D96" s="1479"/>
      <c r="E96" s="1479"/>
      <c r="F96" s="1479"/>
      <c r="G96" s="1479"/>
      <c r="H96" s="1479"/>
      <c r="I96" s="1479"/>
      <c r="J96" s="1479"/>
      <c r="K96" s="1479"/>
    </row>
    <row r="97" spans="1:11">
      <c r="A97" s="1479"/>
      <c r="B97" s="1488"/>
      <c r="C97" s="1479"/>
      <c r="D97" s="1479"/>
      <c r="E97" s="1479"/>
      <c r="F97" s="1479"/>
      <c r="G97" s="1479"/>
      <c r="H97" s="1479"/>
      <c r="I97" s="1479"/>
      <c r="J97" s="1479"/>
      <c r="K97" s="1479"/>
    </row>
    <row r="98" spans="1:11">
      <c r="A98" s="1479"/>
      <c r="B98" s="1488"/>
      <c r="C98" s="1479"/>
      <c r="D98" s="1479"/>
      <c r="E98" s="1479"/>
      <c r="F98" s="1479"/>
      <c r="G98" s="1479"/>
      <c r="H98" s="1479"/>
      <c r="I98" s="1479"/>
      <c r="J98" s="1479"/>
      <c r="K98" s="1479"/>
    </row>
    <row r="99" spans="1:11">
      <c r="A99" s="1479"/>
      <c r="B99" s="1488"/>
      <c r="C99" s="1479"/>
      <c r="D99" s="1479"/>
      <c r="E99" s="1479"/>
      <c r="F99" s="1479"/>
      <c r="G99" s="1479"/>
      <c r="H99" s="1479"/>
      <c r="I99" s="1479"/>
      <c r="J99" s="1479"/>
      <c r="K99" s="1479"/>
    </row>
    <row r="100" spans="1:11">
      <c r="A100" s="1479"/>
      <c r="B100" s="1488"/>
      <c r="C100" s="1479"/>
      <c r="D100" s="1479"/>
      <c r="E100" s="1479"/>
      <c r="F100" s="1479"/>
      <c r="G100" s="1479"/>
      <c r="H100" s="1479"/>
      <c r="I100" s="1479"/>
      <c r="J100" s="1479"/>
      <c r="K100" s="1479"/>
    </row>
    <row r="101" spans="1:11">
      <c r="A101" s="1479"/>
      <c r="B101" s="1488"/>
      <c r="C101" s="1479"/>
      <c r="D101" s="1479"/>
      <c r="E101" s="1479"/>
      <c r="F101" s="1479"/>
      <c r="G101" s="1479"/>
      <c r="H101" s="1479"/>
      <c r="I101" s="1479"/>
      <c r="J101" s="1479"/>
      <c r="K101" s="1479"/>
    </row>
    <row r="102" spans="1:11">
      <c r="A102" s="1479"/>
      <c r="B102" s="1488"/>
      <c r="C102" s="1479"/>
      <c r="D102" s="1479"/>
      <c r="E102" s="1479"/>
      <c r="F102" s="1479"/>
      <c r="G102" s="1479"/>
      <c r="H102" s="1479"/>
      <c r="I102" s="1479"/>
      <c r="J102" s="1479"/>
      <c r="K102" s="1479"/>
    </row>
    <row r="103" spans="1:11">
      <c r="A103" s="1479"/>
      <c r="B103" s="1488"/>
      <c r="C103" s="1479"/>
      <c r="D103" s="1479"/>
      <c r="E103" s="1479"/>
      <c r="F103" s="1479"/>
      <c r="G103" s="1479"/>
      <c r="H103" s="1479"/>
      <c r="I103" s="1479"/>
      <c r="J103" s="1479"/>
      <c r="K103" s="1479"/>
    </row>
    <row r="104" spans="1:11">
      <c r="A104" s="1479"/>
      <c r="B104" s="1488"/>
      <c r="C104" s="1479"/>
      <c r="D104" s="1479"/>
      <c r="E104" s="1479"/>
      <c r="F104" s="1479"/>
      <c r="G104" s="1479"/>
      <c r="H104" s="1479"/>
      <c r="I104" s="1479"/>
      <c r="J104" s="1479"/>
      <c r="K104" s="1479"/>
    </row>
    <row r="105" spans="1:11">
      <c r="A105" s="1479"/>
      <c r="B105" s="1488"/>
      <c r="C105" s="1479"/>
      <c r="D105" s="1479"/>
      <c r="E105" s="1479"/>
      <c r="F105" s="1479"/>
      <c r="G105" s="1479"/>
      <c r="H105" s="1479"/>
      <c r="I105" s="1479"/>
      <c r="J105" s="1479"/>
      <c r="K105" s="1479"/>
    </row>
    <row r="106" spans="1:11">
      <c r="A106" s="1479"/>
      <c r="B106" s="1488"/>
      <c r="C106" s="1479"/>
      <c r="D106" s="1479"/>
      <c r="E106" s="1479"/>
      <c r="F106" s="1479"/>
      <c r="G106" s="1479"/>
      <c r="H106" s="1479"/>
      <c r="I106" s="1479"/>
      <c r="J106" s="1479"/>
      <c r="K106" s="1479"/>
    </row>
    <row r="107" spans="1:11">
      <c r="A107" s="1479"/>
      <c r="B107" s="1488"/>
      <c r="C107" s="1479"/>
      <c r="D107" s="1479"/>
      <c r="E107" s="1479"/>
      <c r="F107" s="1479"/>
      <c r="G107" s="1479"/>
      <c r="H107" s="1479"/>
      <c r="I107" s="1479"/>
      <c r="J107" s="1479"/>
      <c r="K107" s="1479"/>
    </row>
    <row r="108" spans="1:11">
      <c r="A108" s="1479"/>
      <c r="B108" s="1488"/>
      <c r="C108" s="1479"/>
      <c r="D108" s="1479"/>
      <c r="E108" s="1479"/>
      <c r="F108" s="1479"/>
      <c r="G108" s="1479"/>
      <c r="H108" s="1479"/>
      <c r="I108" s="1479"/>
      <c r="J108" s="1479"/>
      <c r="K108" s="1479"/>
    </row>
    <row r="109" spans="1:11">
      <c r="A109" s="1479"/>
      <c r="B109" s="1488"/>
      <c r="C109" s="1479"/>
      <c r="D109" s="1479"/>
      <c r="E109" s="1479"/>
      <c r="F109" s="1479"/>
      <c r="G109" s="1479"/>
      <c r="H109" s="1479"/>
      <c r="I109" s="1479"/>
      <c r="J109" s="1479"/>
      <c r="K109" s="1479"/>
    </row>
    <row r="110" spans="1:11">
      <c r="A110" s="1479"/>
      <c r="B110" s="1488"/>
      <c r="C110" s="1479"/>
      <c r="D110" s="1479"/>
      <c r="E110" s="1479"/>
      <c r="F110" s="1479"/>
      <c r="G110" s="1479"/>
      <c r="H110" s="1479"/>
      <c r="I110" s="1479"/>
      <c r="J110" s="1479"/>
      <c r="K110" s="1479"/>
    </row>
    <row r="111" spans="1:11">
      <c r="A111" s="1479"/>
      <c r="B111" s="1488"/>
      <c r="C111" s="1479"/>
      <c r="D111" s="1479"/>
      <c r="E111" s="1479"/>
      <c r="F111" s="1479"/>
      <c r="G111" s="1479"/>
      <c r="H111" s="1479"/>
      <c r="I111" s="1479"/>
      <c r="J111" s="1479"/>
      <c r="K111" s="1479"/>
    </row>
    <row r="112" spans="1:11">
      <c r="A112" s="1479"/>
      <c r="B112" s="1488"/>
      <c r="C112" s="1479"/>
      <c r="D112" s="1479"/>
      <c r="E112" s="1479"/>
      <c r="F112" s="1479"/>
      <c r="G112" s="1479"/>
      <c r="H112" s="1479"/>
      <c r="I112" s="1479"/>
      <c r="J112" s="1479"/>
      <c r="K112" s="1479"/>
    </row>
    <row r="113" spans="1:11">
      <c r="A113" s="1479"/>
      <c r="B113" s="1488"/>
      <c r="C113" s="1479"/>
      <c r="D113" s="1479"/>
      <c r="E113" s="1479"/>
      <c r="F113" s="1479"/>
      <c r="G113" s="1479"/>
      <c r="H113" s="1479"/>
      <c r="I113" s="1479"/>
      <c r="J113" s="1479"/>
      <c r="K113" s="1479"/>
    </row>
    <row r="114" spans="1:11">
      <c r="A114" s="1479"/>
      <c r="B114" s="1488"/>
      <c r="C114" s="1479"/>
      <c r="D114" s="1479"/>
      <c r="E114" s="1479"/>
      <c r="F114" s="1479"/>
      <c r="G114" s="1479"/>
      <c r="H114" s="1479"/>
      <c r="I114" s="1479"/>
      <c r="J114" s="1479"/>
      <c r="K114" s="1479"/>
    </row>
    <row r="115" spans="1:11">
      <c r="A115" s="1479"/>
      <c r="B115" s="1488"/>
      <c r="C115" s="1479"/>
      <c r="D115" s="1479"/>
      <c r="E115" s="1479"/>
      <c r="F115" s="1479"/>
      <c r="G115" s="1479"/>
      <c r="H115" s="1479"/>
      <c r="I115" s="1479"/>
      <c r="J115" s="1479"/>
      <c r="K115" s="1479"/>
    </row>
    <row r="116" spans="1:11">
      <c r="A116" s="1479"/>
      <c r="B116" s="1488"/>
      <c r="C116" s="1479"/>
      <c r="D116" s="1479"/>
      <c r="E116" s="1479"/>
      <c r="F116" s="1479"/>
      <c r="G116" s="1479"/>
      <c r="H116" s="1479"/>
      <c r="I116" s="1479"/>
      <c r="J116" s="1479"/>
      <c r="K116" s="1479"/>
    </row>
    <row r="117" spans="1:11">
      <c r="A117" s="1479"/>
      <c r="B117" s="1488"/>
      <c r="C117" s="1479"/>
      <c r="D117" s="1479"/>
      <c r="E117" s="1479"/>
      <c r="F117" s="1479"/>
      <c r="G117" s="1479"/>
      <c r="H117" s="1479"/>
      <c r="I117" s="1479"/>
      <c r="J117" s="1479"/>
      <c r="K117" s="1479"/>
    </row>
    <row r="118" spans="1:11">
      <c r="A118" s="1479"/>
      <c r="B118" s="1488"/>
      <c r="C118" s="1479"/>
      <c r="D118" s="1479"/>
      <c r="E118" s="1479"/>
      <c r="F118" s="1479"/>
      <c r="G118" s="1479"/>
      <c r="H118" s="1479"/>
      <c r="I118" s="1479"/>
      <c r="J118" s="1479"/>
      <c r="K118" s="1479"/>
    </row>
    <row r="119" spans="1:11">
      <c r="A119" s="1479"/>
      <c r="B119" s="1488"/>
      <c r="C119" s="1479"/>
      <c r="D119" s="1479"/>
      <c r="E119" s="1479"/>
      <c r="F119" s="1479"/>
      <c r="G119" s="1479"/>
      <c r="H119" s="1479"/>
      <c r="I119" s="1479"/>
      <c r="J119" s="1479"/>
      <c r="K119" s="1479"/>
    </row>
    <row r="120" spans="1:11">
      <c r="A120" s="1479"/>
      <c r="B120" s="1488"/>
      <c r="C120" s="1479"/>
      <c r="D120" s="1479"/>
      <c r="E120" s="1479"/>
      <c r="F120" s="1479"/>
      <c r="G120" s="1479"/>
      <c r="H120" s="1479"/>
      <c r="I120" s="1479"/>
      <c r="J120" s="1479"/>
      <c r="K120" s="1479"/>
    </row>
    <row r="121" spans="1:11">
      <c r="A121" s="1479"/>
      <c r="B121" s="1488"/>
      <c r="C121" s="1479"/>
      <c r="D121" s="1479"/>
      <c r="E121" s="1479"/>
      <c r="F121" s="1479"/>
      <c r="G121" s="1479"/>
      <c r="H121" s="1479"/>
      <c r="I121" s="1479"/>
      <c r="J121" s="1479"/>
      <c r="K121" s="1479"/>
    </row>
    <row r="122" spans="1:11">
      <c r="A122" s="1479"/>
      <c r="B122" s="1488"/>
      <c r="C122" s="1479"/>
      <c r="D122" s="1479"/>
      <c r="E122" s="1479"/>
      <c r="F122" s="1479"/>
      <c r="G122" s="1479"/>
      <c r="H122" s="1479"/>
      <c r="I122" s="1479"/>
      <c r="J122" s="1479"/>
      <c r="K122" s="1479"/>
    </row>
    <row r="123" spans="1:11">
      <c r="A123" s="1479"/>
      <c r="B123" s="1488"/>
      <c r="C123" s="1479"/>
      <c r="D123" s="1479"/>
      <c r="E123" s="1479"/>
      <c r="F123" s="1479"/>
      <c r="G123" s="1479"/>
      <c r="H123" s="1479"/>
      <c r="I123" s="1479"/>
      <c r="J123" s="1479"/>
      <c r="K123" s="1479"/>
    </row>
    <row r="124" spans="1:11">
      <c r="A124" s="1479"/>
      <c r="B124" s="1488"/>
      <c r="C124" s="1479"/>
      <c r="D124" s="1479"/>
      <c r="E124" s="1479"/>
      <c r="F124" s="1479"/>
      <c r="G124" s="1479"/>
      <c r="H124" s="1479"/>
      <c r="I124" s="1479"/>
      <c r="J124" s="1479"/>
      <c r="K124" s="1479"/>
    </row>
    <row r="125" spans="1:11">
      <c r="A125" s="1479"/>
      <c r="B125" s="1488"/>
      <c r="C125" s="1479"/>
      <c r="D125" s="1479"/>
      <c r="E125" s="1479"/>
      <c r="F125" s="1479"/>
      <c r="G125" s="1479"/>
      <c r="H125" s="1479"/>
      <c r="I125" s="1479"/>
      <c r="J125" s="1479"/>
      <c r="K125" s="1479"/>
    </row>
    <row r="126" spans="1:11">
      <c r="A126" s="1479"/>
      <c r="B126" s="1488"/>
      <c r="C126" s="1479"/>
      <c r="D126" s="1479"/>
      <c r="E126" s="1479"/>
      <c r="F126" s="1479"/>
      <c r="G126" s="1479"/>
      <c r="H126" s="1479"/>
      <c r="I126" s="1479"/>
      <c r="J126" s="1479"/>
      <c r="K126" s="1479"/>
    </row>
    <row r="127" spans="1:11">
      <c r="A127" s="1479"/>
      <c r="B127" s="1488"/>
      <c r="C127" s="1479"/>
      <c r="D127" s="1479"/>
      <c r="E127" s="1479"/>
      <c r="F127" s="1479"/>
      <c r="G127" s="1479"/>
      <c r="H127" s="1479"/>
      <c r="I127" s="1479"/>
      <c r="J127" s="1479"/>
      <c r="K127" s="1479"/>
    </row>
    <row r="128" spans="1:11">
      <c r="A128" s="1479"/>
      <c r="B128" s="1488"/>
      <c r="C128" s="1479"/>
      <c r="D128" s="1479"/>
      <c r="E128" s="1479"/>
      <c r="F128" s="1479"/>
      <c r="G128" s="1479"/>
      <c r="H128" s="1479"/>
      <c r="I128" s="1479"/>
      <c r="J128" s="1479"/>
      <c r="K128" s="1479"/>
    </row>
    <row r="129" spans="1:11">
      <c r="A129" s="1479"/>
      <c r="B129" s="1488"/>
      <c r="C129" s="1479"/>
      <c r="D129" s="1479"/>
      <c r="E129" s="1479"/>
      <c r="F129" s="1479"/>
      <c r="G129" s="1479"/>
      <c r="H129" s="1479"/>
      <c r="I129" s="1479"/>
      <c r="J129" s="1479"/>
      <c r="K129" s="1479"/>
    </row>
    <row r="130" spans="1:11">
      <c r="A130" s="1479"/>
      <c r="B130" s="1488"/>
      <c r="C130" s="1479"/>
      <c r="D130" s="1479"/>
      <c r="E130" s="1479"/>
      <c r="F130" s="1479"/>
      <c r="G130" s="1479"/>
      <c r="H130" s="1479"/>
      <c r="I130" s="1479"/>
      <c r="J130" s="1479"/>
      <c r="K130" s="1479"/>
    </row>
    <row r="131" spans="1:11">
      <c r="A131" s="1479"/>
      <c r="B131" s="1488"/>
      <c r="C131" s="1479"/>
      <c r="D131" s="1479"/>
      <c r="E131" s="1479"/>
      <c r="F131" s="1479"/>
      <c r="G131" s="1479"/>
      <c r="H131" s="1479"/>
      <c r="I131" s="1479"/>
      <c r="J131" s="1479"/>
      <c r="K131" s="1479"/>
    </row>
    <row r="132" spans="1:11">
      <c r="A132" s="1479"/>
      <c r="B132" s="1488"/>
      <c r="C132" s="1479"/>
      <c r="D132" s="1479"/>
      <c r="E132" s="1479"/>
      <c r="F132" s="1479"/>
      <c r="G132" s="1479"/>
      <c r="H132" s="1479"/>
      <c r="I132" s="1479"/>
      <c r="J132" s="1479"/>
      <c r="K132" s="1479"/>
    </row>
    <row r="133" spans="1:11">
      <c r="A133" s="1479"/>
      <c r="B133" s="1488"/>
      <c r="C133" s="1479"/>
      <c r="D133" s="1479"/>
      <c r="E133" s="1479"/>
      <c r="F133" s="1479"/>
      <c r="G133" s="1479"/>
      <c r="H133" s="1479"/>
      <c r="I133" s="1479"/>
      <c r="J133" s="1479"/>
      <c r="K133" s="1479"/>
    </row>
    <row r="134" spans="1:11">
      <c r="A134" s="1479"/>
      <c r="B134" s="1488"/>
      <c r="C134" s="1479"/>
      <c r="D134" s="1479"/>
      <c r="E134" s="1479"/>
      <c r="F134" s="1479"/>
      <c r="G134" s="1479"/>
      <c r="H134" s="1479"/>
      <c r="I134" s="1479"/>
      <c r="J134" s="1479"/>
      <c r="K134" s="1479"/>
    </row>
    <row r="135" spans="1:11">
      <c r="A135" s="1479"/>
      <c r="B135" s="1488"/>
      <c r="C135" s="1479"/>
      <c r="D135" s="1479"/>
      <c r="E135" s="1479"/>
      <c r="F135" s="1479"/>
      <c r="G135" s="1479"/>
      <c r="H135" s="1479"/>
      <c r="I135" s="1479"/>
      <c r="J135" s="1479"/>
      <c r="K135" s="1479"/>
    </row>
    <row r="136" spans="1:11">
      <c r="A136" s="1479"/>
      <c r="B136" s="1488"/>
      <c r="C136" s="1479"/>
      <c r="D136" s="1479"/>
      <c r="E136" s="1479"/>
      <c r="F136" s="1479"/>
      <c r="G136" s="1479"/>
      <c r="H136" s="1479"/>
      <c r="I136" s="1479"/>
      <c r="J136" s="1479"/>
      <c r="K136" s="1479"/>
    </row>
    <row r="137" spans="1:11">
      <c r="A137" s="1479"/>
      <c r="B137" s="1488"/>
      <c r="C137" s="1479"/>
      <c r="D137" s="1479"/>
      <c r="E137" s="1479"/>
      <c r="F137" s="1479"/>
      <c r="G137" s="1479"/>
      <c r="H137" s="1479"/>
      <c r="I137" s="1479"/>
      <c r="J137" s="1479"/>
      <c r="K137" s="1479"/>
    </row>
    <row r="138" spans="1:11">
      <c r="A138" s="1479"/>
      <c r="B138" s="1488"/>
      <c r="C138" s="1479"/>
      <c r="D138" s="1479"/>
      <c r="E138" s="1479"/>
      <c r="F138" s="1479"/>
      <c r="G138" s="1479"/>
      <c r="H138" s="1479"/>
      <c r="I138" s="1479"/>
      <c r="J138" s="1479"/>
      <c r="K138" s="1479"/>
    </row>
    <row r="139" spans="1:11">
      <c r="A139" s="1479"/>
      <c r="B139" s="1488"/>
      <c r="C139" s="1479"/>
      <c r="D139" s="1479"/>
      <c r="E139" s="1479"/>
      <c r="F139" s="1479"/>
      <c r="G139" s="1479"/>
      <c r="H139" s="1479"/>
      <c r="I139" s="1479"/>
      <c r="J139" s="1479"/>
      <c r="K139" s="1479"/>
    </row>
    <row r="140" spans="1:11">
      <c r="A140" s="1479"/>
      <c r="B140" s="1488"/>
      <c r="C140" s="1479"/>
      <c r="D140" s="1479"/>
      <c r="E140" s="1479"/>
      <c r="F140" s="1479"/>
      <c r="G140" s="1479"/>
      <c r="H140" s="1479"/>
      <c r="I140" s="1479"/>
      <c r="J140" s="1479"/>
      <c r="K140" s="1479"/>
    </row>
    <row r="141" spans="1:11">
      <c r="A141" s="1479"/>
      <c r="B141" s="1488"/>
      <c r="C141" s="1479"/>
      <c r="D141" s="1479"/>
      <c r="E141" s="1479"/>
      <c r="F141" s="1479"/>
      <c r="G141" s="1479"/>
      <c r="H141" s="1479"/>
      <c r="I141" s="1479"/>
      <c r="J141" s="1479"/>
      <c r="K141" s="1479"/>
    </row>
    <row r="142" spans="1:11">
      <c r="A142" s="1479"/>
      <c r="B142" s="1488"/>
      <c r="C142" s="1479"/>
      <c r="D142" s="1479"/>
      <c r="E142" s="1479"/>
      <c r="F142" s="1479"/>
      <c r="G142" s="1479"/>
      <c r="H142" s="1479"/>
      <c r="I142" s="1479"/>
      <c r="J142" s="1479"/>
      <c r="K142" s="1479"/>
    </row>
    <row r="143" spans="1:11">
      <c r="A143" s="1479"/>
      <c r="B143" s="1488"/>
      <c r="C143" s="1479"/>
      <c r="D143" s="1479"/>
      <c r="E143" s="1479"/>
      <c r="F143" s="1479"/>
      <c r="G143" s="1479"/>
      <c r="H143" s="1479"/>
      <c r="I143" s="1479"/>
      <c r="J143" s="1479"/>
      <c r="K143" s="1479"/>
    </row>
    <row r="144" spans="1:11">
      <c r="A144" s="1479"/>
      <c r="B144" s="1488"/>
      <c r="C144" s="1479"/>
      <c r="D144" s="1479"/>
      <c r="E144" s="1479"/>
      <c r="F144" s="1479"/>
      <c r="G144" s="1479"/>
      <c r="H144" s="1479"/>
      <c r="I144" s="1479"/>
      <c r="J144" s="1479"/>
      <c r="K144" s="1479"/>
    </row>
    <row r="145" spans="1:11">
      <c r="A145" s="1479"/>
      <c r="B145" s="1488"/>
      <c r="C145" s="1479"/>
      <c r="D145" s="1479"/>
      <c r="E145" s="1479"/>
      <c r="F145" s="1479"/>
      <c r="G145" s="1479"/>
      <c r="H145" s="1479"/>
      <c r="I145" s="1479"/>
      <c r="J145" s="1479"/>
      <c r="K145" s="1479"/>
    </row>
    <row r="146" spans="1:11">
      <c r="A146" s="1479"/>
      <c r="B146" s="1488"/>
      <c r="C146" s="1479"/>
      <c r="D146" s="1479"/>
      <c r="E146" s="1479"/>
      <c r="F146" s="1479"/>
      <c r="G146" s="1479"/>
      <c r="H146" s="1479"/>
      <c r="I146" s="1479"/>
      <c r="J146" s="1479"/>
      <c r="K146" s="1479"/>
    </row>
    <row r="147" spans="1:11">
      <c r="A147" s="1479"/>
      <c r="B147" s="1488"/>
      <c r="C147" s="1479"/>
      <c r="D147" s="1479"/>
      <c r="E147" s="1479"/>
      <c r="F147" s="1479"/>
      <c r="G147" s="1479"/>
      <c r="H147" s="1479"/>
      <c r="I147" s="1479"/>
      <c r="J147" s="1479"/>
      <c r="K147" s="1479"/>
    </row>
    <row r="148" spans="1:11">
      <c r="A148" s="1479"/>
      <c r="B148" s="1488"/>
      <c r="C148" s="1479"/>
      <c r="D148" s="1479"/>
      <c r="E148" s="1479"/>
      <c r="F148" s="1479"/>
      <c r="G148" s="1479"/>
      <c r="H148" s="1479"/>
      <c r="I148" s="1479"/>
      <c r="J148" s="1479"/>
      <c r="K148" s="1479"/>
    </row>
    <row r="149" spans="1:11">
      <c r="A149" s="1479"/>
      <c r="B149" s="1488"/>
      <c r="C149" s="1479"/>
      <c r="D149" s="1479"/>
      <c r="E149" s="1479"/>
      <c r="F149" s="1479"/>
      <c r="G149" s="1479"/>
      <c r="H149" s="1479"/>
      <c r="I149" s="1479"/>
      <c r="J149" s="1479"/>
      <c r="K149" s="1479"/>
    </row>
    <row r="150" spans="1:11">
      <c r="A150" s="1479"/>
      <c r="B150" s="1488"/>
      <c r="C150" s="1479"/>
      <c r="D150" s="1479"/>
      <c r="E150" s="1479"/>
      <c r="F150" s="1479"/>
      <c r="G150" s="1479"/>
      <c r="H150" s="1479"/>
      <c r="I150" s="1479"/>
      <c r="J150" s="1479"/>
      <c r="K150" s="1479"/>
    </row>
    <row r="151" spans="1:11">
      <c r="A151" s="1479"/>
      <c r="B151" s="1488"/>
      <c r="C151" s="1479"/>
      <c r="D151" s="1479"/>
      <c r="E151" s="1479"/>
      <c r="F151" s="1479"/>
      <c r="G151" s="1479"/>
      <c r="H151" s="1479"/>
      <c r="I151" s="1479"/>
      <c r="J151" s="1479"/>
      <c r="K151" s="1479"/>
    </row>
    <row r="152" spans="1:11">
      <c r="A152" s="1479"/>
      <c r="B152" s="1488"/>
      <c r="C152" s="1479"/>
      <c r="D152" s="1479"/>
      <c r="E152" s="1479"/>
      <c r="F152" s="1479"/>
      <c r="G152" s="1479"/>
      <c r="H152" s="1479"/>
      <c r="I152" s="1479"/>
      <c r="J152" s="1479"/>
      <c r="K152" s="1479"/>
    </row>
    <row r="153" spans="1:11">
      <c r="A153" s="1479"/>
      <c r="B153" s="1488"/>
      <c r="C153" s="1479"/>
      <c r="D153" s="1479"/>
      <c r="E153" s="1479"/>
      <c r="F153" s="1479"/>
      <c r="G153" s="1479"/>
      <c r="H153" s="1479"/>
      <c r="I153" s="1479"/>
      <c r="J153" s="1479"/>
      <c r="K153" s="1479"/>
    </row>
    <row r="154" spans="1:11">
      <c r="A154" s="1479"/>
      <c r="B154" s="1488"/>
      <c r="C154" s="1479"/>
      <c r="D154" s="1479"/>
      <c r="E154" s="1479"/>
      <c r="F154" s="1479"/>
      <c r="G154" s="1479"/>
      <c r="H154" s="1479"/>
      <c r="I154" s="1479"/>
      <c r="J154" s="1479"/>
      <c r="K154" s="1479"/>
    </row>
    <row r="155" spans="1:11">
      <c r="A155" s="1479"/>
      <c r="B155" s="1488"/>
      <c r="C155" s="1479"/>
      <c r="D155" s="1479"/>
      <c r="E155" s="1479"/>
      <c r="F155" s="1479"/>
      <c r="G155" s="1479"/>
      <c r="H155" s="1479"/>
      <c r="I155" s="1479"/>
      <c r="J155" s="1479"/>
      <c r="K155" s="1479"/>
    </row>
    <row r="156" spans="1:11">
      <c r="A156" s="1479"/>
      <c r="B156" s="1488"/>
      <c r="C156" s="1479"/>
      <c r="D156" s="1479"/>
      <c r="E156" s="1479"/>
      <c r="F156" s="1479"/>
      <c r="G156" s="1479"/>
      <c r="H156" s="1479"/>
      <c r="I156" s="1479"/>
      <c r="J156" s="1479"/>
      <c r="K156" s="1479"/>
    </row>
    <row r="157" spans="1:11">
      <c r="A157" s="1479"/>
      <c r="B157" s="1488"/>
      <c r="C157" s="1479"/>
      <c r="D157" s="1479"/>
      <c r="E157" s="1479"/>
      <c r="F157" s="1479"/>
      <c r="G157" s="1479"/>
      <c r="H157" s="1479"/>
      <c r="I157" s="1479"/>
      <c r="J157" s="1479"/>
      <c r="K157" s="1479"/>
    </row>
    <row r="158" spans="1:11">
      <c r="A158" s="1479"/>
      <c r="B158" s="1488"/>
      <c r="C158" s="1479"/>
      <c r="D158" s="1479"/>
      <c r="E158" s="1479"/>
      <c r="F158" s="1479"/>
      <c r="G158" s="1479"/>
      <c r="H158" s="1479"/>
      <c r="I158" s="1479"/>
      <c r="J158" s="1479"/>
      <c r="K158" s="1479"/>
    </row>
    <row r="159" spans="1:11">
      <c r="A159" s="1479"/>
      <c r="B159" s="1488"/>
      <c r="C159" s="1479"/>
      <c r="D159" s="1479"/>
      <c r="E159" s="1479"/>
      <c r="F159" s="1479"/>
      <c r="G159" s="1479"/>
      <c r="H159" s="1479"/>
      <c r="I159" s="1479"/>
      <c r="J159" s="1479"/>
      <c r="K159" s="1479"/>
    </row>
    <row r="160" spans="1:11">
      <c r="A160" s="1479"/>
      <c r="B160" s="1488"/>
      <c r="C160" s="1479"/>
      <c r="D160" s="1479"/>
      <c r="E160" s="1479"/>
      <c r="F160" s="1479"/>
      <c r="G160" s="1479"/>
      <c r="H160" s="1479"/>
      <c r="I160" s="1479"/>
      <c r="J160" s="1479"/>
      <c r="K160" s="1479"/>
    </row>
    <row r="161" spans="1:11">
      <c r="A161" s="1479"/>
      <c r="B161" s="1488"/>
      <c r="C161" s="1479"/>
      <c r="D161" s="1479"/>
      <c r="E161" s="1479"/>
      <c r="F161" s="1479"/>
      <c r="G161" s="1479"/>
      <c r="H161" s="1479"/>
      <c r="I161" s="1479"/>
      <c r="J161" s="1479"/>
      <c r="K161" s="1479"/>
    </row>
    <row r="162" spans="1:11">
      <c r="A162" s="1479"/>
      <c r="B162" s="1488"/>
      <c r="C162" s="1479"/>
      <c r="D162" s="1479"/>
      <c r="E162" s="1479"/>
      <c r="F162" s="1479"/>
      <c r="G162" s="1479"/>
      <c r="H162" s="1479"/>
      <c r="I162" s="1479"/>
      <c r="J162" s="1479"/>
      <c r="K162" s="1479"/>
    </row>
    <row r="163" spans="1:11">
      <c r="A163" s="1479"/>
      <c r="B163" s="1488"/>
      <c r="C163" s="1479"/>
      <c r="D163" s="1479"/>
      <c r="E163" s="1479"/>
      <c r="F163" s="1479"/>
      <c r="G163" s="1479"/>
      <c r="H163" s="1479"/>
      <c r="I163" s="1479"/>
      <c r="J163" s="1479"/>
      <c r="K163" s="1479"/>
    </row>
    <row r="164" spans="1:11">
      <c r="A164" s="1479"/>
      <c r="B164" s="1488"/>
      <c r="C164" s="1479"/>
      <c r="D164" s="1479"/>
      <c r="E164" s="1479"/>
      <c r="F164" s="1479"/>
      <c r="G164" s="1479"/>
      <c r="H164" s="1479"/>
      <c r="I164" s="1479"/>
      <c r="J164" s="1479"/>
      <c r="K164" s="1479"/>
    </row>
    <row r="165" spans="1:11">
      <c r="A165" s="1479"/>
      <c r="B165" s="1488"/>
      <c r="C165" s="1479"/>
      <c r="D165" s="1479"/>
      <c r="E165" s="1479"/>
      <c r="F165" s="1479"/>
      <c r="G165" s="1479"/>
      <c r="H165" s="1479"/>
      <c r="I165" s="1479"/>
      <c r="J165" s="1479"/>
      <c r="K165" s="1479"/>
    </row>
    <row r="166" spans="1:11">
      <c r="A166" s="1479"/>
      <c r="B166" s="1488"/>
      <c r="C166" s="1479"/>
      <c r="D166" s="1479"/>
      <c r="E166" s="1479"/>
      <c r="F166" s="1479"/>
      <c r="G166" s="1479"/>
      <c r="H166" s="1479"/>
      <c r="I166" s="1479"/>
      <c r="J166" s="1479"/>
      <c r="K166" s="1479"/>
    </row>
    <row r="167" spans="1:11">
      <c r="A167" s="1479"/>
      <c r="B167" s="1488"/>
      <c r="C167" s="1479"/>
      <c r="D167" s="1479"/>
      <c r="E167" s="1479"/>
      <c r="F167" s="1479"/>
      <c r="G167" s="1479"/>
      <c r="H167" s="1479"/>
      <c r="I167" s="1479"/>
      <c r="J167" s="1479"/>
      <c r="K167" s="1479"/>
    </row>
    <row r="168" spans="1:11">
      <c r="A168" s="1479"/>
      <c r="B168" s="1488"/>
      <c r="C168" s="1479"/>
      <c r="D168" s="1479"/>
      <c r="E168" s="1479"/>
      <c r="F168" s="1479"/>
      <c r="G168" s="1479"/>
      <c r="H168" s="1479"/>
      <c r="I168" s="1479"/>
      <c r="J168" s="1479"/>
      <c r="K168" s="1479"/>
    </row>
    <row r="169" spans="1:11">
      <c r="A169" s="1479"/>
      <c r="B169" s="1488"/>
      <c r="C169" s="1479"/>
      <c r="D169" s="1479"/>
      <c r="E169" s="1479"/>
      <c r="F169" s="1479"/>
      <c r="G169" s="1479"/>
      <c r="H169" s="1479"/>
      <c r="I169" s="1479"/>
      <c r="J169" s="1479"/>
      <c r="K169" s="1479"/>
    </row>
    <row r="170" spans="1:11">
      <c r="A170" s="1479"/>
      <c r="B170" s="1488"/>
      <c r="C170" s="1479"/>
      <c r="D170" s="1479"/>
      <c r="E170" s="1479"/>
      <c r="F170" s="1479"/>
      <c r="G170" s="1479"/>
      <c r="H170" s="1479"/>
      <c r="I170" s="1479"/>
      <c r="J170" s="1479"/>
      <c r="K170" s="1479"/>
    </row>
    <row r="171" spans="1:11">
      <c r="A171" s="1479"/>
      <c r="B171" s="1488"/>
      <c r="C171" s="1479"/>
      <c r="D171" s="1479"/>
      <c r="E171" s="1479"/>
      <c r="F171" s="1479"/>
      <c r="G171" s="1479"/>
      <c r="H171" s="1479"/>
      <c r="I171" s="1479"/>
      <c r="J171" s="1479"/>
      <c r="K171" s="1479"/>
    </row>
    <row r="172" spans="1:11">
      <c r="A172" s="1479"/>
      <c r="B172" s="1488"/>
      <c r="C172" s="1479"/>
      <c r="D172" s="1479"/>
      <c r="E172" s="1479"/>
      <c r="F172" s="1479"/>
      <c r="G172" s="1479"/>
      <c r="H172" s="1479"/>
      <c r="I172" s="1479"/>
      <c r="J172" s="1479"/>
      <c r="K172" s="1479"/>
    </row>
    <row r="173" spans="1:11">
      <c r="A173" s="1479"/>
      <c r="B173" s="1488"/>
      <c r="C173" s="1479"/>
      <c r="D173" s="1479"/>
      <c r="E173" s="1479"/>
      <c r="F173" s="1479"/>
      <c r="G173" s="1479"/>
      <c r="H173" s="1479"/>
      <c r="I173" s="1479"/>
      <c r="J173" s="1479"/>
      <c r="K173" s="1479"/>
    </row>
    <row r="174" spans="1:11">
      <c r="A174" s="1479"/>
      <c r="B174" s="1488"/>
      <c r="C174" s="1479"/>
      <c r="D174" s="1479"/>
      <c r="E174" s="1479"/>
      <c r="F174" s="1479"/>
      <c r="G174" s="1479"/>
      <c r="H174" s="1479"/>
      <c r="I174" s="1479"/>
      <c r="J174" s="1479"/>
      <c r="K174" s="1479"/>
    </row>
    <row r="175" spans="1:11">
      <c r="A175" s="1479"/>
      <c r="B175" s="1488"/>
      <c r="C175" s="1479"/>
      <c r="D175" s="1479"/>
      <c r="E175" s="1479"/>
      <c r="F175" s="1479"/>
      <c r="G175" s="1479"/>
      <c r="H175" s="1479"/>
      <c r="I175" s="1479"/>
      <c r="J175" s="1479"/>
      <c r="K175" s="1479"/>
    </row>
    <row r="176" spans="1:11">
      <c r="A176" s="1479"/>
      <c r="B176" s="1488"/>
      <c r="C176" s="1479"/>
      <c r="D176" s="1479"/>
      <c r="E176" s="1479"/>
      <c r="F176" s="1479"/>
      <c r="G176" s="1479"/>
      <c r="H176" s="1479"/>
      <c r="I176" s="1479"/>
      <c r="J176" s="1479"/>
      <c r="K176" s="1479"/>
    </row>
    <row r="177" spans="1:11">
      <c r="A177" s="1479"/>
      <c r="B177" s="1488"/>
      <c r="C177" s="1479"/>
      <c r="D177" s="1479"/>
      <c r="E177" s="1479"/>
      <c r="F177" s="1479"/>
      <c r="G177" s="1479"/>
      <c r="H177" s="1479"/>
      <c r="I177" s="1479"/>
      <c r="J177" s="1479"/>
      <c r="K177" s="1479"/>
    </row>
    <row r="178" spans="1:11">
      <c r="A178" s="1479"/>
      <c r="B178" s="1488"/>
      <c r="C178" s="1479"/>
      <c r="D178" s="1479"/>
      <c r="E178" s="1479"/>
      <c r="F178" s="1479"/>
      <c r="G178" s="1479"/>
      <c r="H178" s="1479"/>
      <c r="I178" s="1479"/>
      <c r="J178" s="1479"/>
      <c r="K178" s="1479"/>
    </row>
    <row r="179" spans="1:11">
      <c r="A179" s="1479"/>
      <c r="B179" s="1488"/>
      <c r="C179" s="1479"/>
      <c r="D179" s="1479"/>
      <c r="E179" s="1479"/>
      <c r="F179" s="1479"/>
      <c r="G179" s="1479"/>
      <c r="H179" s="1479"/>
      <c r="I179" s="1479"/>
      <c r="J179" s="1479"/>
      <c r="K179" s="1479"/>
    </row>
    <row r="180" spans="1:11">
      <c r="A180" s="1479"/>
      <c r="B180" s="1488"/>
      <c r="C180" s="1479"/>
      <c r="D180" s="1479"/>
      <c r="E180" s="1479"/>
      <c r="F180" s="1479"/>
      <c r="G180" s="1479"/>
      <c r="H180" s="1479"/>
      <c r="I180" s="1479"/>
      <c r="J180" s="1479"/>
      <c r="K180" s="1479"/>
    </row>
    <row r="181" spans="1:11">
      <c r="A181" s="1479"/>
      <c r="B181" s="1488"/>
      <c r="C181" s="1479"/>
      <c r="D181" s="1479"/>
      <c r="E181" s="1479"/>
      <c r="F181" s="1479"/>
      <c r="G181" s="1479"/>
      <c r="H181" s="1479"/>
      <c r="I181" s="1479"/>
      <c r="J181" s="1479"/>
      <c r="K181" s="1479"/>
    </row>
    <row r="182" spans="1:11">
      <c r="A182" s="1479"/>
      <c r="B182" s="1488"/>
      <c r="C182" s="1479"/>
      <c r="D182" s="1479"/>
      <c r="E182" s="1479"/>
      <c r="F182" s="1479"/>
      <c r="G182" s="1479"/>
      <c r="H182" s="1479"/>
      <c r="I182" s="1479"/>
      <c r="J182" s="1479"/>
      <c r="K182" s="1479"/>
    </row>
    <row r="183" spans="1:11">
      <c r="A183" s="1479"/>
      <c r="B183" s="1488"/>
      <c r="C183" s="1479"/>
      <c r="D183" s="1479"/>
      <c r="E183" s="1479"/>
      <c r="F183" s="1479"/>
      <c r="G183" s="1479"/>
      <c r="H183" s="1479"/>
      <c r="I183" s="1479"/>
      <c r="J183" s="1479"/>
      <c r="K183" s="1479"/>
    </row>
    <row r="184" spans="1:11">
      <c r="A184" s="1479"/>
      <c r="B184" s="1488"/>
      <c r="C184" s="1479"/>
      <c r="D184" s="1479"/>
      <c r="E184" s="1479"/>
      <c r="F184" s="1479"/>
      <c r="G184" s="1479"/>
      <c r="H184" s="1479"/>
      <c r="I184" s="1479"/>
      <c r="J184" s="1479"/>
      <c r="K184" s="1479"/>
    </row>
    <row r="185" spans="1:11">
      <c r="A185" s="1479"/>
      <c r="B185" s="1488"/>
      <c r="C185" s="1479"/>
      <c r="D185" s="1479"/>
      <c r="E185" s="1479"/>
      <c r="F185" s="1479"/>
      <c r="G185" s="1479"/>
      <c r="H185" s="1479"/>
      <c r="I185" s="1479"/>
      <c r="J185" s="1479"/>
      <c r="K185" s="1479"/>
    </row>
    <row r="186" spans="1:11">
      <c r="A186" s="1479"/>
      <c r="B186" s="1488"/>
      <c r="C186" s="1479"/>
      <c r="D186" s="1479"/>
      <c r="E186" s="1479"/>
      <c r="F186" s="1479"/>
      <c r="G186" s="1479"/>
      <c r="H186" s="1479"/>
      <c r="I186" s="1479"/>
      <c r="J186" s="1479"/>
      <c r="K186" s="1479"/>
    </row>
    <row r="187" spans="1:11">
      <c r="A187" s="1479"/>
      <c r="B187" s="1488"/>
      <c r="C187" s="1479"/>
      <c r="D187" s="1479"/>
      <c r="E187" s="1479"/>
      <c r="F187" s="1479"/>
      <c r="G187" s="1479"/>
      <c r="H187" s="1479"/>
      <c r="I187" s="1479"/>
      <c r="J187" s="1479"/>
      <c r="K187" s="1479"/>
    </row>
    <row r="188" spans="1:11">
      <c r="A188" s="1479"/>
      <c r="B188" s="1488"/>
      <c r="C188" s="1479"/>
      <c r="D188" s="1479"/>
      <c r="E188" s="1479"/>
      <c r="F188" s="1479"/>
      <c r="G188" s="1479"/>
      <c r="H188" s="1479"/>
      <c r="I188" s="1479"/>
      <c r="J188" s="1479"/>
      <c r="K188" s="1479"/>
    </row>
    <row r="189" spans="1:11">
      <c r="A189" s="1479"/>
      <c r="B189" s="1488"/>
      <c r="C189" s="1479"/>
      <c r="D189" s="1479"/>
      <c r="E189" s="1479"/>
      <c r="F189" s="1479"/>
      <c r="G189" s="1479"/>
      <c r="H189" s="1479"/>
      <c r="I189" s="1479"/>
      <c r="J189" s="1479"/>
      <c r="K189" s="1479"/>
    </row>
    <row r="190" spans="1:11">
      <c r="A190" s="1479"/>
      <c r="B190" s="1488"/>
      <c r="C190" s="1479"/>
      <c r="D190" s="1479"/>
      <c r="E190" s="1479"/>
      <c r="F190" s="1479"/>
      <c r="G190" s="1479"/>
      <c r="H190" s="1479"/>
      <c r="I190" s="1479"/>
      <c r="J190" s="1479"/>
      <c r="K190" s="1479"/>
    </row>
    <row r="191" spans="1:11">
      <c r="A191" s="1479"/>
      <c r="B191" s="1488"/>
      <c r="C191" s="1479"/>
      <c r="D191" s="1479"/>
      <c r="E191" s="1479"/>
      <c r="F191" s="1479"/>
      <c r="G191" s="1479"/>
      <c r="H191" s="1479"/>
      <c r="I191" s="1479"/>
      <c r="J191" s="1479"/>
      <c r="K191" s="1479"/>
    </row>
    <row r="192" spans="1:11">
      <c r="A192" s="1479"/>
      <c r="B192" s="1488"/>
      <c r="C192" s="1479"/>
      <c r="D192" s="1479"/>
      <c r="E192" s="1479"/>
      <c r="F192" s="1479"/>
      <c r="G192" s="1479"/>
      <c r="H192" s="1479"/>
      <c r="I192" s="1479"/>
      <c r="J192" s="1479"/>
      <c r="K192" s="1479"/>
    </row>
    <row r="193" spans="1:11">
      <c r="A193" s="1479"/>
      <c r="B193" s="1488"/>
      <c r="C193" s="1479"/>
      <c r="D193" s="1479"/>
      <c r="E193" s="1479"/>
      <c r="F193" s="1479"/>
      <c r="G193" s="1479"/>
      <c r="H193" s="1479"/>
      <c r="I193" s="1479"/>
      <c r="J193" s="1479"/>
      <c r="K193" s="1479"/>
    </row>
    <row r="194" spans="1:11">
      <c r="A194" s="1479"/>
      <c r="B194" s="1488"/>
      <c r="C194" s="1479"/>
      <c r="D194" s="1479"/>
      <c r="E194" s="1479"/>
      <c r="F194" s="1479"/>
      <c r="G194" s="1479"/>
      <c r="H194" s="1479"/>
      <c r="I194" s="1479"/>
      <c r="J194" s="1479"/>
      <c r="K194" s="1479"/>
    </row>
    <row r="195" spans="1:11">
      <c r="A195" s="1479"/>
      <c r="B195" s="1488"/>
      <c r="C195" s="1479"/>
      <c r="D195" s="1479"/>
      <c r="E195" s="1479"/>
      <c r="F195" s="1479"/>
      <c r="G195" s="1479"/>
      <c r="H195" s="1479"/>
      <c r="I195" s="1479"/>
      <c r="J195" s="1479"/>
      <c r="K195" s="1479"/>
    </row>
    <row r="196" spans="1:11">
      <c r="A196" s="1479"/>
      <c r="B196" s="1488"/>
      <c r="C196" s="1479"/>
      <c r="D196" s="1479"/>
      <c r="E196" s="1479"/>
      <c r="F196" s="1479"/>
      <c r="G196" s="1479"/>
      <c r="H196" s="1479"/>
      <c r="I196" s="1479"/>
      <c r="J196" s="1479"/>
      <c r="K196" s="1479"/>
    </row>
    <row r="197" spans="1:11">
      <c r="A197" s="1479"/>
      <c r="B197" s="1488"/>
      <c r="C197" s="1479"/>
      <c r="D197" s="1479"/>
      <c r="E197" s="1479"/>
      <c r="F197" s="1479"/>
      <c r="G197" s="1479"/>
      <c r="H197" s="1479"/>
      <c r="I197" s="1479"/>
      <c r="J197" s="1479"/>
      <c r="K197" s="1479"/>
    </row>
    <row r="198" spans="1:11">
      <c r="A198" s="1479"/>
      <c r="B198" s="1488"/>
      <c r="C198" s="1479"/>
      <c r="D198" s="1479"/>
      <c r="E198" s="1479"/>
      <c r="F198" s="1479"/>
      <c r="G198" s="1479"/>
      <c r="H198" s="1479"/>
      <c r="I198" s="1479"/>
      <c r="J198" s="1479"/>
      <c r="K198" s="1479"/>
    </row>
    <row r="199" spans="1:11">
      <c r="A199" s="1479"/>
      <c r="B199" s="1488"/>
      <c r="C199" s="1479"/>
      <c r="D199" s="1479"/>
      <c r="E199" s="1479"/>
      <c r="F199" s="1479"/>
      <c r="G199" s="1479"/>
      <c r="H199" s="1479"/>
      <c r="I199" s="1479"/>
      <c r="J199" s="1479"/>
      <c r="K199" s="1479"/>
    </row>
    <row r="200" spans="1:11">
      <c r="A200" s="1479"/>
      <c r="B200" s="1488"/>
      <c r="C200" s="1479"/>
      <c r="D200" s="1479"/>
      <c r="E200" s="1479"/>
      <c r="F200" s="1479"/>
      <c r="G200" s="1479"/>
      <c r="H200" s="1479"/>
      <c r="I200" s="1479"/>
      <c r="J200" s="1479"/>
      <c r="K200" s="1479"/>
    </row>
    <row r="201" spans="1:11">
      <c r="A201" s="1479"/>
      <c r="B201" s="1488"/>
      <c r="C201" s="1479"/>
      <c r="D201" s="1479"/>
      <c r="E201" s="1479"/>
      <c r="F201" s="1479"/>
      <c r="G201" s="1479"/>
      <c r="H201" s="1479"/>
      <c r="I201" s="1479"/>
      <c r="J201" s="1479"/>
      <c r="K201" s="1479"/>
    </row>
    <row r="202" spans="1:11">
      <c r="A202" s="1479"/>
      <c r="B202" s="1488"/>
      <c r="C202" s="1479"/>
      <c r="D202" s="1479"/>
      <c r="E202" s="1479"/>
      <c r="F202" s="1479"/>
      <c r="G202" s="1479"/>
      <c r="H202" s="1479"/>
      <c r="I202" s="1479"/>
      <c r="J202" s="1479"/>
      <c r="K202" s="1479"/>
    </row>
    <row r="203" spans="1:11">
      <c r="A203" s="1479"/>
      <c r="B203" s="1488"/>
      <c r="C203" s="1479"/>
      <c r="D203" s="1479"/>
      <c r="E203" s="1479"/>
      <c r="F203" s="1479"/>
      <c r="G203" s="1479"/>
      <c r="H203" s="1479"/>
      <c r="I203" s="1479"/>
      <c r="J203" s="1479"/>
      <c r="K203" s="1479"/>
    </row>
    <row r="204" spans="1:11">
      <c r="A204" s="1479"/>
      <c r="B204" s="1488"/>
      <c r="C204" s="1479"/>
      <c r="D204" s="1479"/>
      <c r="E204" s="1479"/>
      <c r="F204" s="1479"/>
      <c r="G204" s="1479"/>
      <c r="H204" s="1479"/>
      <c r="I204" s="1479"/>
      <c r="J204" s="1479"/>
      <c r="K204" s="1479"/>
    </row>
    <row r="205" spans="1:11">
      <c r="A205" s="1479"/>
      <c r="B205" s="1488"/>
      <c r="C205" s="1479"/>
      <c r="D205" s="1479"/>
      <c r="E205" s="1479"/>
      <c r="F205" s="1479"/>
      <c r="G205" s="1479"/>
      <c r="H205" s="1479"/>
      <c r="I205" s="1479"/>
      <c r="J205" s="1479"/>
      <c r="K205" s="1479"/>
    </row>
    <row r="206" spans="1:11">
      <c r="A206" s="1479"/>
      <c r="B206" s="1488"/>
      <c r="C206" s="1479"/>
      <c r="D206" s="1479"/>
      <c r="E206" s="1479"/>
      <c r="F206" s="1479"/>
      <c r="G206" s="1479"/>
      <c r="H206" s="1479"/>
      <c r="I206" s="1479"/>
      <c r="J206" s="1479"/>
      <c r="K206" s="1479"/>
    </row>
    <row r="207" spans="1:11">
      <c r="A207" s="1479"/>
      <c r="B207" s="1488"/>
      <c r="C207" s="1479"/>
      <c r="D207" s="1479"/>
      <c r="E207" s="1479"/>
      <c r="F207" s="1479"/>
      <c r="G207" s="1479"/>
      <c r="H207" s="1479"/>
      <c r="I207" s="1479"/>
      <c r="J207" s="1479"/>
      <c r="K207" s="1479"/>
    </row>
    <row r="208" spans="1:11">
      <c r="A208" s="1479"/>
      <c r="B208" s="1488"/>
      <c r="C208" s="1479"/>
      <c r="D208" s="1479"/>
      <c r="E208" s="1479"/>
      <c r="F208" s="1479"/>
      <c r="G208" s="1479"/>
      <c r="H208" s="1479"/>
      <c r="I208" s="1479"/>
      <c r="J208" s="1479"/>
      <c r="K208" s="1479"/>
    </row>
    <row r="209" spans="1:11">
      <c r="A209" s="1479"/>
      <c r="B209" s="1488"/>
      <c r="C209" s="1479"/>
      <c r="D209" s="1479"/>
      <c r="E209" s="1479"/>
      <c r="F209" s="1479"/>
      <c r="G209" s="1479"/>
      <c r="H209" s="1479"/>
      <c r="I209" s="1479"/>
      <c r="J209" s="1479"/>
      <c r="K209" s="1479"/>
    </row>
    <row r="210" spans="1:11">
      <c r="A210" s="1479"/>
      <c r="B210" s="1488"/>
      <c r="C210" s="1479"/>
      <c r="D210" s="1479"/>
      <c r="E210" s="1479"/>
      <c r="F210" s="1479"/>
      <c r="G210" s="1479"/>
      <c r="H210" s="1479"/>
      <c r="I210" s="1479"/>
      <c r="J210" s="1479"/>
      <c r="K210" s="1479"/>
    </row>
    <row r="211" spans="1:11">
      <c r="A211" s="1479"/>
      <c r="B211" s="1488"/>
      <c r="C211" s="1479"/>
      <c r="D211" s="1479"/>
      <c r="E211" s="1479"/>
      <c r="F211" s="1479"/>
      <c r="G211" s="1479"/>
      <c r="H211" s="1479"/>
      <c r="I211" s="1479"/>
      <c r="J211" s="1479"/>
      <c r="K211" s="1479"/>
    </row>
    <row r="212" spans="1:11">
      <c r="A212" s="1479"/>
      <c r="B212" s="1488"/>
      <c r="C212" s="1479"/>
      <c r="D212" s="1479"/>
      <c r="E212" s="1479"/>
      <c r="F212" s="1479"/>
      <c r="G212" s="1479"/>
      <c r="H212" s="1479"/>
      <c r="I212" s="1479"/>
      <c r="J212" s="1479"/>
      <c r="K212" s="1479"/>
    </row>
    <row r="213" spans="1:11">
      <c r="A213" s="1479"/>
      <c r="B213" s="1488"/>
      <c r="C213" s="1479"/>
      <c r="D213" s="1479"/>
      <c r="E213" s="1479"/>
      <c r="F213" s="1479"/>
      <c r="G213" s="1479"/>
      <c r="H213" s="1479"/>
      <c r="I213" s="1479"/>
      <c r="J213" s="1479"/>
      <c r="K213" s="1479"/>
    </row>
    <row r="214" spans="1:11">
      <c r="A214" s="1479"/>
      <c r="B214" s="1488"/>
      <c r="C214" s="1479"/>
      <c r="D214" s="1479"/>
      <c r="E214" s="1479"/>
      <c r="F214" s="1479"/>
      <c r="G214" s="1479"/>
      <c r="H214" s="1479"/>
      <c r="I214" s="1479"/>
      <c r="J214" s="1479"/>
      <c r="K214" s="1479"/>
    </row>
    <row r="215" spans="1:11">
      <c r="A215" s="1479"/>
      <c r="B215" s="1488"/>
      <c r="C215" s="1479"/>
      <c r="D215" s="1479"/>
      <c r="E215" s="1479"/>
      <c r="F215" s="1479"/>
      <c r="G215" s="1479"/>
      <c r="H215" s="1479"/>
      <c r="I215" s="1479"/>
      <c r="J215" s="1479"/>
      <c r="K215" s="1479"/>
    </row>
    <row r="216" spans="1:11">
      <c r="A216" s="1479"/>
      <c r="B216" s="1488"/>
      <c r="C216" s="1479"/>
      <c r="D216" s="1479"/>
      <c r="E216" s="1479"/>
      <c r="F216" s="1479"/>
      <c r="G216" s="1479"/>
      <c r="H216" s="1479"/>
      <c r="I216" s="1479"/>
      <c r="J216" s="1479"/>
      <c r="K216" s="1479"/>
    </row>
    <row r="217" spans="1:11">
      <c r="A217" s="1479"/>
      <c r="B217" s="1488"/>
      <c r="C217" s="1479"/>
      <c r="D217" s="1479"/>
      <c r="E217" s="1479"/>
      <c r="F217" s="1479"/>
      <c r="G217" s="1479"/>
      <c r="H217" s="1479"/>
      <c r="I217" s="1479"/>
      <c r="J217" s="1479"/>
      <c r="K217" s="1479"/>
    </row>
    <row r="218" spans="1:11">
      <c r="A218" s="1479"/>
      <c r="B218" s="1488"/>
      <c r="C218" s="1479"/>
      <c r="D218" s="1479"/>
      <c r="E218" s="1479"/>
      <c r="F218" s="1479"/>
      <c r="G218" s="1479"/>
      <c r="H218" s="1479"/>
      <c r="I218" s="1479"/>
      <c r="J218" s="1479"/>
      <c r="K218" s="1479"/>
    </row>
    <row r="219" spans="1:11">
      <c r="A219" s="1479"/>
      <c r="B219" s="1488"/>
      <c r="C219" s="1479"/>
      <c r="D219" s="1479"/>
      <c r="E219" s="1479"/>
      <c r="F219" s="1479"/>
      <c r="G219" s="1479"/>
      <c r="H219" s="1479"/>
      <c r="I219" s="1479"/>
      <c r="J219" s="1479"/>
      <c r="K219" s="1479"/>
    </row>
    <row r="220" spans="1:11">
      <c r="A220" s="1479"/>
      <c r="B220" s="1488"/>
      <c r="C220" s="1479"/>
      <c r="D220" s="1479"/>
      <c r="E220" s="1479"/>
      <c r="F220" s="1479"/>
      <c r="G220" s="1479"/>
      <c r="H220" s="1479"/>
      <c r="I220" s="1479"/>
      <c r="J220" s="1479"/>
      <c r="K220" s="1479"/>
    </row>
    <row r="221" spans="1:11">
      <c r="A221" s="1479"/>
      <c r="B221" s="1488"/>
      <c r="C221" s="1479"/>
      <c r="D221" s="1479"/>
      <c r="E221" s="1479"/>
      <c r="F221" s="1479"/>
      <c r="G221" s="1479"/>
      <c r="H221" s="1479"/>
      <c r="I221" s="1479"/>
      <c r="J221" s="1479"/>
      <c r="K221" s="1479"/>
    </row>
    <row r="222" spans="1:11">
      <c r="A222" s="1479"/>
      <c r="B222" s="1488"/>
      <c r="C222" s="1479"/>
      <c r="D222" s="1479"/>
      <c r="E222" s="1479"/>
      <c r="F222" s="1479"/>
      <c r="G222" s="1479"/>
      <c r="H222" s="1479"/>
      <c r="I222" s="1479"/>
      <c r="J222" s="1479"/>
      <c r="K222" s="1479"/>
    </row>
    <row r="223" spans="1:11">
      <c r="A223" s="1479"/>
      <c r="B223" s="1488"/>
      <c r="C223" s="1479"/>
      <c r="D223" s="1479"/>
      <c r="E223" s="1479"/>
      <c r="F223" s="1479"/>
      <c r="G223" s="1479"/>
      <c r="H223" s="1479"/>
      <c r="I223" s="1479"/>
      <c r="J223" s="1479"/>
      <c r="K223" s="1479"/>
    </row>
    <row r="224" spans="1:11">
      <c r="A224" s="1479"/>
      <c r="B224" s="1488"/>
      <c r="C224" s="1479"/>
      <c r="D224" s="1479"/>
      <c r="E224" s="1479"/>
      <c r="F224" s="1479"/>
      <c r="G224" s="1479"/>
      <c r="H224" s="1479"/>
      <c r="I224" s="1479"/>
      <c r="J224" s="1479"/>
      <c r="K224" s="1479"/>
    </row>
    <row r="225" spans="1:11">
      <c r="A225" s="1479"/>
      <c r="B225" s="1488"/>
      <c r="C225" s="1479"/>
      <c r="D225" s="1479"/>
      <c r="E225" s="1479"/>
      <c r="F225" s="1479"/>
      <c r="G225" s="1479"/>
      <c r="H225" s="1479"/>
      <c r="I225" s="1479"/>
      <c r="J225" s="1479"/>
      <c r="K225" s="1479"/>
    </row>
    <row r="226" spans="1:11">
      <c r="A226" s="1479"/>
      <c r="B226" s="1488"/>
      <c r="C226" s="1479"/>
      <c r="D226" s="1479"/>
      <c r="E226" s="1479"/>
      <c r="F226" s="1479"/>
      <c r="G226" s="1479"/>
      <c r="H226" s="1479"/>
      <c r="I226" s="1479"/>
      <c r="J226" s="1479"/>
      <c r="K226" s="1479"/>
    </row>
    <row r="227" spans="1:11">
      <c r="A227" s="1479"/>
      <c r="B227" s="1488"/>
      <c r="C227" s="1479"/>
      <c r="D227" s="1479"/>
      <c r="E227" s="1479"/>
      <c r="F227" s="1479"/>
      <c r="G227" s="1479"/>
      <c r="H227" s="1479"/>
      <c r="I227" s="1479"/>
      <c r="J227" s="1479"/>
      <c r="K227" s="1479"/>
    </row>
    <row r="228" spans="1:11">
      <c r="A228" s="1479"/>
      <c r="B228" s="1488"/>
      <c r="C228" s="1479"/>
      <c r="D228" s="1479"/>
      <c r="E228" s="1479"/>
      <c r="F228" s="1479"/>
      <c r="G228" s="1479"/>
      <c r="H228" s="1479"/>
      <c r="I228" s="1479"/>
      <c r="J228" s="1479"/>
      <c r="K228" s="1479"/>
    </row>
    <row r="229" spans="1:11">
      <c r="A229" s="1479"/>
      <c r="B229" s="1488"/>
      <c r="C229" s="1479"/>
      <c r="D229" s="1479"/>
      <c r="E229" s="1479"/>
      <c r="F229" s="1479"/>
      <c r="G229" s="1479"/>
      <c r="H229" s="1479"/>
      <c r="I229" s="1479"/>
      <c r="J229" s="1479"/>
      <c r="K229" s="1479"/>
    </row>
    <row r="230" spans="1:11">
      <c r="A230" s="1479"/>
      <c r="B230" s="1488"/>
      <c r="C230" s="1479"/>
      <c r="D230" s="1479"/>
      <c r="E230" s="1479"/>
      <c r="F230" s="1479"/>
      <c r="G230" s="1479"/>
      <c r="H230" s="1479"/>
      <c r="I230" s="1479"/>
      <c r="J230" s="1479"/>
      <c r="K230" s="1479"/>
    </row>
    <row r="231" spans="1:11">
      <c r="A231" s="1479"/>
      <c r="B231" s="1488"/>
      <c r="C231" s="1479"/>
      <c r="D231" s="1479"/>
      <c r="E231" s="1479"/>
      <c r="F231" s="1479"/>
      <c r="G231" s="1479"/>
      <c r="H231" s="1479"/>
      <c r="I231" s="1479"/>
      <c r="J231" s="1479"/>
      <c r="K231" s="1479"/>
    </row>
    <row r="232" spans="1:11">
      <c r="A232" s="1479"/>
      <c r="B232" s="1488"/>
      <c r="C232" s="1479"/>
      <c r="D232" s="1479"/>
      <c r="E232" s="1479"/>
      <c r="F232" s="1479"/>
      <c r="G232" s="1479"/>
      <c r="H232" s="1479"/>
      <c r="I232" s="1479"/>
      <c r="J232" s="1479"/>
      <c r="K232" s="1479"/>
    </row>
    <row r="233" spans="1:11">
      <c r="A233" s="1479"/>
      <c r="B233" s="1488"/>
      <c r="C233" s="1479"/>
      <c r="D233" s="1479"/>
      <c r="E233" s="1479"/>
      <c r="F233" s="1479"/>
      <c r="G233" s="1479"/>
      <c r="H233" s="1479"/>
      <c r="I233" s="1479"/>
      <c r="J233" s="1479"/>
      <c r="K233" s="1479"/>
    </row>
    <row r="234" spans="1:11">
      <c r="A234" s="1479"/>
      <c r="B234" s="1488"/>
      <c r="C234" s="1479"/>
      <c r="D234" s="1479"/>
      <c r="E234" s="1479"/>
      <c r="F234" s="1479"/>
      <c r="G234" s="1479"/>
      <c r="H234" s="1479"/>
      <c r="I234" s="1479"/>
      <c r="J234" s="1479"/>
      <c r="K234" s="1479"/>
    </row>
    <row r="235" spans="1:11">
      <c r="A235" s="1479"/>
      <c r="B235" s="1488"/>
      <c r="C235" s="1479"/>
      <c r="D235" s="1479"/>
      <c r="E235" s="1479"/>
      <c r="F235" s="1479"/>
      <c r="G235" s="1479"/>
      <c r="H235" s="1479"/>
      <c r="I235" s="1479"/>
      <c r="J235" s="1479"/>
      <c r="K235" s="1479"/>
    </row>
    <row r="236" spans="1:11">
      <c r="A236" s="1479"/>
      <c r="B236" s="1488"/>
      <c r="C236" s="1479"/>
      <c r="D236" s="1479"/>
      <c r="E236" s="1479"/>
      <c r="F236" s="1479"/>
      <c r="G236" s="1479"/>
      <c r="H236" s="1479"/>
      <c r="I236" s="1479"/>
      <c r="J236" s="1479"/>
      <c r="K236" s="1479"/>
    </row>
    <row r="237" spans="1:11">
      <c r="A237" s="1479"/>
      <c r="B237" s="1488"/>
      <c r="C237" s="1479"/>
      <c r="D237" s="1479"/>
      <c r="E237" s="1479"/>
      <c r="F237" s="1479"/>
      <c r="G237" s="1479"/>
      <c r="H237" s="1479"/>
      <c r="I237" s="1479"/>
      <c r="J237" s="1479"/>
      <c r="K237" s="1479"/>
    </row>
    <row r="238" spans="1:11">
      <c r="A238" s="1479"/>
      <c r="B238" s="1488"/>
      <c r="C238" s="1479"/>
      <c r="D238" s="1479"/>
      <c r="E238" s="1479"/>
      <c r="F238" s="1479"/>
      <c r="G238" s="1479"/>
      <c r="H238" s="1479"/>
      <c r="I238" s="1479"/>
      <c r="J238" s="1479"/>
      <c r="K238" s="1479"/>
    </row>
    <row r="239" spans="1:11">
      <c r="A239" s="1479"/>
      <c r="B239" s="1488"/>
      <c r="C239" s="1479"/>
      <c r="D239" s="1479"/>
      <c r="E239" s="1479"/>
      <c r="F239" s="1479"/>
      <c r="G239" s="1479"/>
      <c r="H239" s="1479"/>
      <c r="I239" s="1479"/>
      <c r="J239" s="1479"/>
      <c r="K239" s="1479"/>
    </row>
    <row r="240" spans="1:11">
      <c r="A240" s="1479"/>
      <c r="B240" s="1488"/>
      <c r="C240" s="1479"/>
      <c r="D240" s="1479"/>
      <c r="E240" s="1479"/>
      <c r="F240" s="1479"/>
      <c r="G240" s="1479"/>
      <c r="H240" s="1479"/>
      <c r="I240" s="1479"/>
      <c r="J240" s="1479"/>
      <c r="K240" s="1479"/>
    </row>
    <row r="241" spans="1:11">
      <c r="A241" s="1479"/>
      <c r="B241" s="1488"/>
      <c r="C241" s="1479"/>
      <c r="D241" s="1479"/>
      <c r="E241" s="1479"/>
      <c r="F241" s="1479"/>
      <c r="G241" s="1479"/>
      <c r="H241" s="1479"/>
      <c r="I241" s="1479"/>
      <c r="J241" s="1479"/>
      <c r="K241" s="1479"/>
    </row>
    <row r="242" spans="1:11">
      <c r="A242" s="1479"/>
      <c r="B242" s="1488"/>
      <c r="C242" s="1479"/>
      <c r="D242" s="1479"/>
      <c r="E242" s="1479"/>
      <c r="F242" s="1479"/>
      <c r="G242" s="1479"/>
      <c r="H242" s="1479"/>
      <c r="I242" s="1479"/>
      <c r="J242" s="1479"/>
      <c r="K242" s="1479"/>
    </row>
    <row r="243" spans="1:11">
      <c r="A243" s="1479"/>
      <c r="B243" s="1488"/>
      <c r="C243" s="1479"/>
      <c r="D243" s="1479"/>
      <c r="E243" s="1479"/>
      <c r="F243" s="1479"/>
      <c r="G243" s="1479"/>
      <c r="H243" s="1479"/>
      <c r="I243" s="1479"/>
      <c r="J243" s="1479"/>
      <c r="K243" s="1479"/>
    </row>
    <row r="244" spans="1:11">
      <c r="A244" s="1479"/>
      <c r="B244" s="1488"/>
      <c r="C244" s="1479"/>
      <c r="D244" s="1479"/>
      <c r="E244" s="1479"/>
      <c r="F244" s="1479"/>
      <c r="G244" s="1479"/>
      <c r="H244" s="1479"/>
      <c r="I244" s="1479"/>
      <c r="J244" s="1479"/>
      <c r="K244" s="1479"/>
    </row>
    <row r="245" spans="1:11">
      <c r="A245" s="1479"/>
      <c r="B245" s="1488"/>
      <c r="C245" s="1479"/>
      <c r="D245" s="1479"/>
      <c r="E245" s="1479"/>
      <c r="F245" s="1479"/>
      <c r="G245" s="1479"/>
      <c r="H245" s="1479"/>
      <c r="I245" s="1479"/>
      <c r="J245" s="1479"/>
      <c r="K245" s="1479"/>
    </row>
    <row r="246" spans="1:11">
      <c r="A246" s="1479"/>
      <c r="B246" s="1488"/>
      <c r="C246" s="1479"/>
      <c r="D246" s="1479"/>
      <c r="E246" s="1479"/>
      <c r="F246" s="1479"/>
      <c r="G246" s="1479"/>
      <c r="H246" s="1479"/>
      <c r="I246" s="1479"/>
      <c r="J246" s="1479"/>
      <c r="K246" s="1479"/>
    </row>
    <row r="247" spans="1:11">
      <c r="A247" s="1479"/>
      <c r="B247" s="1488"/>
      <c r="C247" s="1479"/>
      <c r="D247" s="1479"/>
      <c r="E247" s="1479"/>
      <c r="F247" s="1479"/>
      <c r="G247" s="1479"/>
      <c r="H247" s="1479"/>
      <c r="I247" s="1479"/>
      <c r="J247" s="1479"/>
      <c r="K247" s="1479"/>
    </row>
    <row r="248" spans="1:11">
      <c r="A248" s="1479"/>
      <c r="B248" s="1488"/>
      <c r="C248" s="1479"/>
      <c r="D248" s="1479"/>
      <c r="E248" s="1479"/>
      <c r="F248" s="1479"/>
      <c r="G248" s="1479"/>
      <c r="H248" s="1479"/>
      <c r="I248" s="1479"/>
      <c r="J248" s="1479"/>
      <c r="K248" s="1479"/>
    </row>
    <row r="249" spans="1:11">
      <c r="A249" s="1479"/>
      <c r="B249" s="1488"/>
      <c r="C249" s="1479"/>
      <c r="D249" s="1479"/>
      <c r="E249" s="1479"/>
      <c r="F249" s="1479"/>
      <c r="G249" s="1479"/>
      <c r="H249" s="1479"/>
      <c r="I249" s="1479"/>
      <c r="J249" s="1479"/>
      <c r="K249" s="1479"/>
    </row>
    <row r="250" spans="1:11">
      <c r="A250" s="1479"/>
      <c r="B250" s="1488"/>
      <c r="C250" s="1479"/>
      <c r="D250" s="1479"/>
      <c r="E250" s="1479"/>
      <c r="F250" s="1479"/>
      <c r="G250" s="1479"/>
      <c r="H250" s="1479"/>
      <c r="I250" s="1479"/>
      <c r="J250" s="1479"/>
      <c r="K250" s="1479"/>
    </row>
    <row r="251" spans="1:11">
      <c r="A251" s="1479"/>
      <c r="B251" s="1488"/>
      <c r="C251" s="1479"/>
      <c r="D251" s="1479"/>
      <c r="E251" s="1479"/>
      <c r="F251" s="1479"/>
      <c r="G251" s="1479"/>
      <c r="H251" s="1479"/>
      <c r="I251" s="1479"/>
      <c r="J251" s="1479"/>
      <c r="K251" s="1479"/>
    </row>
    <row r="252" spans="1:11">
      <c r="A252" s="1479"/>
      <c r="B252" s="1488"/>
      <c r="C252" s="1479"/>
      <c r="D252" s="1479"/>
      <c r="E252" s="1479"/>
      <c r="F252" s="1479"/>
      <c r="G252" s="1479"/>
      <c r="H252" s="1479"/>
      <c r="I252" s="1479"/>
      <c r="J252" s="1479"/>
      <c r="K252" s="1479"/>
    </row>
    <row r="253" spans="1:11">
      <c r="A253" s="1479"/>
      <c r="B253" s="1488"/>
      <c r="C253" s="1479"/>
      <c r="D253" s="1479"/>
      <c r="E253" s="1479"/>
      <c r="F253" s="1479"/>
      <c r="G253" s="1479"/>
      <c r="H253" s="1479"/>
      <c r="I253" s="1479"/>
      <c r="J253" s="1479"/>
      <c r="K253" s="1479"/>
    </row>
    <row r="254" spans="1:11">
      <c r="A254" s="1479"/>
      <c r="B254" s="1488"/>
      <c r="C254" s="1479"/>
      <c r="D254" s="1479"/>
      <c r="E254" s="1479"/>
      <c r="F254" s="1479"/>
      <c r="G254" s="1479"/>
      <c r="H254" s="1479"/>
      <c r="I254" s="1479"/>
      <c r="J254" s="1479"/>
      <c r="K254" s="1479"/>
    </row>
    <row r="255" spans="1:11">
      <c r="A255" s="1479"/>
      <c r="B255" s="1488"/>
      <c r="C255" s="1479"/>
      <c r="D255" s="1479"/>
      <c r="E255" s="1479"/>
      <c r="F255" s="1479"/>
      <c r="G255" s="1479"/>
      <c r="H255" s="1479"/>
      <c r="I255" s="1479"/>
      <c r="J255" s="1479"/>
      <c r="K255" s="1479"/>
    </row>
    <row r="256" spans="1:11">
      <c r="A256" s="1479"/>
      <c r="B256" s="1488"/>
      <c r="C256" s="1479"/>
      <c r="D256" s="1479"/>
      <c r="E256" s="1479"/>
      <c r="F256" s="1479"/>
      <c r="G256" s="1479"/>
      <c r="H256" s="1479"/>
      <c r="I256" s="1479"/>
      <c r="J256" s="1479"/>
      <c r="K256" s="1479"/>
    </row>
    <row r="257" spans="1:11">
      <c r="A257" s="1479"/>
      <c r="B257" s="1488"/>
      <c r="C257" s="1479"/>
      <c r="D257" s="1479"/>
      <c r="E257" s="1479"/>
      <c r="F257" s="1479"/>
      <c r="G257" s="1479"/>
      <c r="H257" s="1479"/>
      <c r="I257" s="1479"/>
      <c r="J257" s="1479"/>
      <c r="K257" s="1479"/>
    </row>
    <row r="258" spans="1:11">
      <c r="A258" s="1479"/>
      <c r="B258" s="1488"/>
      <c r="C258" s="1479"/>
      <c r="D258" s="1479"/>
      <c r="E258" s="1479"/>
      <c r="F258" s="1479"/>
      <c r="G258" s="1479"/>
      <c r="H258" s="1479"/>
      <c r="I258" s="1479"/>
      <c r="J258" s="1479"/>
      <c r="K258" s="1479"/>
    </row>
    <row r="259" spans="1:11">
      <c r="A259" s="1479"/>
      <c r="B259" s="1488"/>
      <c r="C259" s="1479"/>
      <c r="D259" s="1479"/>
      <c r="E259" s="1479"/>
      <c r="F259" s="1479"/>
      <c r="G259" s="1479"/>
      <c r="H259" s="1479"/>
      <c r="I259" s="1479"/>
      <c r="J259" s="1479"/>
      <c r="K259" s="1479"/>
    </row>
    <row r="260" spans="1:11">
      <c r="A260" s="1479"/>
      <c r="B260" s="1488"/>
      <c r="C260" s="1479"/>
      <c r="D260" s="1479"/>
      <c r="E260" s="1479"/>
      <c r="F260" s="1479"/>
      <c r="G260" s="1479"/>
      <c r="H260" s="1479"/>
      <c r="I260" s="1479"/>
      <c r="J260" s="1479"/>
      <c r="K260" s="1479"/>
    </row>
    <row r="261" spans="1:11">
      <c r="A261" s="1479"/>
      <c r="B261" s="1488"/>
      <c r="C261" s="1479"/>
      <c r="D261" s="1479"/>
      <c r="E261" s="1479"/>
      <c r="F261" s="1479"/>
      <c r="G261" s="1479"/>
      <c r="H261" s="1479"/>
      <c r="I261" s="1479"/>
      <c r="J261" s="1479"/>
      <c r="K261" s="1479"/>
    </row>
    <row r="262" spans="1:11">
      <c r="A262" s="1479"/>
      <c r="B262" s="1488"/>
      <c r="C262" s="1479"/>
      <c r="D262" s="1479"/>
      <c r="E262" s="1479"/>
      <c r="F262" s="1479"/>
      <c r="G262" s="1479"/>
      <c r="H262" s="1479"/>
      <c r="I262" s="1479"/>
      <c r="J262" s="1479"/>
      <c r="K262" s="1479"/>
    </row>
    <row r="263" spans="1:11">
      <c r="A263" s="1479"/>
      <c r="B263" s="1488"/>
      <c r="C263" s="1479"/>
      <c r="D263" s="1479"/>
      <c r="E263" s="1479"/>
      <c r="F263" s="1479"/>
      <c r="G263" s="1479"/>
      <c r="H263" s="1479"/>
      <c r="I263" s="1479"/>
      <c r="J263" s="1479"/>
      <c r="K263" s="1479"/>
    </row>
    <row r="264" spans="1:11">
      <c r="A264" s="1479"/>
      <c r="B264" s="1488"/>
      <c r="C264" s="1479"/>
      <c r="D264" s="1479"/>
      <c r="E264" s="1479"/>
      <c r="F264" s="1479"/>
      <c r="G264" s="1479"/>
      <c r="H264" s="1479"/>
      <c r="I264" s="1479"/>
      <c r="J264" s="1479"/>
      <c r="K264" s="1479"/>
    </row>
    <row r="265" spans="1:11">
      <c r="A265" s="1479"/>
      <c r="B265" s="1488"/>
      <c r="C265" s="1479"/>
      <c r="D265" s="1479"/>
      <c r="E265" s="1479"/>
      <c r="F265" s="1479"/>
      <c r="G265" s="1479"/>
      <c r="H265" s="1479"/>
      <c r="I265" s="1479"/>
      <c r="J265" s="1479"/>
      <c r="K265" s="1479"/>
    </row>
    <row r="266" spans="1:11">
      <c r="A266" s="1479"/>
      <c r="B266" s="1488"/>
      <c r="C266" s="1479"/>
      <c r="D266" s="1479"/>
      <c r="E266" s="1479"/>
      <c r="F266" s="1479"/>
      <c r="G266" s="1479"/>
      <c r="H266" s="1479"/>
      <c r="I266" s="1479"/>
      <c r="J266" s="1479"/>
      <c r="K266" s="1479"/>
    </row>
    <row r="267" spans="1:11">
      <c r="A267" s="1479"/>
      <c r="B267" s="1488"/>
      <c r="C267" s="1479"/>
      <c r="D267" s="1479"/>
      <c r="E267" s="1479"/>
      <c r="F267" s="1479"/>
      <c r="G267" s="1479"/>
      <c r="H267" s="1479"/>
      <c r="I267" s="1479"/>
      <c r="J267" s="1479"/>
      <c r="K267" s="1479"/>
    </row>
    <row r="268" spans="1:11">
      <c r="A268" s="1479"/>
      <c r="B268" s="1488"/>
      <c r="C268" s="1479"/>
      <c r="D268" s="1479"/>
      <c r="E268" s="1479"/>
      <c r="F268" s="1479"/>
      <c r="G268" s="1479"/>
      <c r="H268" s="1479"/>
      <c r="I268" s="1479"/>
      <c r="J268" s="1479"/>
      <c r="K268" s="1479"/>
    </row>
    <row r="269" spans="1:11">
      <c r="A269" s="1479"/>
      <c r="B269" s="1488"/>
      <c r="C269" s="1479"/>
      <c r="D269" s="1479"/>
      <c r="E269" s="1479"/>
      <c r="F269" s="1479"/>
      <c r="G269" s="1479"/>
      <c r="H269" s="1479"/>
      <c r="I269" s="1479"/>
      <c r="J269" s="1479"/>
      <c r="K269" s="1479"/>
    </row>
    <row r="270" spans="1:11">
      <c r="A270" s="1479"/>
      <c r="B270" s="1488"/>
      <c r="C270" s="1479"/>
      <c r="D270" s="1479"/>
      <c r="E270" s="1479"/>
      <c r="F270" s="1479"/>
      <c r="G270" s="1479"/>
      <c r="H270" s="1479"/>
      <c r="I270" s="1479"/>
      <c r="J270" s="1479"/>
      <c r="K270" s="1479"/>
    </row>
    <row r="271" spans="1:11">
      <c r="A271" s="1479"/>
      <c r="B271" s="1488"/>
      <c r="C271" s="1479"/>
      <c r="D271" s="1479"/>
      <c r="E271" s="1479"/>
      <c r="F271" s="1479"/>
      <c r="G271" s="1479"/>
      <c r="H271" s="1479"/>
      <c r="I271" s="1479"/>
      <c r="J271" s="1479"/>
      <c r="K271" s="1479"/>
    </row>
    <row r="272" spans="1:11">
      <c r="A272" s="1479"/>
      <c r="B272" s="1488"/>
      <c r="C272" s="1479"/>
      <c r="D272" s="1479"/>
      <c r="E272" s="1479"/>
      <c r="F272" s="1479"/>
      <c r="G272" s="1479"/>
      <c r="H272" s="1479"/>
      <c r="I272" s="1479"/>
      <c r="J272" s="1479"/>
      <c r="K272" s="1479"/>
    </row>
    <row r="273" spans="1:11">
      <c r="A273" s="1479"/>
      <c r="B273" s="1488"/>
      <c r="C273" s="1479"/>
      <c r="D273" s="1479"/>
      <c r="E273" s="1479"/>
      <c r="F273" s="1479"/>
      <c r="G273" s="1479"/>
      <c r="H273" s="1479"/>
      <c r="I273" s="1479"/>
      <c r="J273" s="1479"/>
      <c r="K273" s="1479"/>
    </row>
    <row r="274" spans="1:11">
      <c r="A274" s="1479"/>
      <c r="B274" s="1488"/>
      <c r="C274" s="1479"/>
      <c r="D274" s="1479"/>
      <c r="E274" s="1479"/>
      <c r="F274" s="1479"/>
      <c r="G274" s="1479"/>
      <c r="H274" s="1479"/>
      <c r="I274" s="1479"/>
      <c r="J274" s="1479"/>
      <c r="K274" s="1479"/>
    </row>
    <row r="275" spans="1:11">
      <c r="A275" s="1479"/>
      <c r="B275" s="1488"/>
      <c r="C275" s="1479"/>
      <c r="D275" s="1479"/>
      <c r="E275" s="1479"/>
      <c r="F275" s="1479"/>
      <c r="G275" s="1479"/>
      <c r="H275" s="1479"/>
      <c r="I275" s="1479"/>
      <c r="J275" s="1479"/>
      <c r="K275" s="1479"/>
    </row>
    <row r="276" spans="1:11">
      <c r="A276" s="1479"/>
      <c r="B276" s="1488"/>
      <c r="C276" s="1479"/>
      <c r="D276" s="1479"/>
      <c r="E276" s="1479"/>
      <c r="F276" s="1479"/>
      <c r="G276" s="1479"/>
      <c r="H276" s="1479"/>
      <c r="I276" s="1479"/>
      <c r="J276" s="1479"/>
      <c r="K276" s="1479"/>
    </row>
    <row r="277" spans="1:11">
      <c r="A277" s="1479"/>
      <c r="B277" s="1488"/>
      <c r="C277" s="1479"/>
      <c r="D277" s="1479"/>
      <c r="E277" s="1479"/>
      <c r="F277" s="1479"/>
      <c r="G277" s="1479"/>
      <c r="H277" s="1479"/>
      <c r="I277" s="1479"/>
      <c r="J277" s="1479"/>
      <c r="K277" s="1479"/>
    </row>
    <row r="278" spans="1:11">
      <c r="A278" s="1479"/>
      <c r="B278" s="1488"/>
      <c r="C278" s="1479"/>
      <c r="D278" s="1479"/>
      <c r="E278" s="1479"/>
      <c r="F278" s="1479"/>
      <c r="G278" s="1479"/>
      <c r="H278" s="1479"/>
      <c r="I278" s="1479"/>
      <c r="J278" s="1479"/>
      <c r="K278" s="1479"/>
    </row>
    <row r="279" spans="1:11">
      <c r="A279" s="1479"/>
      <c r="B279" s="1488"/>
      <c r="C279" s="1479"/>
      <c r="D279" s="1479"/>
      <c r="E279" s="1479"/>
      <c r="F279" s="1479"/>
      <c r="G279" s="1479"/>
      <c r="H279" s="1479"/>
      <c r="I279" s="1479"/>
      <c r="J279" s="1479"/>
      <c r="K279" s="1479"/>
    </row>
    <row r="280" spans="1:11">
      <c r="A280" s="1479"/>
      <c r="B280" s="1488"/>
      <c r="C280" s="1479"/>
      <c r="D280" s="1479"/>
      <c r="E280" s="1479"/>
      <c r="F280" s="1479"/>
      <c r="G280" s="1479"/>
      <c r="H280" s="1479"/>
      <c r="I280" s="1479"/>
      <c r="J280" s="1479"/>
      <c r="K280" s="1479"/>
    </row>
    <row r="281" spans="1:11">
      <c r="A281" s="1479"/>
      <c r="B281" s="1488"/>
      <c r="C281" s="1479"/>
      <c r="D281" s="1479"/>
      <c r="E281" s="1479"/>
      <c r="F281" s="1479"/>
      <c r="G281" s="1479"/>
      <c r="H281" s="1479"/>
      <c r="I281" s="1479"/>
      <c r="J281" s="1479"/>
      <c r="K281" s="1479"/>
    </row>
    <row r="282" spans="1:11">
      <c r="A282" s="1479"/>
      <c r="B282" s="1488"/>
      <c r="C282" s="1479"/>
      <c r="D282" s="1479"/>
      <c r="E282" s="1479"/>
      <c r="F282" s="1479"/>
      <c r="G282" s="1479"/>
      <c r="H282" s="1479"/>
      <c r="I282" s="1479"/>
      <c r="J282" s="1479"/>
      <c r="K282" s="1479"/>
    </row>
    <row r="283" spans="1:11">
      <c r="A283" s="1479"/>
      <c r="B283" s="1488"/>
      <c r="C283" s="1479"/>
      <c r="D283" s="1479"/>
      <c r="E283" s="1479"/>
      <c r="F283" s="1479"/>
      <c r="G283" s="1479"/>
      <c r="H283" s="1479"/>
      <c r="I283" s="1479"/>
      <c r="J283" s="1479"/>
      <c r="K283" s="1479"/>
    </row>
    <row r="284" spans="1:11">
      <c r="A284" s="1479"/>
      <c r="B284" s="1488"/>
      <c r="C284" s="1479"/>
      <c r="D284" s="1479"/>
      <c r="E284" s="1479"/>
      <c r="F284" s="1479"/>
      <c r="G284" s="1479"/>
      <c r="H284" s="1479"/>
      <c r="I284" s="1479"/>
      <c r="J284" s="1479"/>
      <c r="K284" s="1479"/>
    </row>
    <row r="285" spans="1:11">
      <c r="A285" s="1479"/>
      <c r="B285" s="1488"/>
      <c r="C285" s="1479"/>
      <c r="D285" s="1479"/>
      <c r="E285" s="1479"/>
      <c r="F285" s="1479"/>
      <c r="G285" s="1479"/>
      <c r="H285" s="1479"/>
      <c r="I285" s="1479"/>
      <c r="J285" s="1479"/>
      <c r="K285" s="1479"/>
    </row>
    <row r="286" spans="1:11">
      <c r="A286" s="1479"/>
      <c r="B286" s="1488"/>
      <c r="C286" s="1479"/>
      <c r="D286" s="1479"/>
      <c r="E286" s="1479"/>
      <c r="F286" s="1479"/>
      <c r="G286" s="1479"/>
      <c r="H286" s="1479"/>
      <c r="I286" s="1479"/>
      <c r="J286" s="1479"/>
      <c r="K286" s="1479"/>
    </row>
    <row r="287" spans="1:11">
      <c r="A287" s="1479"/>
      <c r="B287" s="1488"/>
      <c r="C287" s="1479"/>
      <c r="D287" s="1479"/>
      <c r="E287" s="1479"/>
      <c r="F287" s="1479"/>
      <c r="G287" s="1479"/>
      <c r="H287" s="1479"/>
      <c r="I287" s="1479"/>
      <c r="J287" s="1479"/>
      <c r="K287" s="1479"/>
    </row>
    <row r="288" spans="1:11">
      <c r="A288" s="1479"/>
      <c r="B288" s="1488"/>
      <c r="C288" s="1479"/>
      <c r="D288" s="1479"/>
      <c r="E288" s="1479"/>
      <c r="F288" s="1479"/>
      <c r="G288" s="1479"/>
      <c r="H288" s="1479"/>
      <c r="I288" s="1479"/>
      <c r="J288" s="1479"/>
      <c r="K288" s="1479"/>
    </row>
    <row r="289" spans="1:11">
      <c r="A289" s="1479"/>
      <c r="B289" s="1488"/>
      <c r="C289" s="1479"/>
      <c r="D289" s="1479"/>
      <c r="E289" s="1479"/>
      <c r="F289" s="1479"/>
      <c r="G289" s="1479"/>
      <c r="H289" s="1479"/>
      <c r="I289" s="1479"/>
      <c r="J289" s="1479"/>
      <c r="K289" s="1479"/>
    </row>
    <row r="290" spans="1:11">
      <c r="A290" s="1479"/>
      <c r="B290" s="1488"/>
      <c r="C290" s="1479"/>
      <c r="D290" s="1479"/>
      <c r="E290" s="1479"/>
      <c r="F290" s="1479"/>
      <c r="G290" s="1479"/>
      <c r="H290" s="1479"/>
      <c r="I290" s="1479"/>
      <c r="J290" s="1479"/>
      <c r="K290" s="1479"/>
    </row>
    <row r="291" spans="1:11">
      <c r="A291" s="1479"/>
      <c r="B291" s="1488"/>
      <c r="C291" s="1479"/>
      <c r="D291" s="1479"/>
      <c r="E291" s="1479"/>
      <c r="F291" s="1479"/>
      <c r="G291" s="1479"/>
      <c r="H291" s="1479"/>
      <c r="I291" s="1479"/>
      <c r="J291" s="1479"/>
      <c r="K291" s="1479"/>
    </row>
    <row r="292" spans="1:11">
      <c r="A292" s="1479"/>
      <c r="B292" s="1488"/>
      <c r="C292" s="1479"/>
      <c r="D292" s="1479"/>
      <c r="E292" s="1479"/>
      <c r="F292" s="1479"/>
      <c r="G292" s="1479"/>
      <c r="H292" s="1479"/>
      <c r="I292" s="1479"/>
      <c r="J292" s="1479"/>
      <c r="K292" s="1479"/>
    </row>
    <row r="293" spans="1:11">
      <c r="A293" s="1479"/>
      <c r="B293" s="1488"/>
      <c r="C293" s="1479"/>
      <c r="D293" s="1479"/>
      <c r="E293" s="1479"/>
      <c r="F293" s="1479"/>
      <c r="G293" s="1479"/>
      <c r="H293" s="1479"/>
      <c r="I293" s="1479"/>
      <c r="J293" s="1479"/>
      <c r="K293" s="1479"/>
    </row>
    <row r="294" spans="1:11">
      <c r="A294" s="1479"/>
      <c r="B294" s="1488"/>
      <c r="C294" s="1479"/>
      <c r="D294" s="1479"/>
      <c r="E294" s="1479"/>
      <c r="F294" s="1479"/>
      <c r="G294" s="1479"/>
      <c r="H294" s="1479"/>
      <c r="I294" s="1479"/>
      <c r="J294" s="1479"/>
      <c r="K294" s="1479"/>
    </row>
    <row r="295" spans="1:11">
      <c r="A295" s="1479"/>
      <c r="B295" s="1488"/>
      <c r="C295" s="1479"/>
      <c r="D295" s="1479"/>
      <c r="E295" s="1479"/>
      <c r="F295" s="1479"/>
      <c r="G295" s="1479"/>
      <c r="H295" s="1479"/>
      <c r="I295" s="1479"/>
      <c r="J295" s="1479"/>
      <c r="K295" s="1479"/>
    </row>
    <row r="296" spans="1:11">
      <c r="A296" s="1479"/>
      <c r="B296" s="1488"/>
      <c r="C296" s="1479"/>
      <c r="D296" s="1479"/>
      <c r="E296" s="1479"/>
      <c r="F296" s="1479"/>
      <c r="G296" s="1479"/>
      <c r="H296" s="1479"/>
      <c r="I296" s="1479"/>
      <c r="J296" s="1479"/>
      <c r="K296" s="1479"/>
    </row>
    <row r="297" spans="1:11">
      <c r="A297" s="1479"/>
      <c r="B297" s="1488"/>
      <c r="C297" s="1479"/>
      <c r="D297" s="1479"/>
      <c r="E297" s="1479"/>
      <c r="F297" s="1479"/>
      <c r="G297" s="1479"/>
      <c r="H297" s="1479"/>
      <c r="I297" s="1479"/>
      <c r="J297" s="1479"/>
      <c r="K297" s="1479"/>
    </row>
    <row r="298" spans="1:11">
      <c r="A298" s="1479"/>
      <c r="B298" s="1488"/>
      <c r="C298" s="1479"/>
      <c r="D298" s="1479"/>
      <c r="E298" s="1479"/>
      <c r="F298" s="1479"/>
      <c r="G298" s="1479"/>
      <c r="H298" s="1479"/>
      <c r="I298" s="1479"/>
      <c r="J298" s="1479"/>
      <c r="K298" s="1479"/>
    </row>
    <row r="299" spans="1:11">
      <c r="A299" s="1479"/>
      <c r="B299" s="1488"/>
      <c r="C299" s="1479"/>
      <c r="D299" s="1479"/>
      <c r="E299" s="1479"/>
      <c r="F299" s="1479"/>
      <c r="G299" s="1479"/>
      <c r="H299" s="1479"/>
      <c r="I299" s="1479"/>
      <c r="J299" s="1479"/>
      <c r="K299" s="1479"/>
    </row>
    <row r="300" spans="1:11">
      <c r="A300" s="1479"/>
      <c r="B300" s="1488"/>
      <c r="C300" s="1479"/>
      <c r="D300" s="1479"/>
      <c r="E300" s="1479"/>
      <c r="F300" s="1479"/>
      <c r="G300" s="1479"/>
      <c r="H300" s="1479"/>
      <c r="I300" s="1479"/>
      <c r="J300" s="1479"/>
      <c r="K300" s="1479"/>
    </row>
    <row r="301" spans="1:11">
      <c r="A301" s="1479"/>
      <c r="B301" s="1488"/>
      <c r="C301" s="1479"/>
      <c r="D301" s="1479"/>
      <c r="E301" s="1479"/>
      <c r="F301" s="1479"/>
      <c r="G301" s="1479"/>
      <c r="H301" s="1479"/>
      <c r="I301" s="1479"/>
      <c r="J301" s="1479"/>
      <c r="K301" s="1479"/>
    </row>
    <row r="302" spans="1:11">
      <c r="A302" s="1479"/>
      <c r="B302" s="1488"/>
      <c r="C302" s="1479"/>
      <c r="D302" s="1479"/>
      <c r="E302" s="1479"/>
      <c r="F302" s="1479"/>
      <c r="G302" s="1479"/>
      <c r="H302" s="1479"/>
      <c r="I302" s="1479"/>
      <c r="J302" s="1479"/>
      <c r="K302" s="1479"/>
    </row>
    <row r="303" spans="1:11">
      <c r="A303" s="1479"/>
      <c r="B303" s="1488"/>
      <c r="C303" s="1479"/>
      <c r="D303" s="1479"/>
      <c r="E303" s="1479"/>
      <c r="F303" s="1479"/>
      <c r="G303" s="1479"/>
      <c r="H303" s="1479"/>
      <c r="I303" s="1479"/>
      <c r="J303" s="1479"/>
      <c r="K303" s="1479"/>
    </row>
    <row r="304" spans="1:11">
      <c r="A304" s="1479"/>
      <c r="B304" s="1488"/>
      <c r="C304" s="1479"/>
      <c r="D304" s="1479"/>
      <c r="E304" s="1479"/>
      <c r="F304" s="1479"/>
      <c r="G304" s="1479"/>
      <c r="H304" s="1479"/>
      <c r="I304" s="1479"/>
      <c r="J304" s="1479"/>
      <c r="K304" s="1479"/>
    </row>
    <row r="305" spans="1:11">
      <c r="A305" s="1479"/>
      <c r="B305" s="1488"/>
      <c r="C305" s="1479"/>
      <c r="D305" s="1479"/>
      <c r="E305" s="1479"/>
      <c r="F305" s="1479"/>
      <c r="G305" s="1479"/>
      <c r="H305" s="1479"/>
      <c r="I305" s="1479"/>
      <c r="J305" s="1479"/>
      <c r="K305" s="1479"/>
    </row>
    <row r="306" spans="1:11">
      <c r="A306" s="1479"/>
      <c r="B306" s="1488"/>
      <c r="C306" s="1479"/>
      <c r="D306" s="1479"/>
      <c r="E306" s="1479"/>
      <c r="F306" s="1479"/>
      <c r="G306" s="1479"/>
      <c r="H306" s="1479"/>
      <c r="I306" s="1479"/>
      <c r="J306" s="1479"/>
      <c r="K306" s="1479"/>
    </row>
    <row r="307" spans="1:11">
      <c r="A307" s="1479"/>
      <c r="B307" s="1488"/>
      <c r="C307" s="1479"/>
      <c r="D307" s="1479"/>
      <c r="E307" s="1479"/>
      <c r="F307" s="1479"/>
      <c r="G307" s="1479"/>
      <c r="H307" s="1479"/>
      <c r="I307" s="1479"/>
      <c r="J307" s="1479"/>
      <c r="K307" s="1479"/>
    </row>
    <row r="308" spans="1:11">
      <c r="A308" s="1479"/>
      <c r="B308" s="1488"/>
      <c r="C308" s="1479"/>
      <c r="D308" s="1479"/>
      <c r="E308" s="1479"/>
      <c r="F308" s="1479"/>
      <c r="G308" s="1479"/>
      <c r="H308" s="1479"/>
      <c r="I308" s="1479"/>
      <c r="J308" s="1479"/>
      <c r="K308" s="1479"/>
    </row>
    <row r="309" spans="1:11">
      <c r="A309" s="1479"/>
      <c r="B309" s="1488"/>
      <c r="C309" s="1479"/>
      <c r="D309" s="1479"/>
      <c r="E309" s="1479"/>
      <c r="F309" s="1479"/>
      <c r="G309" s="1479"/>
      <c r="H309" s="1479"/>
      <c r="I309" s="1479"/>
      <c r="J309" s="1479"/>
      <c r="K309" s="1479"/>
    </row>
    <row r="310" spans="1:11">
      <c r="A310" s="1479"/>
      <c r="B310" s="1488"/>
      <c r="C310" s="1479"/>
      <c r="D310" s="1479"/>
      <c r="E310" s="1479"/>
      <c r="F310" s="1479"/>
      <c r="G310" s="1479"/>
      <c r="H310" s="1479"/>
      <c r="I310" s="1479"/>
      <c r="J310" s="1479"/>
      <c r="K310" s="1479"/>
    </row>
    <row r="311" spans="1:11">
      <c r="A311" s="1479"/>
      <c r="B311" s="1488"/>
      <c r="C311" s="1479"/>
      <c r="D311" s="1479"/>
      <c r="E311" s="1479"/>
      <c r="F311" s="1479"/>
      <c r="G311" s="1479"/>
      <c r="H311" s="1479"/>
      <c r="I311" s="1479"/>
      <c r="J311" s="1479"/>
      <c r="K311" s="1479"/>
    </row>
    <row r="312" spans="1:11">
      <c r="A312" s="1479"/>
      <c r="B312" s="1488"/>
      <c r="C312" s="1479"/>
      <c r="D312" s="1479"/>
      <c r="E312" s="1479"/>
      <c r="F312" s="1479"/>
      <c r="G312" s="1479"/>
      <c r="H312" s="1479"/>
      <c r="I312" s="1479"/>
      <c r="J312" s="1479"/>
      <c r="K312" s="1479"/>
    </row>
    <row r="313" spans="1:11">
      <c r="A313" s="1479"/>
      <c r="B313" s="1488"/>
      <c r="C313" s="1479"/>
      <c r="D313" s="1479"/>
      <c r="E313" s="1479"/>
      <c r="F313" s="1479"/>
      <c r="G313" s="1479"/>
      <c r="H313" s="1479"/>
      <c r="I313" s="1479"/>
      <c r="J313" s="1479"/>
      <c r="K313" s="1479"/>
    </row>
    <row r="314" spans="1:11">
      <c r="A314" s="1479"/>
      <c r="B314" s="1488"/>
      <c r="C314" s="1479"/>
      <c r="D314" s="1479"/>
      <c r="E314" s="1479"/>
      <c r="F314" s="1479"/>
      <c r="G314" s="1479"/>
      <c r="H314" s="1479"/>
      <c r="I314" s="1479"/>
      <c r="J314" s="1479"/>
      <c r="K314" s="1479"/>
    </row>
    <row r="315" spans="1:11">
      <c r="A315" s="1479"/>
      <c r="B315" s="1488"/>
      <c r="C315" s="1479"/>
      <c r="D315" s="1479"/>
      <c r="E315" s="1479"/>
      <c r="F315" s="1479"/>
      <c r="G315" s="1479"/>
      <c r="H315" s="1479"/>
      <c r="I315" s="1479"/>
      <c r="J315" s="1479"/>
      <c r="K315" s="1479"/>
    </row>
    <row r="316" spans="1:11">
      <c r="A316" s="1479"/>
      <c r="B316" s="1488"/>
      <c r="C316" s="1479"/>
      <c r="D316" s="1479"/>
      <c r="E316" s="1479"/>
      <c r="F316" s="1479"/>
      <c r="G316" s="1479"/>
      <c r="H316" s="1479"/>
      <c r="I316" s="1479"/>
      <c r="J316" s="1479"/>
      <c r="K316" s="1479"/>
    </row>
    <row r="317" spans="1:11">
      <c r="A317" s="1479"/>
      <c r="B317" s="1488"/>
      <c r="C317" s="1479"/>
      <c r="D317" s="1479"/>
      <c r="E317" s="1479"/>
      <c r="F317" s="1479"/>
      <c r="G317" s="1479"/>
      <c r="H317" s="1479"/>
      <c r="I317" s="1479"/>
      <c r="J317" s="1479"/>
      <c r="K317" s="1479"/>
    </row>
    <row r="318" spans="1:11">
      <c r="A318" s="1479"/>
      <c r="B318" s="1488"/>
      <c r="C318" s="1479"/>
      <c r="D318" s="1479"/>
      <c r="E318" s="1479"/>
      <c r="F318" s="1479"/>
      <c r="G318" s="1479"/>
      <c r="H318" s="1479"/>
      <c r="I318" s="1479"/>
      <c r="J318" s="1479"/>
      <c r="K318" s="1479"/>
    </row>
    <row r="319" spans="1:11">
      <c r="A319" s="1479"/>
      <c r="B319" s="1488"/>
      <c r="C319" s="1479"/>
      <c r="D319" s="1479"/>
      <c r="E319" s="1479"/>
      <c r="F319" s="1479"/>
      <c r="G319" s="1479"/>
      <c r="H319" s="1479"/>
      <c r="I319" s="1479"/>
      <c r="J319" s="1479"/>
      <c r="K319" s="1479"/>
    </row>
    <row r="320" spans="1:11">
      <c r="A320" s="1479"/>
      <c r="B320" s="1488"/>
      <c r="C320" s="1479"/>
      <c r="D320" s="1479"/>
      <c r="E320" s="1479"/>
      <c r="F320" s="1479"/>
      <c r="G320" s="1479"/>
      <c r="H320" s="1479"/>
      <c r="I320" s="1479"/>
      <c r="J320" s="1479"/>
      <c r="K320" s="1479"/>
    </row>
    <row r="321" spans="1:11">
      <c r="A321" s="1479"/>
      <c r="B321" s="1488"/>
      <c r="C321" s="1479"/>
      <c r="D321" s="1479"/>
      <c r="E321" s="1479"/>
      <c r="F321" s="1479"/>
      <c r="G321" s="1479"/>
      <c r="H321" s="1479"/>
      <c r="I321" s="1479"/>
      <c r="J321" s="1479"/>
      <c r="K321" s="1479"/>
    </row>
    <row r="322" spans="1:11">
      <c r="A322" s="1479"/>
      <c r="B322" s="1488"/>
      <c r="C322" s="1479"/>
      <c r="D322" s="1479"/>
      <c r="E322" s="1479"/>
      <c r="F322" s="1479"/>
      <c r="G322" s="1479"/>
      <c r="H322" s="1479"/>
      <c r="I322" s="1479"/>
      <c r="J322" s="1479"/>
      <c r="K322" s="1479"/>
    </row>
    <row r="323" spans="1:11">
      <c r="A323" s="1479"/>
      <c r="B323" s="1488"/>
      <c r="C323" s="1479"/>
      <c r="D323" s="1479"/>
      <c r="E323" s="1479"/>
      <c r="F323" s="1479"/>
      <c r="G323" s="1479"/>
      <c r="H323" s="1479"/>
      <c r="I323" s="1479"/>
      <c r="J323" s="1479"/>
      <c r="K323" s="1479"/>
    </row>
    <row r="324" spans="1:11">
      <c r="A324" s="1479"/>
      <c r="B324" s="1488"/>
      <c r="C324" s="1479"/>
      <c r="D324" s="1479"/>
      <c r="E324" s="1479"/>
      <c r="F324" s="1479"/>
      <c r="G324" s="1479"/>
      <c r="H324" s="1479"/>
      <c r="I324" s="1479"/>
      <c r="J324" s="1479"/>
      <c r="K324" s="1479"/>
    </row>
    <row r="325" spans="1:11">
      <c r="A325" s="1479"/>
      <c r="B325" s="1488"/>
      <c r="C325" s="1479"/>
      <c r="D325" s="1479"/>
      <c r="E325" s="1479"/>
      <c r="F325" s="1479"/>
      <c r="G325" s="1479"/>
      <c r="H325" s="1479"/>
      <c r="I325" s="1479"/>
      <c r="J325" s="1479"/>
      <c r="K325" s="1479"/>
    </row>
    <row r="326" spans="1:11">
      <c r="A326" s="1479"/>
      <c r="B326" s="1488"/>
      <c r="C326" s="1479"/>
      <c r="D326" s="1479"/>
      <c r="E326" s="1479"/>
      <c r="F326" s="1479"/>
      <c r="G326" s="1479"/>
      <c r="H326" s="1479"/>
      <c r="I326" s="1479"/>
      <c r="J326" s="1479"/>
      <c r="K326" s="1479"/>
    </row>
    <row r="327" spans="1:11">
      <c r="A327" s="1479"/>
      <c r="B327" s="1488"/>
      <c r="C327" s="1479"/>
      <c r="D327" s="1479"/>
      <c r="E327" s="1479"/>
      <c r="F327" s="1479"/>
      <c r="G327" s="1479"/>
      <c r="H327" s="1479"/>
      <c r="I327" s="1479"/>
      <c r="J327" s="1479"/>
      <c r="K327" s="1479"/>
    </row>
    <row r="328" spans="1:11">
      <c r="A328" s="1479"/>
      <c r="B328" s="1488"/>
      <c r="C328" s="1479"/>
      <c r="D328" s="1479"/>
      <c r="E328" s="1479"/>
      <c r="F328" s="1479"/>
      <c r="G328" s="1479"/>
      <c r="H328" s="1479"/>
      <c r="I328" s="1479"/>
      <c r="J328" s="1479"/>
      <c r="K328" s="1479"/>
    </row>
    <row r="329" spans="1:11">
      <c r="A329" s="1479"/>
      <c r="B329" s="1488"/>
      <c r="C329" s="1479"/>
      <c r="D329" s="1479"/>
      <c r="E329" s="1479"/>
      <c r="F329" s="1479"/>
      <c r="G329" s="1479"/>
      <c r="H329" s="1479"/>
      <c r="I329" s="1479"/>
      <c r="J329" s="1479"/>
      <c r="K329" s="1479"/>
    </row>
    <row r="330" spans="1:11">
      <c r="A330" s="1479"/>
      <c r="B330" s="1488"/>
      <c r="C330" s="1479"/>
      <c r="D330" s="1479"/>
      <c r="E330" s="1479"/>
      <c r="F330" s="1479"/>
      <c r="G330" s="1479"/>
      <c r="H330" s="1479"/>
      <c r="I330" s="1479"/>
      <c r="J330" s="1479"/>
      <c r="K330" s="1479"/>
    </row>
    <row r="331" spans="1:11">
      <c r="A331" s="1479"/>
      <c r="B331" s="1488"/>
      <c r="C331" s="1479"/>
      <c r="D331" s="1479"/>
      <c r="E331" s="1479"/>
      <c r="F331" s="1479"/>
      <c r="G331" s="1479"/>
      <c r="H331" s="1479"/>
      <c r="I331" s="1479"/>
      <c r="J331" s="1479"/>
      <c r="K331" s="1479"/>
    </row>
    <row r="332" spans="1:11">
      <c r="A332" s="1479"/>
      <c r="B332" s="1488"/>
      <c r="C332" s="1479"/>
      <c r="D332" s="1479"/>
      <c r="E332" s="1479"/>
      <c r="F332" s="1479"/>
      <c r="G332" s="1479"/>
      <c r="H332" s="1479"/>
      <c r="I332" s="1479"/>
      <c r="J332" s="1479"/>
      <c r="K332" s="1479"/>
    </row>
    <row r="333" spans="1:11">
      <c r="A333" s="1479"/>
      <c r="B333" s="1488"/>
      <c r="C333" s="1479"/>
      <c r="D333" s="1479"/>
      <c r="E333" s="1479"/>
      <c r="F333" s="1479"/>
      <c r="G333" s="1479"/>
      <c r="H333" s="1479"/>
      <c r="I333" s="1479"/>
      <c r="J333" s="1479"/>
      <c r="K333" s="1479"/>
    </row>
    <row r="334" spans="1:11">
      <c r="A334" s="1479"/>
      <c r="B334" s="1488"/>
      <c r="C334" s="1479"/>
      <c r="D334" s="1479"/>
      <c r="E334" s="1479"/>
      <c r="F334" s="1479"/>
      <c r="G334" s="1479"/>
      <c r="H334" s="1479"/>
      <c r="I334" s="1479"/>
      <c r="J334" s="1479"/>
      <c r="K334" s="1479"/>
    </row>
    <row r="335" spans="1:11">
      <c r="A335" s="1479"/>
      <c r="B335" s="1488"/>
      <c r="C335" s="1479"/>
      <c r="D335" s="1479"/>
      <c r="E335" s="1479"/>
      <c r="F335" s="1479"/>
      <c r="G335" s="1479"/>
      <c r="H335" s="1479"/>
      <c r="I335" s="1479"/>
      <c r="J335" s="1479"/>
      <c r="K335" s="1479"/>
    </row>
    <row r="336" spans="1:11">
      <c r="A336" s="1479"/>
      <c r="B336" s="1488"/>
      <c r="C336" s="1479"/>
      <c r="D336" s="1479"/>
      <c r="E336" s="1479"/>
      <c r="F336" s="1479"/>
      <c r="G336" s="1479"/>
      <c r="H336" s="1479"/>
      <c r="I336" s="1479"/>
      <c r="J336" s="1479"/>
      <c r="K336" s="1479"/>
    </row>
    <row r="337" spans="1:11">
      <c r="A337" s="1479"/>
      <c r="B337" s="1488"/>
      <c r="C337" s="1479"/>
      <c r="D337" s="1479"/>
      <c r="E337" s="1479"/>
      <c r="F337" s="1479"/>
      <c r="G337" s="1479"/>
      <c r="H337" s="1479"/>
      <c r="I337" s="1479"/>
      <c r="J337" s="1479"/>
      <c r="K337" s="1479"/>
    </row>
    <row r="338" spans="1:11">
      <c r="A338" s="1479"/>
      <c r="B338" s="1488"/>
      <c r="C338" s="1479"/>
      <c r="D338" s="1479"/>
      <c r="E338" s="1479"/>
      <c r="F338" s="1479"/>
      <c r="G338" s="1479"/>
      <c r="H338" s="1479"/>
      <c r="I338" s="1479"/>
      <c r="J338" s="1479"/>
      <c r="K338" s="1479"/>
    </row>
    <row r="339" spans="1:11">
      <c r="A339" s="1479"/>
      <c r="B339" s="1488"/>
      <c r="C339" s="1479"/>
      <c r="D339" s="1479"/>
      <c r="E339" s="1479"/>
      <c r="F339" s="1479"/>
      <c r="G339" s="1479"/>
      <c r="H339" s="1479"/>
      <c r="I339" s="1479"/>
      <c r="J339" s="1479"/>
      <c r="K339" s="1479"/>
    </row>
    <row r="340" spans="1:11">
      <c r="A340" s="1479"/>
      <c r="B340" s="1488"/>
      <c r="C340" s="1479"/>
      <c r="D340" s="1479"/>
      <c r="E340" s="1479"/>
      <c r="F340" s="1479"/>
      <c r="G340" s="1479"/>
      <c r="H340" s="1479"/>
      <c r="I340" s="1479"/>
      <c r="J340" s="1479"/>
      <c r="K340" s="1479"/>
    </row>
    <row r="341" spans="1:11">
      <c r="A341" s="1479"/>
      <c r="B341" s="1488"/>
      <c r="C341" s="1479"/>
      <c r="D341" s="1479"/>
      <c r="E341" s="1479"/>
      <c r="F341" s="1479"/>
      <c r="G341" s="1479"/>
      <c r="H341" s="1479"/>
      <c r="I341" s="1479"/>
      <c r="J341" s="1479"/>
      <c r="K341" s="1479"/>
    </row>
    <row r="342" spans="1:11">
      <c r="A342" s="1479"/>
      <c r="B342" s="1488"/>
      <c r="C342" s="1479"/>
      <c r="D342" s="1479"/>
      <c r="E342" s="1479"/>
      <c r="F342" s="1479"/>
      <c r="G342" s="1479"/>
      <c r="H342" s="1479"/>
      <c r="I342" s="1479"/>
      <c r="J342" s="1479"/>
      <c r="K342" s="1479"/>
    </row>
    <row r="343" spans="1:11">
      <c r="A343" s="1479"/>
      <c r="B343" s="1488"/>
      <c r="C343" s="1479"/>
      <c r="D343" s="1479"/>
      <c r="E343" s="1479"/>
      <c r="F343" s="1479"/>
      <c r="G343" s="1479"/>
      <c r="H343" s="1479"/>
      <c r="I343" s="1479"/>
      <c r="J343" s="1479"/>
      <c r="K343" s="1479"/>
    </row>
    <row r="344" spans="1:11">
      <c r="A344" s="1479"/>
      <c r="B344" s="1488"/>
      <c r="C344" s="1479"/>
      <c r="D344" s="1479"/>
      <c r="E344" s="1479"/>
      <c r="F344" s="1479"/>
      <c r="G344" s="1479"/>
      <c r="H344" s="1479"/>
      <c r="I344" s="1479"/>
      <c r="J344" s="1479"/>
      <c r="K344" s="1479"/>
    </row>
    <row r="345" spans="1:11">
      <c r="A345" s="1479"/>
      <c r="B345" s="1488"/>
      <c r="C345" s="1479"/>
      <c r="D345" s="1479"/>
      <c r="E345" s="1479"/>
      <c r="F345" s="1479"/>
      <c r="G345" s="1479"/>
      <c r="H345" s="1479"/>
      <c r="I345" s="1479"/>
      <c r="J345" s="1479"/>
      <c r="K345" s="1479"/>
    </row>
    <row r="346" spans="1:11">
      <c r="A346" s="1479"/>
      <c r="B346" s="1488"/>
      <c r="C346" s="1479"/>
      <c r="D346" s="1479"/>
      <c r="E346" s="1479"/>
      <c r="F346" s="1479"/>
      <c r="G346" s="1479"/>
      <c r="H346" s="1479"/>
      <c r="I346" s="1479"/>
      <c r="J346" s="1479"/>
      <c r="K346" s="1479"/>
    </row>
    <row r="347" spans="1:11">
      <c r="A347" s="1479"/>
      <c r="B347" s="1488"/>
      <c r="C347" s="1479"/>
      <c r="D347" s="1479"/>
      <c r="E347" s="1479"/>
      <c r="F347" s="1479"/>
      <c r="G347" s="1479"/>
      <c r="H347" s="1479"/>
      <c r="I347" s="1479"/>
      <c r="J347" s="1479"/>
      <c r="K347" s="1479"/>
    </row>
    <row r="348" spans="1:11">
      <c r="A348" s="1479"/>
      <c r="B348" s="1488"/>
      <c r="C348" s="1479"/>
      <c r="D348" s="1479"/>
      <c r="E348" s="1479"/>
      <c r="F348" s="1479"/>
      <c r="G348" s="1479"/>
      <c r="H348" s="1479"/>
      <c r="I348" s="1479"/>
      <c r="J348" s="1479"/>
      <c r="K348" s="1479"/>
    </row>
    <row r="349" spans="1:11">
      <c r="A349" s="1479"/>
      <c r="B349" s="1488"/>
      <c r="C349" s="1479"/>
      <c r="D349" s="1479"/>
      <c r="E349" s="1479"/>
      <c r="F349" s="1479"/>
      <c r="G349" s="1479"/>
      <c r="H349" s="1479"/>
      <c r="I349" s="1479"/>
      <c r="J349" s="1479"/>
      <c r="K349" s="1479"/>
    </row>
    <row r="350" spans="1:11">
      <c r="A350" s="1479"/>
      <c r="B350" s="1488"/>
      <c r="C350" s="1479"/>
      <c r="D350" s="1479"/>
      <c r="E350" s="1479"/>
      <c r="F350" s="1479"/>
      <c r="G350" s="1479"/>
      <c r="H350" s="1479"/>
      <c r="I350" s="1479"/>
      <c r="J350" s="1479"/>
      <c r="K350" s="1479"/>
    </row>
    <row r="351" spans="1:11">
      <c r="A351" s="1479"/>
      <c r="B351" s="1488"/>
      <c r="C351" s="1479"/>
      <c r="D351" s="1479"/>
      <c r="E351" s="1479"/>
      <c r="F351" s="1479"/>
      <c r="G351" s="1479"/>
      <c r="H351" s="1479"/>
      <c r="I351" s="1479"/>
      <c r="J351" s="1479"/>
      <c r="K351" s="1479"/>
    </row>
    <row r="352" spans="1:11">
      <c r="A352" s="1479"/>
      <c r="B352" s="1488"/>
      <c r="C352" s="1479"/>
      <c r="D352" s="1479"/>
      <c r="E352" s="1479"/>
      <c r="F352" s="1479"/>
      <c r="G352" s="1479"/>
      <c r="H352" s="1479"/>
      <c r="I352" s="1479"/>
      <c r="J352" s="1479"/>
      <c r="K352" s="1479"/>
    </row>
    <row r="353" spans="1:11">
      <c r="A353" s="1479"/>
      <c r="B353" s="1488"/>
      <c r="C353" s="1479"/>
      <c r="D353" s="1479"/>
      <c r="E353" s="1479"/>
      <c r="F353" s="1479"/>
      <c r="G353" s="1479"/>
      <c r="H353" s="1479"/>
      <c r="I353" s="1479"/>
      <c r="J353" s="1479"/>
      <c r="K353" s="1479"/>
    </row>
    <row r="354" spans="1:11">
      <c r="A354" s="1479"/>
      <c r="B354" s="1488"/>
      <c r="C354" s="1479"/>
      <c r="D354" s="1479"/>
      <c r="E354" s="1479"/>
      <c r="F354" s="1479"/>
      <c r="G354" s="1479"/>
      <c r="H354" s="1479"/>
      <c r="I354" s="1479"/>
      <c r="J354" s="1479"/>
      <c r="K354" s="1479"/>
    </row>
    <row r="355" spans="1:11">
      <c r="A355" s="1479"/>
      <c r="B355" s="1488"/>
      <c r="C355" s="1479"/>
      <c r="D355" s="1479"/>
      <c r="E355" s="1479"/>
      <c r="F355" s="1479"/>
      <c r="G355" s="1479"/>
      <c r="H355" s="1479"/>
      <c r="I355" s="1479"/>
      <c r="J355" s="1479"/>
      <c r="K355" s="1479"/>
    </row>
    <row r="356" spans="1:11">
      <c r="A356" s="1479"/>
      <c r="B356" s="1488"/>
      <c r="C356" s="1479"/>
      <c r="D356" s="1479"/>
      <c r="E356" s="1479"/>
      <c r="F356" s="1479"/>
      <c r="G356" s="1479"/>
      <c r="H356" s="1479"/>
      <c r="I356" s="1479"/>
      <c r="J356" s="1479"/>
      <c r="K356" s="1479"/>
    </row>
    <row r="357" spans="1:11">
      <c r="A357" s="1479"/>
      <c r="B357" s="1488"/>
      <c r="C357" s="1479"/>
      <c r="D357" s="1479"/>
      <c r="E357" s="1479"/>
      <c r="F357" s="1479"/>
      <c r="G357" s="1479"/>
      <c r="H357" s="1479"/>
      <c r="I357" s="1479"/>
      <c r="J357" s="1479"/>
      <c r="K357" s="1479"/>
    </row>
    <row r="358" spans="1:11">
      <c r="A358" s="1479"/>
      <c r="B358" s="1488"/>
      <c r="C358" s="1479"/>
      <c r="D358" s="1479"/>
      <c r="E358" s="1479"/>
      <c r="F358" s="1479"/>
      <c r="G358" s="1479"/>
      <c r="H358" s="1479"/>
      <c r="I358" s="1479"/>
      <c r="J358" s="1479"/>
      <c r="K358" s="1479"/>
    </row>
    <row r="359" spans="1:11">
      <c r="A359" s="1479"/>
      <c r="B359" s="1488"/>
      <c r="C359" s="1479"/>
      <c r="D359" s="1479"/>
      <c r="E359" s="1479"/>
      <c r="F359" s="1479"/>
      <c r="G359" s="1479"/>
      <c r="H359" s="1479"/>
      <c r="I359" s="1479"/>
      <c r="J359" s="1479"/>
      <c r="K359" s="1479"/>
    </row>
    <row r="360" spans="1:11">
      <c r="A360" s="1479"/>
      <c r="B360" s="1488"/>
      <c r="C360" s="1479"/>
      <c r="D360" s="1479"/>
      <c r="E360" s="1479"/>
      <c r="F360" s="1479"/>
      <c r="G360" s="1479"/>
      <c r="H360" s="1479"/>
      <c r="I360" s="1479"/>
      <c r="J360" s="1479"/>
      <c r="K360" s="1479"/>
    </row>
    <row r="361" spans="1:11">
      <c r="A361" s="1479"/>
      <c r="B361" s="1488"/>
      <c r="C361" s="1479"/>
      <c r="D361" s="1479"/>
      <c r="E361" s="1479"/>
      <c r="F361" s="1479"/>
      <c r="G361" s="1479"/>
      <c r="H361" s="1479"/>
      <c r="I361" s="1479"/>
      <c r="J361" s="1479"/>
      <c r="K361" s="1479"/>
    </row>
    <row r="362" spans="1:11">
      <c r="A362" s="1479"/>
      <c r="B362" s="1488"/>
      <c r="C362" s="1479"/>
      <c r="D362" s="1479"/>
      <c r="E362" s="1479"/>
      <c r="F362" s="1479"/>
      <c r="G362" s="1479"/>
      <c r="H362" s="1479"/>
      <c r="I362" s="1479"/>
      <c r="J362" s="1479"/>
      <c r="K362" s="1479"/>
    </row>
    <row r="363" spans="1:11">
      <c r="A363" s="1479"/>
      <c r="B363" s="1488"/>
      <c r="C363" s="1479"/>
      <c r="D363" s="1479"/>
      <c r="E363" s="1479"/>
      <c r="F363" s="1479"/>
      <c r="G363" s="1479"/>
      <c r="H363" s="1479"/>
      <c r="I363" s="1479"/>
      <c r="J363" s="1479"/>
      <c r="K363" s="1479"/>
    </row>
    <row r="364" spans="1:11">
      <c r="A364" s="1479"/>
      <c r="B364" s="1488"/>
      <c r="C364" s="1479"/>
      <c r="D364" s="1479"/>
      <c r="E364" s="1479"/>
      <c r="F364" s="1479"/>
      <c r="G364" s="1479"/>
      <c r="H364" s="1479"/>
      <c r="I364" s="1479"/>
      <c r="J364" s="1479"/>
      <c r="K364" s="1479"/>
    </row>
    <row r="365" spans="1:11">
      <c r="A365" s="1479"/>
      <c r="B365" s="1488"/>
      <c r="C365" s="1479"/>
      <c r="D365" s="1479"/>
      <c r="E365" s="1479"/>
      <c r="F365" s="1479"/>
      <c r="G365" s="1479"/>
      <c r="H365" s="1479"/>
      <c r="I365" s="1479"/>
      <c r="J365" s="1479"/>
      <c r="K365" s="1479"/>
    </row>
    <row r="366" spans="1:11">
      <c r="A366" s="1479"/>
      <c r="B366" s="1488"/>
      <c r="C366" s="1479"/>
      <c r="D366" s="1479"/>
      <c r="E366" s="1479"/>
      <c r="F366" s="1479"/>
      <c r="G366" s="1479"/>
      <c r="H366" s="1479"/>
      <c r="I366" s="1479"/>
      <c r="J366" s="1479"/>
      <c r="K366" s="1479"/>
    </row>
    <row r="367" spans="1:11">
      <c r="A367" s="1479"/>
      <c r="B367" s="1488"/>
      <c r="C367" s="1479"/>
      <c r="D367" s="1479"/>
      <c r="E367" s="1479"/>
      <c r="F367" s="1479"/>
      <c r="G367" s="1479"/>
      <c r="H367" s="1479"/>
      <c r="I367" s="1479"/>
      <c r="J367" s="1479"/>
      <c r="K367" s="1479"/>
    </row>
    <row r="368" spans="1:11">
      <c r="A368" s="1479"/>
      <c r="B368" s="1488"/>
      <c r="C368" s="1479"/>
      <c r="D368" s="1479"/>
      <c r="E368" s="1479"/>
      <c r="F368" s="1479"/>
      <c r="G368" s="1479"/>
      <c r="H368" s="1479"/>
      <c r="I368" s="1479"/>
      <c r="J368" s="1479"/>
      <c r="K368" s="1479"/>
    </row>
    <row r="369" spans="1:11">
      <c r="A369" s="1479"/>
      <c r="B369" s="1488"/>
      <c r="C369" s="1479"/>
      <c r="D369" s="1479"/>
      <c r="E369" s="1479"/>
      <c r="F369" s="1479"/>
      <c r="G369" s="1479"/>
      <c r="H369" s="1479"/>
      <c r="I369" s="1479"/>
      <c r="J369" s="1479"/>
      <c r="K369" s="1479"/>
    </row>
    <row r="370" spans="1:11">
      <c r="A370" s="1479"/>
      <c r="B370" s="1488"/>
      <c r="C370" s="1479"/>
      <c r="D370" s="1479"/>
      <c r="E370" s="1479"/>
      <c r="F370" s="1479"/>
      <c r="G370" s="1479"/>
      <c r="H370" s="1479"/>
      <c r="I370" s="1479"/>
      <c r="J370" s="1479"/>
      <c r="K370" s="1479"/>
    </row>
    <row r="371" spans="1:11">
      <c r="A371" s="1479"/>
      <c r="B371" s="1488"/>
      <c r="C371" s="1479"/>
      <c r="D371" s="1479"/>
      <c r="E371" s="1479"/>
      <c r="F371" s="1479"/>
      <c r="G371" s="1479"/>
      <c r="H371" s="1479"/>
      <c r="I371" s="1479"/>
      <c r="J371" s="1479"/>
      <c r="K371" s="1479"/>
    </row>
    <row r="372" spans="1:11">
      <c r="A372" s="1479"/>
      <c r="B372" s="1488"/>
      <c r="C372" s="1479"/>
      <c r="D372" s="1479"/>
      <c r="E372" s="1479"/>
      <c r="F372" s="1479"/>
      <c r="G372" s="1479"/>
      <c r="H372" s="1479"/>
      <c r="I372" s="1479"/>
      <c r="J372" s="1479"/>
      <c r="K372" s="1479"/>
    </row>
    <row r="373" spans="1:11">
      <c r="A373" s="1479"/>
      <c r="B373" s="1488"/>
      <c r="C373" s="1479"/>
      <c r="D373" s="1479"/>
      <c r="E373" s="1479"/>
      <c r="F373" s="1479"/>
      <c r="G373" s="1479"/>
      <c r="H373" s="1479"/>
      <c r="I373" s="1479"/>
      <c r="J373" s="1479"/>
      <c r="K373" s="1479"/>
    </row>
    <row r="374" spans="1:11">
      <c r="A374" s="1479"/>
      <c r="B374" s="1488"/>
      <c r="C374" s="1479"/>
      <c r="D374" s="1479"/>
      <c r="E374" s="1479"/>
      <c r="F374" s="1479"/>
      <c r="G374" s="1479"/>
      <c r="H374" s="1479"/>
      <c r="I374" s="1479"/>
      <c r="J374" s="1479"/>
      <c r="K374" s="1479"/>
    </row>
    <row r="375" spans="1:11">
      <c r="A375" s="1479"/>
      <c r="B375" s="1488"/>
      <c r="C375" s="1479"/>
      <c r="D375" s="1479"/>
      <c r="E375" s="1479"/>
      <c r="F375" s="1479"/>
      <c r="G375" s="1479"/>
      <c r="H375" s="1479"/>
      <c r="I375" s="1479"/>
      <c r="J375" s="1479"/>
      <c r="K375" s="1479"/>
    </row>
    <row r="376" spans="1:11">
      <c r="A376" s="1479"/>
      <c r="B376" s="1488"/>
      <c r="C376" s="1479"/>
      <c r="D376" s="1479"/>
      <c r="E376" s="1479"/>
      <c r="F376" s="1479"/>
      <c r="G376" s="1479"/>
      <c r="H376" s="1479"/>
      <c r="I376" s="1479"/>
      <c r="J376" s="1479"/>
      <c r="K376" s="1479"/>
    </row>
    <row r="377" spans="1:11">
      <c r="A377" s="1479"/>
      <c r="B377" s="1488"/>
      <c r="C377" s="1479"/>
      <c r="D377" s="1479"/>
      <c r="E377" s="1479"/>
      <c r="F377" s="1479"/>
      <c r="G377" s="1479"/>
      <c r="H377" s="1479"/>
      <c r="I377" s="1479"/>
      <c r="J377" s="1479"/>
      <c r="K377" s="1479"/>
    </row>
    <row r="378" spans="1:11">
      <c r="A378" s="1479"/>
      <c r="B378" s="1488"/>
      <c r="C378" s="1479"/>
      <c r="D378" s="1479"/>
      <c r="E378" s="1479"/>
      <c r="F378" s="1479"/>
      <c r="G378" s="1479"/>
      <c r="H378" s="1479"/>
      <c r="I378" s="1479"/>
      <c r="J378" s="1479"/>
      <c r="K378" s="1479"/>
    </row>
    <row r="379" spans="1:11">
      <c r="A379" s="1479"/>
      <c r="B379" s="1488"/>
      <c r="C379" s="1479"/>
      <c r="D379" s="1479"/>
      <c r="E379" s="1479"/>
      <c r="F379" s="1479"/>
      <c r="G379" s="1479"/>
      <c r="H379" s="1479"/>
      <c r="I379" s="1479"/>
      <c r="J379" s="1479"/>
      <c r="K379" s="1479"/>
    </row>
    <row r="380" spans="1:11">
      <c r="A380" s="1479"/>
      <c r="B380" s="1488"/>
      <c r="C380" s="1479"/>
      <c r="D380" s="1479"/>
      <c r="E380" s="1479"/>
      <c r="F380" s="1479"/>
      <c r="G380" s="1479"/>
      <c r="H380" s="1479"/>
      <c r="I380" s="1479"/>
      <c r="J380" s="1479"/>
      <c r="K380" s="1479"/>
    </row>
    <row r="381" spans="1:11">
      <c r="A381" s="1479"/>
      <c r="B381" s="1488"/>
      <c r="C381" s="1479"/>
      <c r="D381" s="1479"/>
      <c r="E381" s="1479"/>
      <c r="F381" s="1479"/>
      <c r="G381" s="1479"/>
      <c r="H381" s="1479"/>
      <c r="I381" s="1479"/>
      <c r="J381" s="1479"/>
      <c r="K381" s="1479"/>
    </row>
    <row r="382" spans="1:11">
      <c r="A382" s="1479"/>
      <c r="B382" s="1488"/>
      <c r="C382" s="1479"/>
      <c r="D382" s="1479"/>
      <c r="E382" s="1479"/>
      <c r="F382" s="1479"/>
      <c r="G382" s="1479"/>
      <c r="H382" s="1479"/>
      <c r="I382" s="1479"/>
      <c r="J382" s="1479"/>
      <c r="K382" s="1479"/>
    </row>
    <row r="383" spans="1:11">
      <c r="A383" s="1479"/>
      <c r="B383" s="1488"/>
      <c r="C383" s="1479"/>
      <c r="D383" s="1479"/>
      <c r="E383" s="1479"/>
      <c r="F383" s="1479"/>
      <c r="G383" s="1479"/>
      <c r="H383" s="1479"/>
      <c r="I383" s="1479"/>
      <c r="J383" s="1479"/>
      <c r="K383" s="1479"/>
    </row>
    <row r="384" spans="1:11">
      <c r="A384" s="1479"/>
      <c r="B384" s="1488"/>
      <c r="C384" s="1479"/>
      <c r="D384" s="1479"/>
      <c r="E384" s="1479"/>
      <c r="F384" s="1479"/>
      <c r="G384" s="1479"/>
      <c r="H384" s="1479"/>
      <c r="I384" s="1479"/>
      <c r="J384" s="1479"/>
      <c r="K384" s="1479"/>
    </row>
    <row r="385" spans="1:11">
      <c r="A385" s="1479"/>
      <c r="B385" s="1488"/>
      <c r="C385" s="1479"/>
      <c r="D385" s="1479"/>
      <c r="E385" s="1479"/>
      <c r="F385" s="1479"/>
      <c r="G385" s="1479"/>
      <c r="H385" s="1479"/>
      <c r="I385" s="1479"/>
      <c r="J385" s="1479"/>
      <c r="K385" s="1479"/>
    </row>
    <row r="386" spans="1:11">
      <c r="A386" s="1479"/>
      <c r="B386" s="1488"/>
      <c r="C386" s="1479"/>
      <c r="D386" s="1479"/>
      <c r="E386" s="1479"/>
      <c r="F386" s="1479"/>
      <c r="G386" s="1479"/>
      <c r="H386" s="1479"/>
      <c r="I386" s="1479"/>
      <c r="J386" s="1479"/>
      <c r="K386" s="1479"/>
    </row>
    <row r="387" spans="1:11">
      <c r="A387" s="1479"/>
      <c r="B387" s="1488"/>
      <c r="C387" s="1479"/>
      <c r="D387" s="1479"/>
      <c r="E387" s="1479"/>
      <c r="F387" s="1479"/>
      <c r="G387" s="1479"/>
      <c r="H387" s="1479"/>
      <c r="I387" s="1479"/>
      <c r="J387" s="1479"/>
      <c r="K387" s="1479"/>
    </row>
    <row r="388" spans="1:11">
      <c r="A388" s="1479"/>
      <c r="B388" s="1488"/>
      <c r="C388" s="1479"/>
      <c r="D388" s="1479"/>
      <c r="E388" s="1479"/>
      <c r="F388" s="1479"/>
      <c r="G388" s="1479"/>
      <c r="H388" s="1479"/>
      <c r="I388" s="1479"/>
      <c r="J388" s="1479"/>
      <c r="K388" s="1479"/>
    </row>
    <row r="389" spans="1:11">
      <c r="A389" s="1479"/>
      <c r="B389" s="1488"/>
      <c r="C389" s="1479"/>
      <c r="D389" s="1479"/>
      <c r="E389" s="1479"/>
      <c r="F389" s="1479"/>
      <c r="G389" s="1479"/>
      <c r="H389" s="1479"/>
      <c r="I389" s="1479"/>
      <c r="J389" s="1479"/>
      <c r="K389" s="1479"/>
    </row>
    <row r="390" spans="1:11">
      <c r="A390" s="1479"/>
      <c r="B390" s="1488"/>
      <c r="C390" s="1479"/>
      <c r="D390" s="1479"/>
      <c r="E390" s="1479"/>
      <c r="F390" s="1479"/>
      <c r="G390" s="1479"/>
      <c r="H390" s="1479"/>
      <c r="I390" s="1479"/>
      <c r="J390" s="1479"/>
      <c r="K390" s="1479"/>
    </row>
    <row r="391" spans="1:11">
      <c r="A391" s="1479"/>
      <c r="B391" s="1488"/>
      <c r="C391" s="1479"/>
      <c r="D391" s="1479"/>
      <c r="E391" s="1479"/>
      <c r="F391" s="1479"/>
      <c r="G391" s="1479"/>
      <c r="H391" s="1479"/>
      <c r="I391" s="1479"/>
      <c r="J391" s="1479"/>
      <c r="K391" s="1479"/>
    </row>
    <row r="392" spans="1:11">
      <c r="A392" s="1479"/>
      <c r="B392" s="1488"/>
      <c r="C392" s="1479"/>
      <c r="D392" s="1479"/>
      <c r="E392" s="1479"/>
      <c r="F392" s="1479"/>
      <c r="G392" s="1479"/>
      <c r="H392" s="1479"/>
      <c r="I392" s="1479"/>
      <c r="J392" s="1479"/>
      <c r="K392" s="1479"/>
    </row>
    <row r="393" spans="1:11">
      <c r="A393" s="1479"/>
      <c r="B393" s="1488"/>
      <c r="C393" s="1479"/>
      <c r="D393" s="1479"/>
      <c r="E393" s="1479"/>
      <c r="F393" s="1479"/>
      <c r="G393" s="1479"/>
      <c r="H393" s="1479"/>
      <c r="I393" s="1479"/>
      <c r="J393" s="1479"/>
      <c r="K393" s="1479"/>
    </row>
    <row r="394" spans="1:11">
      <c r="A394" s="1479"/>
      <c r="B394" s="1488"/>
      <c r="C394" s="1479"/>
      <c r="D394" s="1479"/>
      <c r="E394" s="1479"/>
      <c r="F394" s="1479"/>
      <c r="G394" s="1479"/>
      <c r="H394" s="1479"/>
      <c r="I394" s="1479"/>
      <c r="J394" s="1479"/>
      <c r="K394" s="1479"/>
    </row>
    <row r="395" spans="1:11">
      <c r="A395" s="1479"/>
      <c r="B395" s="1488"/>
      <c r="C395" s="1479"/>
      <c r="D395" s="1479"/>
      <c r="E395" s="1479"/>
      <c r="F395" s="1479"/>
      <c r="G395" s="1479"/>
      <c r="H395" s="1479"/>
      <c r="I395" s="1479"/>
      <c r="J395" s="1479"/>
      <c r="K395" s="1479"/>
    </row>
    <row r="396" spans="1:11">
      <c r="A396" s="1479"/>
      <c r="B396" s="1488"/>
      <c r="C396" s="1479"/>
      <c r="D396" s="1479"/>
      <c r="E396" s="1479"/>
      <c r="F396" s="1479"/>
      <c r="G396" s="1479"/>
      <c r="H396" s="1479"/>
      <c r="I396" s="1479"/>
      <c r="J396" s="1479"/>
      <c r="K396" s="1479"/>
    </row>
    <row r="397" spans="1:11">
      <c r="A397" s="1479"/>
      <c r="B397" s="1488"/>
      <c r="C397" s="1479"/>
      <c r="D397" s="1479"/>
      <c r="E397" s="1479"/>
      <c r="F397" s="1479"/>
      <c r="G397" s="1479"/>
      <c r="H397" s="1479"/>
      <c r="I397" s="1479"/>
      <c r="J397" s="1479"/>
      <c r="K397" s="1479"/>
    </row>
    <row r="398" spans="1:11">
      <c r="A398" s="1479"/>
      <c r="B398" s="1488"/>
      <c r="C398" s="1479"/>
      <c r="D398" s="1479"/>
      <c r="E398" s="1479"/>
      <c r="F398" s="1479"/>
      <c r="G398" s="1479"/>
      <c r="H398" s="1479"/>
      <c r="I398" s="1479"/>
      <c r="J398" s="1479"/>
      <c r="K398" s="1479"/>
    </row>
    <row r="399" spans="1:11">
      <c r="A399" s="1479"/>
      <c r="B399" s="1488"/>
      <c r="C399" s="1479"/>
      <c r="D399" s="1479"/>
      <c r="E399" s="1479"/>
      <c r="F399" s="1479"/>
      <c r="G399" s="1479"/>
      <c r="H399" s="1479"/>
      <c r="I399" s="1479"/>
      <c r="J399" s="1479"/>
      <c r="K399" s="1479"/>
    </row>
    <row r="400" spans="1:11">
      <c r="A400" s="1479"/>
      <c r="B400" s="1488"/>
      <c r="C400" s="1479"/>
      <c r="D400" s="1479"/>
      <c r="E400" s="1479"/>
      <c r="F400" s="1479"/>
      <c r="G400" s="1479"/>
      <c r="H400" s="1479"/>
      <c r="I400" s="1479"/>
      <c r="J400" s="1479"/>
      <c r="K400" s="1479"/>
    </row>
    <row r="401" spans="1:11">
      <c r="A401" s="1479"/>
      <c r="B401" s="1488"/>
      <c r="C401" s="1479"/>
      <c r="D401" s="1479"/>
      <c r="E401" s="1479"/>
      <c r="F401" s="1479"/>
      <c r="G401" s="1479"/>
      <c r="H401" s="1479"/>
      <c r="I401" s="1479"/>
      <c r="J401" s="1479"/>
      <c r="K401" s="1479"/>
    </row>
    <row r="402" spans="1:11">
      <c r="A402" s="1479"/>
      <c r="B402" s="1488"/>
      <c r="C402" s="1479"/>
      <c r="D402" s="1479"/>
      <c r="E402" s="1479"/>
      <c r="F402" s="1479"/>
      <c r="G402" s="1479"/>
      <c r="H402" s="1479"/>
      <c r="I402" s="1479"/>
      <c r="J402" s="1479"/>
      <c r="K402" s="1479"/>
    </row>
    <row r="403" spans="1:11">
      <c r="A403" s="1479"/>
      <c r="B403" s="1488"/>
      <c r="C403" s="1479"/>
      <c r="D403" s="1479"/>
      <c r="E403" s="1479"/>
      <c r="F403" s="1479"/>
      <c r="G403" s="1479"/>
      <c r="H403" s="1479"/>
      <c r="I403" s="1479"/>
      <c r="J403" s="1479"/>
      <c r="K403" s="1479"/>
    </row>
    <row r="404" spans="1:11">
      <c r="A404" s="1479"/>
      <c r="B404" s="1488"/>
      <c r="C404" s="1479"/>
      <c r="D404" s="1479"/>
      <c r="E404" s="1479"/>
      <c r="F404" s="1479"/>
      <c r="G404" s="1479"/>
      <c r="H404" s="1479"/>
      <c r="I404" s="1479"/>
      <c r="J404" s="1479"/>
      <c r="K404" s="1479"/>
    </row>
    <row r="405" spans="1:11">
      <c r="A405" s="1479"/>
      <c r="B405" s="1488"/>
      <c r="C405" s="1479"/>
      <c r="D405" s="1479"/>
      <c r="E405" s="1479"/>
      <c r="F405" s="1479"/>
      <c r="G405" s="1479"/>
      <c r="H405" s="1479"/>
      <c r="I405" s="1479"/>
      <c r="J405" s="1479"/>
      <c r="K405" s="1479"/>
    </row>
    <row r="406" spans="1:11">
      <c r="A406" s="1479"/>
      <c r="B406" s="1488"/>
      <c r="C406" s="1479"/>
      <c r="D406" s="1479"/>
      <c r="E406" s="1479"/>
      <c r="F406" s="1479"/>
      <c r="G406" s="1479"/>
      <c r="H406" s="1479"/>
      <c r="I406" s="1479"/>
      <c r="J406" s="1479"/>
      <c r="K406" s="1479"/>
    </row>
    <row r="407" spans="1:11">
      <c r="A407" s="1479"/>
      <c r="B407" s="1488"/>
      <c r="C407" s="1479"/>
      <c r="D407" s="1479"/>
      <c r="E407" s="1479"/>
      <c r="F407" s="1479"/>
      <c r="G407" s="1479"/>
      <c r="H407" s="1479"/>
      <c r="I407" s="1479"/>
      <c r="J407" s="1479"/>
      <c r="K407" s="1479"/>
    </row>
    <row r="408" spans="1:11">
      <c r="A408" s="1479"/>
      <c r="B408" s="1488"/>
      <c r="C408" s="1479"/>
      <c r="D408" s="1479"/>
      <c r="E408" s="1479"/>
      <c r="F408" s="1479"/>
      <c r="G408" s="1479"/>
      <c r="H408" s="1479"/>
      <c r="I408" s="1479"/>
      <c r="J408" s="1479"/>
      <c r="K408" s="1479"/>
    </row>
    <row r="409" spans="1:11">
      <c r="A409" s="1479"/>
      <c r="B409" s="1488"/>
      <c r="C409" s="1479"/>
      <c r="D409" s="1479"/>
      <c r="E409" s="1479"/>
      <c r="F409" s="1479"/>
      <c r="G409" s="1479"/>
      <c r="H409" s="1479"/>
      <c r="I409" s="1479"/>
      <c r="J409" s="1479"/>
      <c r="K409" s="1479"/>
    </row>
    <row r="410" spans="1:11">
      <c r="A410" s="1479"/>
      <c r="B410" s="1488"/>
      <c r="C410" s="1479"/>
      <c r="D410" s="1479"/>
      <c r="E410" s="1479"/>
      <c r="F410" s="1479"/>
      <c r="G410" s="1479"/>
      <c r="H410" s="1479"/>
      <c r="I410" s="1479"/>
      <c r="J410" s="1479"/>
      <c r="K410" s="1479"/>
    </row>
    <row r="411" spans="1:11">
      <c r="A411" s="1479"/>
      <c r="B411" s="1488"/>
      <c r="C411" s="1479"/>
      <c r="D411" s="1479"/>
      <c r="E411" s="1479"/>
      <c r="F411" s="1479"/>
      <c r="G411" s="1479"/>
      <c r="H411" s="1479"/>
      <c r="I411" s="1479"/>
      <c r="J411" s="1479"/>
      <c r="K411" s="1479"/>
    </row>
    <row r="412" spans="1:11">
      <c r="A412" s="1479"/>
      <c r="B412" s="1488"/>
      <c r="C412" s="1479"/>
      <c r="D412" s="1479"/>
      <c r="E412" s="1479"/>
      <c r="F412" s="1479"/>
      <c r="G412" s="1479"/>
      <c r="H412" s="1479"/>
      <c r="I412" s="1479"/>
      <c r="J412" s="1479"/>
      <c r="K412" s="1479"/>
    </row>
    <row r="413" spans="1:11">
      <c r="A413" s="1479"/>
      <c r="B413" s="1488"/>
      <c r="C413" s="1479"/>
      <c r="D413" s="1479"/>
      <c r="E413" s="1479"/>
      <c r="F413" s="1479"/>
      <c r="G413" s="1479"/>
      <c r="H413" s="1479"/>
      <c r="I413" s="1479"/>
      <c r="J413" s="1479"/>
      <c r="K413" s="1479"/>
    </row>
    <row r="414" spans="1:11">
      <c r="A414" s="1479"/>
      <c r="B414" s="1488"/>
      <c r="C414" s="1479"/>
      <c r="D414" s="1479"/>
      <c r="E414" s="1479"/>
      <c r="F414" s="1479"/>
      <c r="G414" s="1479"/>
      <c r="H414" s="1479"/>
      <c r="I414" s="1479"/>
      <c r="J414" s="1479"/>
      <c r="K414" s="1479"/>
    </row>
    <row r="415" spans="1:11">
      <c r="A415" s="1479"/>
      <c r="B415" s="1488"/>
      <c r="C415" s="1479"/>
      <c r="D415" s="1479"/>
      <c r="E415" s="1479"/>
      <c r="F415" s="1479"/>
      <c r="G415" s="1479"/>
      <c r="H415" s="1479"/>
      <c r="I415" s="1479"/>
      <c r="J415" s="1479"/>
      <c r="K415" s="1479"/>
    </row>
    <row r="416" spans="1:11">
      <c r="A416" s="1479"/>
      <c r="B416" s="1488"/>
      <c r="C416" s="1479"/>
      <c r="D416" s="1479"/>
      <c r="E416" s="1479"/>
      <c r="F416" s="1479"/>
      <c r="G416" s="1479"/>
      <c r="H416" s="1479"/>
      <c r="I416" s="1479"/>
      <c r="J416" s="1479"/>
      <c r="K416" s="1479"/>
    </row>
    <row r="417" spans="1:11">
      <c r="A417" s="1479"/>
      <c r="B417" s="1488"/>
      <c r="C417" s="1479"/>
      <c r="D417" s="1479"/>
      <c r="E417" s="1479"/>
      <c r="F417" s="1479"/>
      <c r="G417" s="1479"/>
      <c r="H417" s="1479"/>
      <c r="I417" s="1479"/>
      <c r="J417" s="1479"/>
      <c r="K417" s="1479"/>
    </row>
    <row r="418" spans="1:11">
      <c r="A418" s="1479"/>
      <c r="B418" s="1488"/>
      <c r="C418" s="1479"/>
      <c r="D418" s="1479"/>
      <c r="E418" s="1479"/>
      <c r="F418" s="1479"/>
      <c r="G418" s="1479"/>
      <c r="H418" s="1479"/>
      <c r="I418" s="1479"/>
      <c r="J418" s="1479"/>
      <c r="K418" s="1479"/>
    </row>
    <row r="419" spans="1:11">
      <c r="A419" s="1479"/>
      <c r="B419" s="1488"/>
      <c r="C419" s="1479"/>
      <c r="D419" s="1479"/>
      <c r="E419" s="1479"/>
      <c r="F419" s="1479"/>
      <c r="G419" s="1479"/>
      <c r="H419" s="1479"/>
      <c r="I419" s="1479"/>
      <c r="J419" s="1479"/>
      <c r="K419" s="1479"/>
    </row>
    <row r="420" spans="1:11">
      <c r="A420" s="1479"/>
      <c r="B420" s="1488"/>
      <c r="C420" s="1479"/>
      <c r="D420" s="1479"/>
      <c r="E420" s="1479"/>
      <c r="F420" s="1479"/>
      <c r="G420" s="1479"/>
      <c r="H420" s="1479"/>
      <c r="I420" s="1479"/>
      <c r="J420" s="1479"/>
      <c r="K420" s="1479"/>
    </row>
    <row r="421" spans="1:11">
      <c r="A421" s="1479"/>
      <c r="B421" s="1488"/>
      <c r="C421" s="1479"/>
      <c r="D421" s="1479"/>
      <c r="E421" s="1479"/>
      <c r="F421" s="1479"/>
      <c r="G421" s="1479"/>
      <c r="H421" s="1479"/>
      <c r="I421" s="1479"/>
      <c r="J421" s="1479"/>
      <c r="K421" s="1479"/>
    </row>
    <row r="422" spans="1:11">
      <c r="A422" s="1479"/>
      <c r="B422" s="1488"/>
      <c r="C422" s="1479"/>
      <c r="D422" s="1479"/>
      <c r="E422" s="1479"/>
      <c r="F422" s="1479"/>
      <c r="G422" s="1479"/>
      <c r="H422" s="1479"/>
      <c r="I422" s="1479"/>
      <c r="J422" s="1479"/>
      <c r="K422" s="1479"/>
    </row>
    <row r="423" spans="1:11">
      <c r="A423" s="1479"/>
      <c r="B423" s="1488"/>
      <c r="C423" s="1479"/>
      <c r="D423" s="1479"/>
      <c r="E423" s="1479"/>
      <c r="F423" s="1479"/>
      <c r="G423" s="1479"/>
      <c r="H423" s="1479"/>
      <c r="I423" s="1479"/>
      <c r="J423" s="1479"/>
      <c r="K423" s="1479"/>
    </row>
    <row r="424" spans="1:11">
      <c r="A424" s="1479"/>
      <c r="B424" s="1488"/>
      <c r="C424" s="1479"/>
      <c r="D424" s="1479"/>
      <c r="E424" s="1479"/>
      <c r="F424" s="1479"/>
      <c r="G424" s="1479"/>
      <c r="H424" s="1479"/>
      <c r="I424" s="1479"/>
      <c r="J424" s="1479"/>
      <c r="K424" s="1479"/>
    </row>
    <row r="425" spans="1:11">
      <c r="A425" s="1479"/>
      <c r="B425" s="1488"/>
      <c r="C425" s="1479"/>
      <c r="D425" s="1479"/>
      <c r="E425" s="1479"/>
      <c r="F425" s="1479"/>
      <c r="G425" s="1479"/>
      <c r="H425" s="1479"/>
      <c r="I425" s="1479"/>
      <c r="J425" s="1479"/>
      <c r="K425" s="1479"/>
    </row>
    <row r="426" spans="1:11">
      <c r="A426" s="1479"/>
      <c r="B426" s="1488"/>
      <c r="C426" s="1479"/>
      <c r="D426" s="1479"/>
      <c r="E426" s="1479"/>
      <c r="F426" s="1479"/>
      <c r="G426" s="1479"/>
      <c r="H426" s="1479"/>
      <c r="I426" s="1479"/>
      <c r="J426" s="1479"/>
      <c r="K426" s="1479"/>
    </row>
    <row r="427" spans="1:11">
      <c r="A427" s="1479"/>
      <c r="B427" s="1488"/>
      <c r="C427" s="1479"/>
      <c r="D427" s="1479"/>
      <c r="E427" s="1479"/>
      <c r="F427" s="1479"/>
      <c r="G427" s="1479"/>
      <c r="H427" s="1479"/>
      <c r="I427" s="1479"/>
      <c r="J427" s="1479"/>
      <c r="K427" s="1479"/>
    </row>
    <row r="428" spans="1:11">
      <c r="A428" s="1479"/>
      <c r="B428" s="1488"/>
      <c r="C428" s="1479"/>
      <c r="D428" s="1479"/>
      <c r="E428" s="1479"/>
      <c r="F428" s="1479"/>
      <c r="G428" s="1479"/>
      <c r="H428" s="1479"/>
      <c r="I428" s="1479"/>
      <c r="J428" s="1479"/>
      <c r="K428" s="1479"/>
    </row>
    <row r="429" spans="1:11">
      <c r="A429" s="1479"/>
      <c r="B429" s="1488"/>
      <c r="C429" s="1479"/>
      <c r="D429" s="1479"/>
      <c r="E429" s="1479"/>
      <c r="F429" s="1479"/>
      <c r="G429" s="1479"/>
      <c r="H429" s="1479"/>
      <c r="I429" s="1479"/>
      <c r="J429" s="1479"/>
      <c r="K429" s="1479"/>
    </row>
    <row r="430" spans="1:11">
      <c r="A430" s="1479"/>
      <c r="B430" s="1488"/>
      <c r="C430" s="1479"/>
      <c r="D430" s="1479"/>
      <c r="E430" s="1479"/>
      <c r="F430" s="1479"/>
      <c r="G430" s="1479"/>
      <c r="H430" s="1479"/>
      <c r="I430" s="1479"/>
      <c r="J430" s="1479"/>
      <c r="K430" s="1479"/>
    </row>
    <row r="431" spans="1:11">
      <c r="A431" s="1479"/>
      <c r="B431" s="1488"/>
      <c r="C431" s="1479"/>
      <c r="D431" s="1479"/>
      <c r="E431" s="1479"/>
      <c r="F431" s="1479"/>
      <c r="G431" s="1479"/>
      <c r="H431" s="1479"/>
      <c r="I431" s="1479"/>
      <c r="J431" s="1479"/>
      <c r="K431" s="1479"/>
    </row>
    <row r="432" spans="1:11">
      <c r="A432" s="1479"/>
      <c r="B432" s="1488"/>
      <c r="C432" s="1479"/>
      <c r="D432" s="1479"/>
      <c r="E432" s="1479"/>
      <c r="F432" s="1479"/>
      <c r="G432" s="1479"/>
      <c r="H432" s="1479"/>
      <c r="I432" s="1479"/>
      <c r="J432" s="1479"/>
      <c r="K432" s="1479"/>
    </row>
    <row r="433" spans="1:11">
      <c r="A433" s="1479"/>
      <c r="B433" s="1488"/>
      <c r="C433" s="1479"/>
      <c r="D433" s="1479"/>
      <c r="E433" s="1479"/>
      <c r="F433" s="1479"/>
      <c r="G433" s="1479"/>
      <c r="H433" s="1479"/>
      <c r="I433" s="1479"/>
      <c r="J433" s="1479"/>
      <c r="K433" s="1479"/>
    </row>
    <row r="434" spans="1:11">
      <c r="A434" s="1479"/>
      <c r="B434" s="1488"/>
      <c r="C434" s="1479"/>
      <c r="D434" s="1479"/>
      <c r="E434" s="1479"/>
      <c r="F434" s="1479"/>
      <c r="G434" s="1479"/>
      <c r="H434" s="1479"/>
      <c r="I434" s="1479"/>
      <c r="J434" s="1479"/>
      <c r="K434" s="1479"/>
    </row>
    <row r="435" spans="1:11">
      <c r="A435" s="1479"/>
      <c r="B435" s="1488"/>
      <c r="C435" s="1479"/>
      <c r="D435" s="1479"/>
      <c r="E435" s="1479"/>
      <c r="F435" s="1479"/>
      <c r="G435" s="1479"/>
      <c r="H435" s="1479"/>
      <c r="I435" s="1479"/>
      <c r="J435" s="1479"/>
      <c r="K435" s="1479"/>
    </row>
    <row r="436" spans="1:11">
      <c r="A436" s="1479"/>
      <c r="B436" s="1488"/>
      <c r="C436" s="1479"/>
      <c r="D436" s="1479"/>
      <c r="E436" s="1479"/>
      <c r="F436" s="1479"/>
      <c r="G436" s="1479"/>
      <c r="H436" s="1479"/>
      <c r="I436" s="1479"/>
      <c r="J436" s="1479"/>
      <c r="K436" s="1479"/>
    </row>
    <row r="437" spans="1:11">
      <c r="A437" s="1479"/>
      <c r="B437" s="1488"/>
      <c r="C437" s="1479"/>
      <c r="D437" s="1479"/>
      <c r="E437" s="1479"/>
      <c r="F437" s="1479"/>
      <c r="G437" s="1479"/>
      <c r="H437" s="1479"/>
      <c r="I437" s="1479"/>
      <c r="J437" s="1479"/>
      <c r="K437" s="1479"/>
    </row>
    <row r="438" spans="1:11">
      <c r="A438" s="1479"/>
      <c r="B438" s="1488"/>
      <c r="C438" s="1479"/>
      <c r="D438" s="1479"/>
      <c r="E438" s="1479"/>
      <c r="F438" s="1479"/>
      <c r="G438" s="1479"/>
      <c r="H438" s="1479"/>
      <c r="I438" s="1479"/>
      <c r="J438" s="1479"/>
      <c r="K438" s="1479"/>
    </row>
    <row r="439" spans="1:11">
      <c r="A439" s="1479"/>
      <c r="B439" s="1488"/>
      <c r="C439" s="1479"/>
      <c r="D439" s="1479"/>
      <c r="E439" s="1479"/>
      <c r="F439" s="1479"/>
      <c r="G439" s="1479"/>
      <c r="H439" s="1479"/>
      <c r="I439" s="1479"/>
      <c r="J439" s="1479"/>
      <c r="K439" s="1479"/>
    </row>
    <row r="440" spans="1:11">
      <c r="A440" s="1479"/>
      <c r="B440" s="1488"/>
      <c r="C440" s="1479"/>
      <c r="D440" s="1479"/>
      <c r="E440" s="1479"/>
      <c r="F440" s="1479"/>
      <c r="G440" s="1479"/>
      <c r="H440" s="1479"/>
      <c r="I440" s="1479"/>
      <c r="J440" s="1479"/>
      <c r="K440" s="1479"/>
    </row>
    <row r="441" spans="1:11">
      <c r="A441" s="1479"/>
      <c r="B441" s="1488"/>
      <c r="C441" s="1479"/>
      <c r="D441" s="1479"/>
      <c r="E441" s="1479"/>
      <c r="F441" s="1479"/>
      <c r="G441" s="1479"/>
      <c r="H441" s="1479"/>
      <c r="I441" s="1479"/>
      <c r="J441" s="1479"/>
      <c r="K441" s="1479"/>
    </row>
    <row r="442" spans="1:11">
      <c r="A442" s="1479"/>
      <c r="B442" s="1488"/>
      <c r="C442" s="1479"/>
      <c r="D442" s="1479"/>
      <c r="E442" s="1479"/>
      <c r="F442" s="1479"/>
      <c r="G442" s="1479"/>
      <c r="H442" s="1479"/>
      <c r="I442" s="1479"/>
      <c r="J442" s="1479"/>
      <c r="K442" s="1479"/>
    </row>
    <row r="443" spans="1:11">
      <c r="A443" s="1479"/>
      <c r="B443" s="1488"/>
      <c r="C443" s="1479"/>
      <c r="D443" s="1479"/>
      <c r="E443" s="1479"/>
      <c r="F443" s="1479"/>
      <c r="G443" s="1479"/>
      <c r="H443" s="1479"/>
      <c r="I443" s="1479"/>
      <c r="J443" s="1479"/>
      <c r="K443" s="1479"/>
    </row>
    <row r="444" spans="1:11">
      <c r="A444" s="1479"/>
      <c r="B444" s="1488"/>
      <c r="C444" s="1479"/>
      <c r="D444" s="1479"/>
      <c r="E444" s="1479"/>
      <c r="F444" s="1479"/>
      <c r="G444" s="1479"/>
      <c r="H444" s="1479"/>
      <c r="I444" s="1479"/>
      <c r="J444" s="1479"/>
      <c r="K444" s="1479"/>
    </row>
    <row r="445" spans="1:11">
      <c r="A445" s="1479"/>
      <c r="B445" s="1488"/>
      <c r="C445" s="1479"/>
      <c r="D445" s="1479"/>
      <c r="E445" s="1479"/>
      <c r="F445" s="1479"/>
      <c r="G445" s="1479"/>
      <c r="H445" s="1479"/>
      <c r="I445" s="1479"/>
      <c r="J445" s="1479"/>
      <c r="K445" s="1479"/>
    </row>
    <row r="446" spans="1:11">
      <c r="A446" s="1479"/>
      <c r="B446" s="1488"/>
      <c r="C446" s="1479"/>
      <c r="D446" s="1479"/>
      <c r="E446" s="1479"/>
      <c r="F446" s="1479"/>
      <c r="G446" s="1479"/>
      <c r="H446" s="1479"/>
      <c r="I446" s="1479"/>
      <c r="J446" s="1479"/>
      <c r="K446" s="1479"/>
    </row>
    <row r="447" spans="1:11">
      <c r="A447" s="1479"/>
      <c r="B447" s="1488"/>
      <c r="C447" s="1479"/>
      <c r="D447" s="1479"/>
      <c r="E447" s="1479"/>
      <c r="F447" s="1479"/>
      <c r="G447" s="1479"/>
      <c r="H447" s="1479"/>
      <c r="I447" s="1479"/>
      <c r="J447" s="1479"/>
      <c r="K447" s="1479"/>
    </row>
    <row r="448" spans="1:11">
      <c r="A448" s="1479"/>
      <c r="B448" s="1488"/>
      <c r="C448" s="1479"/>
      <c r="D448" s="1479"/>
      <c r="E448" s="1479"/>
      <c r="F448" s="1479"/>
      <c r="G448" s="1479"/>
      <c r="H448" s="1479"/>
      <c r="I448" s="1479"/>
      <c r="J448" s="1479"/>
      <c r="K448" s="1479"/>
    </row>
    <row r="449" spans="1:11">
      <c r="A449" s="1479"/>
      <c r="B449" s="1488"/>
      <c r="C449" s="1479"/>
      <c r="D449" s="1479"/>
      <c r="E449" s="1479"/>
      <c r="F449" s="1479"/>
      <c r="G449" s="1479"/>
      <c r="H449" s="1479"/>
      <c r="I449" s="1479"/>
      <c r="J449" s="1479"/>
      <c r="K449" s="1479"/>
    </row>
    <row r="450" spans="1:11">
      <c r="A450" s="1479"/>
      <c r="B450" s="1488"/>
      <c r="C450" s="1479"/>
      <c r="D450" s="1479"/>
      <c r="E450" s="1479"/>
      <c r="F450" s="1479"/>
      <c r="G450" s="1479"/>
      <c r="H450" s="1479"/>
      <c r="I450" s="1479"/>
      <c r="J450" s="1479"/>
      <c r="K450" s="1479"/>
    </row>
    <row r="451" spans="1:11">
      <c r="A451" s="1479"/>
      <c r="B451" s="1488"/>
      <c r="C451" s="1479"/>
      <c r="D451" s="1479"/>
      <c r="E451" s="1479"/>
      <c r="F451" s="1479"/>
      <c r="G451" s="1479"/>
      <c r="H451" s="1479"/>
      <c r="I451" s="1479"/>
      <c r="J451" s="1479"/>
      <c r="K451" s="1479"/>
    </row>
    <row r="452" spans="1:11">
      <c r="A452" s="1479"/>
      <c r="B452" s="1488"/>
      <c r="C452" s="1479"/>
      <c r="D452" s="1479"/>
      <c r="E452" s="1479"/>
      <c r="F452" s="1479"/>
      <c r="G452" s="1479"/>
      <c r="H452" s="1479"/>
      <c r="I452" s="1479"/>
      <c r="J452" s="1479"/>
      <c r="K452" s="1479"/>
    </row>
    <row r="453" spans="1:11">
      <c r="A453" s="1479"/>
      <c r="B453" s="1488"/>
      <c r="C453" s="1479"/>
      <c r="D453" s="1479"/>
      <c r="E453" s="1479"/>
      <c r="F453" s="1479"/>
      <c r="G453" s="1479"/>
      <c r="H453" s="1479"/>
      <c r="I453" s="1479"/>
      <c r="J453" s="1479"/>
      <c r="K453" s="1479"/>
    </row>
    <row r="454" spans="1:11">
      <c r="A454" s="1479"/>
      <c r="B454" s="1488"/>
      <c r="C454" s="1479"/>
      <c r="D454" s="1479"/>
      <c r="E454" s="1479"/>
      <c r="F454" s="1479"/>
      <c r="G454" s="1479"/>
      <c r="H454" s="1479"/>
      <c r="I454" s="1479"/>
      <c r="J454" s="1479"/>
      <c r="K454" s="1479"/>
    </row>
    <row r="455" spans="1:11">
      <c r="A455" s="1479"/>
      <c r="B455" s="1488"/>
      <c r="C455" s="1479"/>
      <c r="D455" s="1479"/>
      <c r="E455" s="1479"/>
      <c r="F455" s="1479"/>
      <c r="G455" s="1479"/>
      <c r="H455" s="1479"/>
      <c r="I455" s="1479"/>
      <c r="J455" s="1479"/>
      <c r="K455" s="1479"/>
    </row>
    <row r="456" spans="1:11">
      <c r="A456" s="1479"/>
      <c r="B456" s="1488"/>
      <c r="C456" s="1479"/>
      <c r="D456" s="1479"/>
      <c r="E456" s="1479"/>
      <c r="F456" s="1479"/>
      <c r="G456" s="1479"/>
      <c r="H456" s="1479"/>
      <c r="I456" s="1479"/>
      <c r="J456" s="1479"/>
      <c r="K456" s="1479"/>
    </row>
    <row r="457" spans="1:11">
      <c r="A457" s="1479"/>
      <c r="B457" s="1488"/>
      <c r="C457" s="1479"/>
      <c r="D457" s="1479"/>
      <c r="E457" s="1479"/>
      <c r="F457" s="1479"/>
      <c r="G457" s="1479"/>
      <c r="H457" s="1479"/>
      <c r="I457" s="1479"/>
      <c r="J457" s="1479"/>
      <c r="K457" s="1479"/>
    </row>
    <row r="458" spans="1:11">
      <c r="A458" s="1479"/>
      <c r="B458" s="1488"/>
      <c r="C458" s="1479"/>
      <c r="D458" s="1479"/>
      <c r="E458" s="1479"/>
      <c r="F458" s="1479"/>
      <c r="G458" s="1479"/>
      <c r="H458" s="1479"/>
      <c r="I458" s="1479"/>
      <c r="J458" s="1479"/>
      <c r="K458" s="1479"/>
    </row>
    <row r="459" spans="1:11">
      <c r="A459" s="1479"/>
      <c r="B459" s="1488"/>
      <c r="C459" s="1479"/>
      <c r="D459" s="1479"/>
      <c r="E459" s="1479"/>
      <c r="F459" s="1479"/>
      <c r="G459" s="1479"/>
      <c r="H459" s="1479"/>
      <c r="I459" s="1479"/>
      <c r="J459" s="1479"/>
      <c r="K459" s="1479"/>
    </row>
    <row r="460" spans="1:11">
      <c r="A460" s="1479"/>
      <c r="B460" s="1488"/>
      <c r="C460" s="1479"/>
      <c r="D460" s="1479"/>
      <c r="E460" s="1479"/>
      <c r="F460" s="1479"/>
      <c r="G460" s="1479"/>
      <c r="H460" s="1479"/>
      <c r="I460" s="1479"/>
      <c r="J460" s="1479"/>
      <c r="K460" s="1479"/>
    </row>
    <row r="461" spans="1:11">
      <c r="A461" s="1479"/>
      <c r="B461" s="1488"/>
      <c r="C461" s="1479"/>
      <c r="D461" s="1479"/>
      <c r="E461" s="1479"/>
      <c r="F461" s="1479"/>
      <c r="G461" s="1479"/>
      <c r="H461" s="1479"/>
      <c r="I461" s="1479"/>
      <c r="J461" s="1479"/>
      <c r="K461" s="1479"/>
    </row>
    <row r="462" spans="1:11">
      <c r="A462" s="1479"/>
      <c r="B462" s="1488"/>
      <c r="C462" s="1479"/>
      <c r="D462" s="1479"/>
      <c r="E462" s="1479"/>
      <c r="F462" s="1479"/>
      <c r="G462" s="1479"/>
      <c r="H462" s="1479"/>
      <c r="I462" s="1479"/>
      <c r="J462" s="1479"/>
      <c r="K462" s="1479"/>
    </row>
    <row r="463" spans="1:11">
      <c r="A463" s="1479"/>
      <c r="B463" s="1488"/>
      <c r="C463" s="1479"/>
      <c r="D463" s="1479"/>
      <c r="E463" s="1479"/>
      <c r="F463" s="1479"/>
      <c r="G463" s="1479"/>
      <c r="H463" s="1479"/>
      <c r="I463" s="1479"/>
      <c r="J463" s="1479"/>
      <c r="K463" s="1479"/>
    </row>
    <row r="464" spans="1:11">
      <c r="A464" s="1479"/>
      <c r="B464" s="1488"/>
      <c r="C464" s="1479"/>
      <c r="D464" s="1479"/>
      <c r="E464" s="1479"/>
      <c r="F464" s="1479"/>
      <c r="G464" s="1479"/>
      <c r="H464" s="1479"/>
      <c r="I464" s="1479"/>
      <c r="J464" s="1479"/>
      <c r="K464" s="1479"/>
    </row>
    <row r="465" spans="1:11">
      <c r="A465" s="1479"/>
      <c r="B465" s="1488"/>
      <c r="C465" s="1479"/>
      <c r="D465" s="1479"/>
      <c r="E465" s="1479"/>
      <c r="F465" s="1479"/>
      <c r="G465" s="1479"/>
      <c r="H465" s="1479"/>
      <c r="I465" s="1479"/>
      <c r="J465" s="1479"/>
      <c r="K465" s="1479"/>
    </row>
    <row r="466" spans="1:11">
      <c r="A466" s="1479"/>
      <c r="B466" s="1488"/>
      <c r="C466" s="1479"/>
      <c r="D466" s="1479"/>
      <c r="E466" s="1479"/>
      <c r="F466" s="1479"/>
      <c r="G466" s="1479"/>
      <c r="H466" s="1479"/>
      <c r="I466" s="1479"/>
      <c r="J466" s="1479"/>
      <c r="K466" s="1479"/>
    </row>
    <row r="467" spans="1:11">
      <c r="A467" s="1479"/>
      <c r="B467" s="1488"/>
      <c r="C467" s="1479"/>
      <c r="D467" s="1479"/>
      <c r="E467" s="1479"/>
      <c r="F467" s="1479"/>
      <c r="G467" s="1479"/>
      <c r="H467" s="1479"/>
      <c r="I467" s="1479"/>
      <c r="J467" s="1479"/>
      <c r="K467" s="1479"/>
    </row>
    <row r="468" spans="1:11">
      <c r="A468" s="1479"/>
      <c r="B468" s="1488"/>
      <c r="C468" s="1479"/>
      <c r="D468" s="1479"/>
      <c r="E468" s="1479"/>
      <c r="F468" s="1479"/>
      <c r="G468" s="1479"/>
      <c r="H468" s="1479"/>
      <c r="I468" s="1479"/>
      <c r="J468" s="1479"/>
      <c r="K468" s="1479"/>
    </row>
    <row r="469" spans="1:11">
      <c r="A469" s="1479"/>
      <c r="B469" s="1488"/>
      <c r="C469" s="1479"/>
      <c r="D469" s="1479"/>
      <c r="E469" s="1479"/>
      <c r="F469" s="1479"/>
      <c r="G469" s="1479"/>
      <c r="H469" s="1479"/>
      <c r="I469" s="1479"/>
      <c r="J469" s="1479"/>
      <c r="K469" s="1479"/>
    </row>
    <row r="470" spans="1:11">
      <c r="A470" s="1479"/>
      <c r="B470" s="1488"/>
      <c r="C470" s="1479"/>
      <c r="D470" s="1479"/>
      <c r="E470" s="1479"/>
      <c r="F470" s="1479"/>
      <c r="G470" s="1479"/>
      <c r="H470" s="1479"/>
      <c r="I470" s="1479"/>
      <c r="J470" s="1479"/>
      <c r="K470" s="1479"/>
    </row>
    <row r="471" spans="1:11">
      <c r="A471" s="1479"/>
      <c r="B471" s="1488"/>
      <c r="C471" s="1479"/>
      <c r="D471" s="1479"/>
      <c r="E471" s="1479"/>
      <c r="F471" s="1479"/>
      <c r="G471" s="1479"/>
      <c r="H471" s="1479"/>
      <c r="I471" s="1479"/>
      <c r="J471" s="1479"/>
      <c r="K471" s="1479"/>
    </row>
    <row r="472" spans="1:11">
      <c r="A472" s="1479"/>
      <c r="B472" s="1488"/>
      <c r="C472" s="1479"/>
      <c r="D472" s="1479"/>
      <c r="E472" s="1479"/>
      <c r="F472" s="1479"/>
      <c r="G472" s="1479"/>
      <c r="H472" s="1479"/>
      <c r="I472" s="1479"/>
      <c r="J472" s="1479"/>
      <c r="K472" s="1479"/>
    </row>
    <row r="473" spans="1:11">
      <c r="A473" s="1479"/>
      <c r="B473" s="1488"/>
      <c r="C473" s="1479"/>
      <c r="D473" s="1479"/>
      <c r="E473" s="1479"/>
      <c r="F473" s="1479"/>
      <c r="G473" s="1479"/>
      <c r="H473" s="1479"/>
      <c r="I473" s="1479"/>
      <c r="J473" s="1479"/>
      <c r="K473" s="1479"/>
    </row>
    <row r="474" spans="1:11">
      <c r="A474" s="1479"/>
      <c r="B474" s="1488"/>
      <c r="C474" s="1479"/>
      <c r="D474" s="1479"/>
      <c r="E474" s="1479"/>
      <c r="F474" s="1479"/>
      <c r="G474" s="1479"/>
      <c r="H474" s="1479"/>
      <c r="I474" s="1479"/>
      <c r="J474" s="1479"/>
      <c r="K474" s="1479"/>
    </row>
    <row r="475" spans="1:11">
      <c r="A475" s="1479"/>
      <c r="B475" s="1488"/>
      <c r="C475" s="1479"/>
      <c r="D475" s="1479"/>
      <c r="E475" s="1479"/>
      <c r="F475" s="1479"/>
      <c r="G475" s="1479"/>
      <c r="H475" s="1479"/>
      <c r="I475" s="1479"/>
      <c r="J475" s="1479"/>
      <c r="K475" s="1479"/>
    </row>
    <row r="476" spans="1:11">
      <c r="A476" s="1479"/>
      <c r="B476" s="1488"/>
      <c r="C476" s="1479"/>
      <c r="D476" s="1479"/>
      <c r="E476" s="1479"/>
      <c r="F476" s="1479"/>
      <c r="G476" s="1479"/>
      <c r="H476" s="1479"/>
      <c r="I476" s="1479"/>
      <c r="J476" s="1479"/>
      <c r="K476" s="1479"/>
    </row>
    <row r="477" spans="1:11">
      <c r="A477" s="1479"/>
      <c r="B477" s="1488"/>
      <c r="C477" s="1479"/>
      <c r="D477" s="1479"/>
      <c r="E477" s="1479"/>
      <c r="F477" s="1479"/>
      <c r="G477" s="1479"/>
      <c r="H477" s="1479"/>
      <c r="I477" s="1479"/>
      <c r="J477" s="1479"/>
      <c r="K477" s="1479"/>
    </row>
    <row r="478" spans="1:11">
      <c r="A478" s="1479"/>
      <c r="B478" s="1488"/>
      <c r="C478" s="1479"/>
      <c r="D478" s="1479"/>
      <c r="E478" s="1479"/>
      <c r="F478" s="1479"/>
      <c r="G478" s="1479"/>
      <c r="H478" s="1479"/>
      <c r="I478" s="1479"/>
      <c r="J478" s="1479"/>
      <c r="K478" s="1479"/>
    </row>
    <row r="479" spans="1:11">
      <c r="A479" s="1479"/>
      <c r="B479" s="1488"/>
      <c r="C479" s="1479"/>
      <c r="D479" s="1479"/>
      <c r="E479" s="1479"/>
      <c r="F479" s="1479"/>
      <c r="G479" s="1479"/>
      <c r="H479" s="1479"/>
      <c r="I479" s="1479"/>
      <c r="J479" s="1479"/>
      <c r="K479" s="1479"/>
    </row>
    <row r="480" spans="1:11">
      <c r="A480" s="1479"/>
      <c r="B480" s="1488"/>
      <c r="C480" s="1479"/>
      <c r="D480" s="1479"/>
      <c r="E480" s="1479"/>
      <c r="F480" s="1479"/>
      <c r="G480" s="1479"/>
      <c r="H480" s="1479"/>
      <c r="I480" s="1479"/>
      <c r="J480" s="1479"/>
      <c r="K480" s="1479"/>
    </row>
    <row r="481" spans="1:11">
      <c r="A481" s="1479"/>
      <c r="B481" s="1488"/>
      <c r="C481" s="1479"/>
      <c r="D481" s="1479"/>
      <c r="E481" s="1479"/>
      <c r="F481" s="1479"/>
      <c r="G481" s="1479"/>
      <c r="H481" s="1479"/>
      <c r="I481" s="1479"/>
      <c r="J481" s="1479"/>
      <c r="K481" s="1479"/>
    </row>
    <row r="482" spans="1:11">
      <c r="A482" s="1479"/>
      <c r="B482" s="1488"/>
      <c r="C482" s="1479"/>
      <c r="D482" s="1479"/>
      <c r="E482" s="1479"/>
      <c r="F482" s="1479"/>
      <c r="G482" s="1479"/>
      <c r="H482" s="1479"/>
      <c r="I482" s="1479"/>
      <c r="J482" s="1479"/>
      <c r="K482" s="1479"/>
    </row>
    <row r="483" spans="1:11">
      <c r="A483" s="1479"/>
      <c r="B483" s="1488"/>
      <c r="C483" s="1479"/>
      <c r="D483" s="1479"/>
      <c r="E483" s="1479"/>
      <c r="F483" s="1479"/>
      <c r="G483" s="1479"/>
      <c r="H483" s="1479"/>
      <c r="I483" s="1479"/>
      <c r="J483" s="1479"/>
      <c r="K483" s="1479"/>
    </row>
    <row r="484" spans="1:11">
      <c r="A484" s="1479"/>
      <c r="B484" s="1488"/>
      <c r="C484" s="1479"/>
      <c r="D484" s="1479"/>
      <c r="E484" s="1479"/>
      <c r="F484" s="1479"/>
      <c r="G484" s="1479"/>
      <c r="H484" s="1479"/>
      <c r="I484" s="1479"/>
      <c r="J484" s="1479"/>
      <c r="K484" s="1479"/>
    </row>
    <row r="485" spans="1:11">
      <c r="A485" s="1479"/>
      <c r="B485" s="1488"/>
      <c r="C485" s="1479"/>
      <c r="D485" s="1479"/>
      <c r="E485" s="1479"/>
      <c r="F485" s="1479"/>
      <c r="G485" s="1479"/>
      <c r="H485" s="1479"/>
      <c r="I485" s="1479"/>
      <c r="J485" s="1479"/>
      <c r="K485" s="1479"/>
    </row>
    <row r="486" spans="1:11">
      <c r="A486" s="1479"/>
      <c r="B486" s="1488"/>
      <c r="C486" s="1479"/>
      <c r="D486" s="1479"/>
      <c r="E486" s="1479"/>
      <c r="F486" s="1479"/>
      <c r="G486" s="1479"/>
      <c r="H486" s="1479"/>
      <c r="I486" s="1479"/>
      <c r="J486" s="1479"/>
      <c r="K486" s="1479"/>
    </row>
    <row r="487" spans="1:11">
      <c r="A487" s="1479"/>
      <c r="B487" s="1488"/>
      <c r="C487" s="1479"/>
      <c r="D487" s="1479"/>
      <c r="E487" s="1479"/>
      <c r="F487" s="1479"/>
      <c r="G487" s="1479"/>
      <c r="H487" s="1479"/>
      <c r="I487" s="1479"/>
      <c r="J487" s="1479"/>
      <c r="K487" s="1479"/>
    </row>
  </sheetData>
  <mergeCells count="8">
    <mergeCell ref="C59:E59"/>
    <mergeCell ref="C60:E60"/>
    <mergeCell ref="C61:E61"/>
    <mergeCell ref="E1:F1"/>
    <mergeCell ref="C15:D15"/>
    <mergeCell ref="E15:F15"/>
    <mergeCell ref="C57:E57"/>
    <mergeCell ref="C58:E5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BE1E-065A-488F-A8CE-1CC399F1DC6D}">
  <sheetPr codeName="Sheet19"/>
  <dimension ref="A1:M98"/>
  <sheetViews>
    <sheetView showGridLines="0" showZeros="0" topLeftCell="A13" zoomScale="140" zoomScaleNormal="100" zoomScaleSheetLayoutView="100" workbookViewId="0">
      <selection activeCell="D16" sqref="D16"/>
    </sheetView>
  </sheetViews>
  <sheetFormatPr defaultColWidth="8.84375" defaultRowHeight="10.5"/>
  <cols>
    <col min="1" max="3" width="8.84375" style="168" customWidth="1"/>
    <col min="4" max="4" width="11.15234375" style="168" bestFit="1" customWidth="1"/>
    <col min="5" max="8" width="8.84375" style="168" customWidth="1"/>
    <col min="9" max="9" width="16" style="178" customWidth="1"/>
    <col min="10" max="16384" width="8.84375" style="168"/>
  </cols>
  <sheetData>
    <row r="1" spans="1:10" ht="13.15" customHeight="1">
      <c r="A1" s="2022" t="s">
        <v>1537</v>
      </c>
      <c r="B1" s="2023"/>
      <c r="C1" s="2004" t="s">
        <v>382</v>
      </c>
      <c r="D1" s="2005"/>
      <c r="E1" s="2005"/>
      <c r="F1" s="2005"/>
      <c r="G1" s="2005"/>
      <c r="H1" s="2005"/>
      <c r="I1" s="2006"/>
    </row>
    <row r="2" spans="1:10" ht="13.9" customHeight="1" thickBot="1">
      <c r="A2" s="2024"/>
      <c r="B2" s="2025"/>
      <c r="C2" s="2010" t="s">
        <v>374</v>
      </c>
      <c r="D2" s="2011"/>
      <c r="E2" s="169"/>
      <c r="F2" s="169"/>
      <c r="G2" s="2008" t="s">
        <v>657</v>
      </c>
      <c r="H2" s="2009"/>
      <c r="I2" s="197" t="s">
        <v>379</v>
      </c>
    </row>
    <row r="3" spans="1:10" ht="13.15" customHeight="1" thickBot="1">
      <c r="A3" s="658"/>
      <c r="B3" s="659"/>
      <c r="C3" s="660" t="str">
        <f>'Completion &amp; Workover Detail'!A8</f>
        <v>COMPLETION / WORKOVER INTANGIBLE COSTS</v>
      </c>
      <c r="D3" s="661"/>
      <c r="E3" s="662"/>
      <c r="F3" s="662"/>
      <c r="G3" s="663"/>
      <c r="H3" s="664"/>
      <c r="I3" s="665"/>
      <c r="J3" s="168" t="str">
        <f t="shared" ref="J3:J9" si="0">IF(I3&gt;0,IF(G3&gt;I3,"OVER",IF(I3&gt;G3,"UNDER","OVER")),IF(G3=I3," ","OVER "))</f>
        <v xml:space="preserve"> </v>
      </c>
    </row>
    <row r="4" spans="1:10" ht="15.75" customHeight="1">
      <c r="A4" s="2002">
        <f>'Completion &amp; Workover Detail'!A10</f>
        <v>0</v>
      </c>
      <c r="B4" s="2003"/>
      <c r="C4" s="172" t="str">
        <f>'Completion &amp; Workover Detail'!B10</f>
        <v>Service Rig</v>
      </c>
      <c r="D4" s="172"/>
      <c r="E4" s="172"/>
      <c r="F4" s="172"/>
      <c r="G4" s="2007">
        <f>'Cost Control'!O174+'Cost Control'!O96+'Cost Control'!O18</f>
        <v>0</v>
      </c>
      <c r="H4" s="2007"/>
      <c r="I4" s="177"/>
      <c r="J4" s="168" t="str">
        <f t="shared" si="0"/>
        <v xml:space="preserve"> </v>
      </c>
    </row>
    <row r="5" spans="1:10" ht="15.75" customHeight="1">
      <c r="A5" s="2002">
        <f>'Completion &amp; Workover Detail'!A11</f>
        <v>0</v>
      </c>
      <c r="B5" s="2003"/>
      <c r="C5" s="172" t="str">
        <f>'Completion &amp; Workover Detail'!B11</f>
        <v>Anchors</v>
      </c>
      <c r="D5" s="172"/>
      <c r="E5" s="172"/>
      <c r="F5" s="172"/>
      <c r="G5" s="2001">
        <f>'Cost Control'!O19+'Cost Control'!O97+'Cost Control'!O175</f>
        <v>0</v>
      </c>
      <c r="H5" s="2001"/>
      <c r="I5" s="177"/>
      <c r="J5" s="168" t="str">
        <f t="shared" si="0"/>
        <v xml:space="preserve"> </v>
      </c>
    </row>
    <row r="6" spans="1:10" ht="15.75" customHeight="1">
      <c r="A6" s="2002">
        <f>'Completion &amp; Workover Detail'!A12</f>
        <v>0</v>
      </c>
      <c r="B6" s="2003"/>
      <c r="C6" s="172" t="str">
        <f>'Completion &amp; Workover Detail'!B12</f>
        <v>Electric Wireline</v>
      </c>
      <c r="D6" s="172"/>
      <c r="E6" s="172"/>
      <c r="F6" s="172"/>
      <c r="G6" s="2001">
        <f>'Cost Control'!O20+'Cost Control'!O98+'Cost Control'!O176</f>
        <v>0</v>
      </c>
      <c r="H6" s="2001"/>
      <c r="I6" s="177"/>
      <c r="J6" s="168" t="str">
        <f t="shared" si="0"/>
        <v xml:space="preserve"> </v>
      </c>
    </row>
    <row r="7" spans="1:10" ht="15.75" customHeight="1">
      <c r="A7" s="2002">
        <f>'Completion &amp; Workover Detail'!A13</f>
        <v>0</v>
      </c>
      <c r="B7" s="2003"/>
      <c r="C7" s="172" t="str">
        <f>'Completion &amp; Workover Detail'!B13</f>
        <v>Slickline</v>
      </c>
      <c r="D7" s="172"/>
      <c r="E7" s="172"/>
      <c r="F7" s="172"/>
      <c r="G7" s="2001">
        <f>'Cost Control'!O21+'Cost Control'!O99+'Cost Control'!O177</f>
        <v>0</v>
      </c>
      <c r="H7" s="2001"/>
      <c r="I7" s="177"/>
      <c r="J7" s="168" t="str">
        <f t="shared" si="0"/>
        <v xml:space="preserve"> </v>
      </c>
    </row>
    <row r="8" spans="1:10" ht="15.75" customHeight="1">
      <c r="A8" s="2002">
        <f>'Completion &amp; Workover Detail'!A14</f>
        <v>0</v>
      </c>
      <c r="B8" s="2003"/>
      <c r="C8" s="172" t="str">
        <f>'Completion &amp; Workover Detail'!B14</f>
        <v>Acidizing</v>
      </c>
      <c r="D8" s="172"/>
      <c r="E8" s="172"/>
      <c r="F8" s="172"/>
      <c r="G8" s="2001">
        <f>'Cost Control'!O22+'Cost Control'!O100+'Cost Control'!O178</f>
        <v>0</v>
      </c>
      <c r="H8" s="2001"/>
      <c r="I8" s="177"/>
      <c r="J8" s="168" t="str">
        <f t="shared" si="0"/>
        <v xml:space="preserve"> </v>
      </c>
    </row>
    <row r="9" spans="1:10" ht="15.75" customHeight="1">
      <c r="A9" s="2002">
        <f>'Completion &amp; Workover Detail'!A15</f>
        <v>0</v>
      </c>
      <c r="B9" s="2003"/>
      <c r="C9" s="172" t="str">
        <f>'Completion &amp; Workover Detail'!B15</f>
        <v>Fracturing</v>
      </c>
      <c r="D9" s="172"/>
      <c r="E9" s="172"/>
      <c r="F9" s="172"/>
      <c r="G9" s="2001">
        <f>'Cost Control'!O23+'Cost Control'!O101+'Cost Control'!O179</f>
        <v>0</v>
      </c>
      <c r="H9" s="2001"/>
      <c r="I9" s="177"/>
      <c r="J9" s="168" t="str">
        <f t="shared" si="0"/>
        <v xml:space="preserve"> </v>
      </c>
    </row>
    <row r="10" spans="1:10" ht="15.75" customHeight="1">
      <c r="A10" s="2002">
        <f>'Completion &amp; Workover Detail'!A16</f>
        <v>0</v>
      </c>
      <c r="B10" s="2003"/>
      <c r="C10" s="172" t="str">
        <f>'Completion &amp; Workover Detail'!B16</f>
        <v>Cementing</v>
      </c>
      <c r="D10" s="172"/>
      <c r="E10" s="172"/>
      <c r="F10" s="172"/>
      <c r="G10" s="2001">
        <f>'Cost Control'!O24+'Cost Control'!O102+'Cost Control'!O180</f>
        <v>0</v>
      </c>
      <c r="H10" s="2001"/>
      <c r="I10" s="177"/>
      <c r="J10" s="168" t="str">
        <f t="shared" ref="J10:J15" si="1">IF(I10&gt;0,IF(G10&gt;I10,"OVER",IF(I10&gt;G10,"UNDER","OVER")),IF(G10=I10," ","OVER "))</f>
        <v xml:space="preserve"> </v>
      </c>
    </row>
    <row r="11" spans="1:10" ht="15.75" customHeight="1">
      <c r="A11" s="2002">
        <f>'Completion &amp; Workover Detail'!A17</f>
        <v>0</v>
      </c>
      <c r="B11" s="2003"/>
      <c r="C11" s="172" t="str">
        <f>'Completion &amp; Workover Detail'!B17</f>
        <v>Coiled Tubing</v>
      </c>
      <c r="D11" s="172"/>
      <c r="E11" s="172"/>
      <c r="F11" s="172"/>
      <c r="G11" s="2001">
        <f>'Cost Control'!O25+'Cost Control'!O103+'Cost Control'!O181</f>
        <v>0</v>
      </c>
      <c r="H11" s="2001"/>
      <c r="I11" s="177"/>
      <c r="J11" s="168" t="str">
        <f t="shared" si="1"/>
        <v xml:space="preserve"> </v>
      </c>
    </row>
    <row r="12" spans="1:10" ht="15.75" customHeight="1">
      <c r="A12" s="2002">
        <f>'Completion &amp; Workover Detail'!A18</f>
        <v>0</v>
      </c>
      <c r="B12" s="2003"/>
      <c r="C12" s="172" t="str">
        <f>'Completion &amp; Workover Detail'!B18</f>
        <v>Testing</v>
      </c>
      <c r="D12" s="172"/>
      <c r="E12" s="172"/>
      <c r="F12" s="172"/>
      <c r="G12" s="2001">
        <f>'Cost Control'!O26+'Cost Control'!O104+'Cost Control'!O182</f>
        <v>0</v>
      </c>
      <c r="H12" s="2001"/>
      <c r="I12" s="177"/>
      <c r="J12" s="168" t="str">
        <f t="shared" si="1"/>
        <v xml:space="preserve"> </v>
      </c>
    </row>
    <row r="13" spans="1:10" ht="15.75" customHeight="1">
      <c r="A13" s="2002">
        <f>'Completion &amp; Workover Detail'!A19</f>
        <v>0</v>
      </c>
      <c r="B13" s="2003"/>
      <c r="C13" s="172" t="str">
        <f>'Completion &amp; Workover Detail'!B19</f>
        <v>Cat Work</v>
      </c>
      <c r="D13" s="172"/>
      <c r="E13" s="172"/>
      <c r="F13" s="172"/>
      <c r="G13" s="2001">
        <f>'Cost Control'!O27+'Cost Control'!O105+'Cost Control'!O183</f>
        <v>0</v>
      </c>
      <c r="H13" s="2001"/>
      <c r="I13" s="177"/>
      <c r="J13" s="168" t="str">
        <f t="shared" si="1"/>
        <v xml:space="preserve"> </v>
      </c>
    </row>
    <row r="14" spans="1:10" ht="15.75" customHeight="1">
      <c r="A14" s="2002">
        <f>'Completion &amp; Workover Detail'!A20</f>
        <v>0</v>
      </c>
      <c r="B14" s="2003"/>
      <c r="C14" s="172" t="str">
        <f>'Completion &amp; Workover Detail'!B20</f>
        <v>Safety Equipment</v>
      </c>
      <c r="D14" s="172"/>
      <c r="E14" s="172"/>
      <c r="F14" s="172"/>
      <c r="G14" s="2001">
        <f>'Cost Control'!O28+'Cost Control'!O106+'Cost Control'!O184</f>
        <v>0</v>
      </c>
      <c r="H14" s="2001"/>
      <c r="I14" s="177"/>
      <c r="J14" s="168" t="str">
        <f t="shared" si="1"/>
        <v xml:space="preserve"> </v>
      </c>
    </row>
    <row r="15" spans="1:10" ht="15.75" customHeight="1">
      <c r="A15" s="2002">
        <f>'Completion &amp; Workover Detail'!A21</f>
        <v>0</v>
      </c>
      <c r="B15" s="2003"/>
      <c r="C15" s="172" t="str">
        <f>'Completion &amp; Workover Detail'!B21</f>
        <v>Hot Oil or Pump Unit</v>
      </c>
      <c r="D15" s="172"/>
      <c r="E15" s="172"/>
      <c r="F15" s="172"/>
      <c r="G15" s="2001">
        <f>'Cost Control'!O29+'Cost Control'!O107+'Cost Control'!O185</f>
        <v>0</v>
      </c>
      <c r="H15" s="2001"/>
      <c r="I15" s="177"/>
      <c r="J15" s="168" t="str">
        <f t="shared" si="1"/>
        <v xml:space="preserve"> </v>
      </c>
    </row>
    <row r="16" spans="1:10" ht="15.75" customHeight="1">
      <c r="A16" s="2002">
        <f>'Completion &amp; Workover Detail'!A22</f>
        <v>0</v>
      </c>
      <c r="B16" s="2003"/>
      <c r="C16" s="172" t="str">
        <f>'Completion &amp; Workover Detail'!B22</f>
        <v>Trucking/Delivery</v>
      </c>
      <c r="D16" s="172"/>
      <c r="E16" s="172"/>
      <c r="F16" s="172"/>
      <c r="G16" s="2001">
        <f>'Cost Control'!O30+'Cost Control'!O108+'Cost Control'!O186</f>
        <v>0</v>
      </c>
      <c r="H16" s="2001"/>
      <c r="I16" s="177"/>
      <c r="J16" s="168" t="str">
        <f t="shared" ref="J16:J54" si="2">IF(I16&gt;0,IF(G16&gt;I16,"OVER",IF(I16&gt;G16,"UNDER","OVER")),IF(G16=I16," ","OVER "))</f>
        <v xml:space="preserve"> </v>
      </c>
    </row>
    <row r="17" spans="1:10" ht="15.75" customHeight="1">
      <c r="A17" s="2002">
        <f>'Completion &amp; Workover Detail'!A23</f>
        <v>0</v>
      </c>
      <c r="B17" s="2003"/>
      <c r="C17" s="172" t="str">
        <f>'Completion &amp; Workover Detail'!B23</f>
        <v>Tank Truck</v>
      </c>
      <c r="D17" s="172"/>
      <c r="E17" s="172"/>
      <c r="F17" s="172"/>
      <c r="G17" s="2001">
        <f>'Cost Control'!O31+'Cost Control'!O109+'Cost Control'!O187</f>
        <v>0</v>
      </c>
      <c r="H17" s="2001"/>
      <c r="I17" s="177"/>
      <c r="J17" s="168" t="str">
        <f t="shared" si="2"/>
        <v xml:space="preserve"> </v>
      </c>
    </row>
    <row r="18" spans="1:10" ht="15.75" customHeight="1">
      <c r="A18" s="2002">
        <f>'Completion &amp; Workover Detail'!A24</f>
        <v>0</v>
      </c>
      <c r="B18" s="2003"/>
      <c r="C18" s="172" t="str">
        <f>'Completion &amp; Workover Detail'!B24</f>
        <v>Vacuum Truck</v>
      </c>
      <c r="D18" s="172"/>
      <c r="E18" s="172"/>
      <c r="F18" s="172"/>
      <c r="G18" s="2001">
        <f>'Cost Control'!O32+'Cost Control'!O110+'Cost Control'!O188</f>
        <v>0</v>
      </c>
      <c r="H18" s="2001"/>
      <c r="I18" s="177"/>
      <c r="J18" s="168" t="str">
        <f t="shared" si="2"/>
        <v xml:space="preserve"> </v>
      </c>
    </row>
    <row r="19" spans="1:10" ht="15.75" customHeight="1">
      <c r="A19" s="2002">
        <f>'Completion &amp; Workover Detail'!A25</f>
        <v>0</v>
      </c>
      <c r="B19" s="2003"/>
      <c r="C19" s="172" t="str">
        <f>'Completion &amp; Workover Detail'!B25</f>
        <v>Misc.</v>
      </c>
      <c r="D19" s="172"/>
      <c r="E19" s="172"/>
      <c r="F19" s="172"/>
      <c r="G19" s="2001">
        <f>'Cost Control'!O33+'Cost Control'!O111+'Cost Control'!O189</f>
        <v>0</v>
      </c>
      <c r="H19" s="2001"/>
      <c r="I19" s="177"/>
      <c r="J19" s="168" t="str">
        <f t="shared" si="2"/>
        <v xml:space="preserve"> </v>
      </c>
    </row>
    <row r="20" spans="1:10" ht="15.75" customHeight="1">
      <c r="A20" s="2002">
        <f>'Completion &amp; Workover Detail'!A26</f>
        <v>0</v>
      </c>
      <c r="B20" s="2003"/>
      <c r="C20" s="172" t="str">
        <f>'Completion &amp; Workover Detail'!B26</f>
        <v>Disposal</v>
      </c>
      <c r="D20" s="172"/>
      <c r="E20" s="172"/>
      <c r="F20" s="172"/>
      <c r="G20" s="2001">
        <f>'Cost Control'!O34+'Cost Control'!O112+'Cost Control'!O190</f>
        <v>0</v>
      </c>
      <c r="H20" s="2001"/>
      <c r="I20" s="177"/>
      <c r="J20" s="168" t="str">
        <f t="shared" si="2"/>
        <v xml:space="preserve"> </v>
      </c>
    </row>
    <row r="21" spans="1:10" ht="15.75" customHeight="1">
      <c r="A21" s="2002">
        <f>'Completion &amp; Workover Detail'!A27</f>
        <v>0</v>
      </c>
      <c r="B21" s="2003"/>
      <c r="C21" s="172" t="str">
        <f>'Completion &amp; Workover Detail'!B27</f>
        <v>Stuck &amp; Tow</v>
      </c>
      <c r="D21" s="172"/>
      <c r="E21" s="172"/>
      <c r="F21" s="172"/>
      <c r="G21" s="2001">
        <f>'Cost Control'!O35+'Cost Control'!O113+'Cost Control'!O191</f>
        <v>0</v>
      </c>
      <c r="H21" s="2001"/>
      <c r="I21" s="177"/>
      <c r="J21" s="168" t="str">
        <f t="shared" si="2"/>
        <v xml:space="preserve"> </v>
      </c>
    </row>
    <row r="22" spans="1:10" ht="15.75" customHeight="1">
      <c r="A22" s="2002">
        <f>'Completion &amp; Workover Detail'!A28</f>
        <v>0</v>
      </c>
      <c r="B22" s="2003"/>
      <c r="C22" s="172">
        <f>'Completion &amp; Workover Detail'!B28</f>
        <v>0</v>
      </c>
      <c r="D22" s="172"/>
      <c r="E22" s="172"/>
      <c r="F22" s="172"/>
      <c r="G22" s="2001">
        <f>'Cost Control'!O36+'Cost Control'!O114+'Cost Control'!O192</f>
        <v>0</v>
      </c>
      <c r="H22" s="2001"/>
      <c r="I22" s="177"/>
      <c r="J22" s="168" t="str">
        <f t="shared" si="2"/>
        <v xml:space="preserve"> </v>
      </c>
    </row>
    <row r="23" spans="1:10" ht="15.75" customHeight="1">
      <c r="A23" s="2002">
        <f>'Completion &amp; Workover Detail'!A29</f>
        <v>0</v>
      </c>
      <c r="B23" s="2003"/>
      <c r="C23" s="172">
        <f>'Completion &amp; Workover Detail'!B29</f>
        <v>0</v>
      </c>
      <c r="D23" s="172"/>
      <c r="E23" s="172"/>
      <c r="F23" s="172"/>
      <c r="G23" s="2001">
        <f>'Cost Control'!O37+'Cost Control'!O115+'Cost Control'!O193</f>
        <v>0</v>
      </c>
      <c r="H23" s="2001"/>
      <c r="I23" s="177"/>
      <c r="J23" s="168" t="str">
        <f t="shared" si="2"/>
        <v xml:space="preserve"> </v>
      </c>
    </row>
    <row r="24" spans="1:10" ht="15.75" customHeight="1">
      <c r="A24" s="2002">
        <f>'Completion &amp; Workover Detail'!A30</f>
        <v>0</v>
      </c>
      <c r="B24" s="2003"/>
      <c r="C24" s="172">
        <f>'Completion &amp; Workover Detail'!B30</f>
        <v>0</v>
      </c>
      <c r="D24" s="172"/>
      <c r="E24" s="172"/>
      <c r="F24" s="172"/>
      <c r="G24" s="2001">
        <f>'Cost Control'!O38+'Cost Control'!O116+'Cost Control'!O194</f>
        <v>0</v>
      </c>
      <c r="H24" s="2001"/>
      <c r="I24" s="177"/>
      <c r="J24" s="168" t="str">
        <f t="shared" si="2"/>
        <v xml:space="preserve"> </v>
      </c>
    </row>
    <row r="25" spans="1:10" ht="15.75" customHeight="1">
      <c r="A25" s="2002">
        <f>'Completion &amp; Workover Detail'!A31</f>
        <v>0</v>
      </c>
      <c r="B25" s="2003"/>
      <c r="C25" s="172">
        <f>'Completion &amp; Workover Detail'!B31</f>
        <v>0</v>
      </c>
      <c r="D25" s="172"/>
      <c r="E25" s="172"/>
      <c r="F25" s="172"/>
      <c r="G25" s="2001">
        <f>'Cost Control'!O39+'Cost Control'!O117+'Cost Control'!O195</f>
        <v>0</v>
      </c>
      <c r="H25" s="2001"/>
      <c r="I25" s="177"/>
      <c r="J25" s="168" t="str">
        <f t="shared" si="2"/>
        <v xml:space="preserve"> </v>
      </c>
    </row>
    <row r="26" spans="1:10" ht="15.75" customHeight="1" thickBot="1">
      <c r="A26" s="2018">
        <f>'Completion &amp; Workover Detail'!A32</f>
        <v>0</v>
      </c>
      <c r="B26" s="2020"/>
      <c r="C26" s="1435">
        <f>'Completion &amp; Workover Detail'!B32</f>
        <v>0</v>
      </c>
      <c r="D26" s="1435"/>
      <c r="E26" s="1435"/>
      <c r="F26" s="1435"/>
      <c r="G26" s="2001">
        <f>'Cost Control'!O40+'Cost Control'!O118+'Cost Control'!O196</f>
        <v>0</v>
      </c>
      <c r="H26" s="2001"/>
      <c r="I26" s="1436"/>
      <c r="J26" s="168" t="str">
        <f>IF(I26&gt;0,IF(G26&gt;I26,"OVER",IF(I26&gt;G26,"UNDER","OVER")),IF(G26=I26," ","OVER "))</f>
        <v xml:space="preserve"> </v>
      </c>
    </row>
    <row r="27" spans="1:10" ht="15.75" customHeight="1">
      <c r="A27" s="2002">
        <f>'Completion &amp; Workover Detail'!A45</f>
        <v>0</v>
      </c>
      <c r="B27" s="2003"/>
      <c r="C27" s="172" t="str">
        <f>'Completion &amp; Workover Detail'!B45</f>
        <v>Water</v>
      </c>
      <c r="D27" s="172"/>
      <c r="E27" s="172"/>
      <c r="F27" s="172"/>
      <c r="G27" s="2007">
        <f>'Cost Control'!O53+'Cost Control'!O131+'Cost Control'!O209</f>
        <v>0</v>
      </c>
      <c r="H27" s="2007"/>
      <c r="I27" s="177"/>
      <c r="J27" s="168" t="str">
        <f t="shared" si="2"/>
        <v xml:space="preserve"> </v>
      </c>
    </row>
    <row r="28" spans="1:10" ht="15.75" customHeight="1">
      <c r="A28" s="2002">
        <f>'Completion &amp; Workover Detail'!A46</f>
        <v>0</v>
      </c>
      <c r="B28" s="2003"/>
      <c r="C28" s="172" t="str">
        <f>'Completion &amp; Workover Detail'!B46</f>
        <v>Load Oil</v>
      </c>
      <c r="D28" s="172"/>
      <c r="E28" s="172"/>
      <c r="F28" s="172"/>
      <c r="G28" s="2007">
        <f>'Cost Control'!O54+'Cost Control'!O132+'Cost Control'!O210</f>
        <v>0</v>
      </c>
      <c r="H28" s="2007"/>
      <c r="I28" s="177"/>
    </row>
    <row r="29" spans="1:10" ht="15.75" customHeight="1">
      <c r="A29" s="2002">
        <f>'Completion &amp; Workover Detail'!A47</f>
        <v>0</v>
      </c>
      <c r="B29" s="2003"/>
      <c r="C29" s="172" t="str">
        <f>'Completion &amp; Workover Detail'!B47</f>
        <v>Chemical</v>
      </c>
      <c r="D29" s="172"/>
      <c r="E29" s="172"/>
      <c r="F29" s="172"/>
      <c r="G29" s="2007">
        <f>'Cost Control'!O55+'Cost Control'!O133+'Cost Control'!O211</f>
        <v>0</v>
      </c>
      <c r="H29" s="2007"/>
      <c r="I29" s="177"/>
    </row>
    <row r="30" spans="1:10" ht="15.75" customHeight="1">
      <c r="A30" s="2002">
        <f>'Completion &amp; Workover Detail'!A48</f>
        <v>0</v>
      </c>
      <c r="B30" s="2003"/>
      <c r="C30" s="172" t="str">
        <f>'Completion &amp; Workover Detail'!B48</f>
        <v>Methanol</v>
      </c>
      <c r="D30" s="172"/>
      <c r="E30" s="172"/>
      <c r="F30" s="172"/>
      <c r="G30" s="2007">
        <f>'Cost Control'!O56+'Cost Control'!O134+'Cost Control'!O212</f>
        <v>0</v>
      </c>
      <c r="H30" s="2007"/>
      <c r="I30" s="177"/>
    </row>
    <row r="31" spans="1:10" ht="15.75" customHeight="1">
      <c r="A31" s="2002">
        <f>'Completion &amp; Workover Detail'!A49</f>
        <v>0</v>
      </c>
      <c r="B31" s="2003"/>
      <c r="C31" s="172">
        <f>'Completion &amp; Workover Detail'!B49</f>
        <v>0</v>
      </c>
      <c r="D31" s="172"/>
      <c r="E31" s="172"/>
      <c r="F31" s="172"/>
      <c r="G31" s="2007">
        <f>'Cost Control'!O57+'Cost Control'!O135+'Cost Control'!O213</f>
        <v>0</v>
      </c>
      <c r="H31" s="2007"/>
      <c r="I31" s="177"/>
    </row>
    <row r="32" spans="1:10" ht="15.75" customHeight="1">
      <c r="A32" s="2002">
        <f>'Completion &amp; Workover Detail'!A50</f>
        <v>0</v>
      </c>
      <c r="B32" s="2003"/>
      <c r="C32" s="172">
        <f>'Completion &amp; Workover Detail'!B50</f>
        <v>0</v>
      </c>
      <c r="D32" s="172"/>
      <c r="E32" s="172"/>
      <c r="F32" s="172"/>
      <c r="G32" s="2007">
        <f>'Cost Control'!O58+'Cost Control'!O136+'Cost Control'!O214</f>
        <v>0</v>
      </c>
      <c r="H32" s="2007"/>
      <c r="I32" s="177"/>
    </row>
    <row r="33" spans="1:10" ht="15.75" customHeight="1">
      <c r="A33" s="2002">
        <f>'Completion &amp; Workover Detail'!A64</f>
        <v>0</v>
      </c>
      <c r="B33" s="2003"/>
      <c r="C33" s="172">
        <f>'Completion &amp; Workover Detail'!B64</f>
        <v>0</v>
      </c>
      <c r="D33" s="172"/>
      <c r="E33" s="172"/>
      <c r="F33" s="172"/>
      <c r="G33" s="2007">
        <f>'Cost Control'!O59+'Cost Control'!O137+'Cost Control'!O215</f>
        <v>0</v>
      </c>
      <c r="H33" s="2007"/>
      <c r="I33" s="177"/>
    </row>
    <row r="34" spans="1:10" ht="15.75" customHeight="1">
      <c r="A34" s="1423"/>
      <c r="B34" s="1424"/>
      <c r="C34" s="172"/>
      <c r="D34" s="172"/>
      <c r="E34" s="172"/>
      <c r="F34" s="172"/>
      <c r="G34" s="2007">
        <f>'Cost Control'!O60+'Cost Control'!O138+'Cost Control'!O216</f>
        <v>0</v>
      </c>
      <c r="H34" s="2007"/>
      <c r="I34" s="177"/>
    </row>
    <row r="35" spans="1:10" ht="15.75" customHeight="1">
      <c r="A35" s="2002">
        <f>'Completion &amp; Workover Detail'!A46</f>
        <v>0</v>
      </c>
      <c r="B35" s="2003"/>
      <c r="C35" s="172">
        <f>'Completion &amp; Workover Detail'!B50</f>
        <v>0</v>
      </c>
      <c r="D35" s="172"/>
      <c r="E35" s="172"/>
      <c r="F35" s="172"/>
      <c r="G35" s="2001">
        <f>SUM(G4:H27)*0.05</f>
        <v>0</v>
      </c>
      <c r="H35" s="2001"/>
      <c r="I35" s="177">
        <f>SUM(I4:J27)*0.05</f>
        <v>0</v>
      </c>
      <c r="J35" s="168" t="str">
        <f t="shared" si="2"/>
        <v xml:space="preserve"> </v>
      </c>
    </row>
    <row r="36" spans="1:10" ht="15.75" customHeight="1">
      <c r="A36" s="2002"/>
      <c r="B36" s="2003"/>
      <c r="C36" s="1307" t="str">
        <f>'Completion &amp; Workover Detail'!B65</f>
        <v>SUBTOTAL COMPLETION / WORKOVER INTANGIBLE COSTS</v>
      </c>
      <c r="D36" s="172"/>
      <c r="E36" s="172"/>
      <c r="F36" s="172"/>
      <c r="G36" s="2015">
        <f>SUM(G4:G35)</f>
        <v>0</v>
      </c>
      <c r="H36" s="2015"/>
      <c r="I36" s="177">
        <f>SUM(I4:J27)+I35</f>
        <v>0</v>
      </c>
    </row>
    <row r="37" spans="1:10" ht="15.75" customHeight="1">
      <c r="A37" s="2002"/>
      <c r="B37" s="2003"/>
      <c r="C37" s="172" t="str">
        <f>'Completion &amp; Workover Detail'!B67</f>
        <v>COMPLETION / WORKOVER TANGIBLE COSTS</v>
      </c>
      <c r="D37" s="172"/>
      <c r="E37" s="172"/>
      <c r="F37" s="172"/>
      <c r="G37" s="2001"/>
      <c r="H37" s="2001"/>
      <c r="I37" s="177"/>
      <c r="J37" s="168" t="str">
        <f t="shared" si="2"/>
        <v xml:space="preserve"> </v>
      </c>
    </row>
    <row r="38" spans="1:10" ht="15.75" customHeight="1">
      <c r="A38" s="2002">
        <f>'Completion &amp; Workover Detail'!A49</f>
        <v>0</v>
      </c>
      <c r="B38" s="2003"/>
      <c r="C38" s="172" t="str">
        <f>'Completion &amp; Workover Detail'!B70</f>
        <v>Wellhead Equipment</v>
      </c>
      <c r="D38" s="172"/>
      <c r="E38" s="172"/>
      <c r="F38" s="172"/>
      <c r="G38" s="2001">
        <f>'Cost Control'!O7+'Cost Control'!O85+'Cost Control'!O163+0</f>
        <v>0</v>
      </c>
      <c r="H38" s="2001"/>
      <c r="I38" s="177"/>
      <c r="J38" s="168" t="str">
        <f t="shared" si="2"/>
        <v xml:space="preserve"> </v>
      </c>
    </row>
    <row r="39" spans="1:10" ht="15.75" customHeight="1">
      <c r="A39" s="2002">
        <f>'Completion &amp; Workover Detail'!A50</f>
        <v>0</v>
      </c>
      <c r="B39" s="2003"/>
      <c r="C39" s="172" t="str">
        <f>'Completion &amp; Workover Detail'!B71</f>
        <v>Tubing</v>
      </c>
      <c r="D39" s="172"/>
      <c r="E39" s="172"/>
      <c r="F39" s="172"/>
      <c r="G39" s="2001">
        <f>'Cost Control'!O198+'Cost Control'!O120+'Cost Control'!O8</f>
        <v>0</v>
      </c>
      <c r="H39" s="2001"/>
      <c r="I39" s="177"/>
      <c r="J39" s="168" t="str">
        <f>IF(I39&gt;0,IF(G39&gt;I39,"OVER",IF(I39&gt;G39,"UNDER","OVER")),IF(G39=I39," ","OVER "))</f>
        <v xml:space="preserve"> </v>
      </c>
    </row>
    <row r="40" spans="1:10" ht="15.75" customHeight="1">
      <c r="A40" s="2002">
        <f>'Completion &amp; Workover Detail'!A64</f>
        <v>0</v>
      </c>
      <c r="B40" s="2003"/>
      <c r="C40" s="172" t="str">
        <f>'Completion &amp; Workover Detail'!B72</f>
        <v>Packers/Nipples/Fittings</v>
      </c>
      <c r="D40" s="172"/>
      <c r="E40" s="172"/>
      <c r="F40" s="172"/>
      <c r="G40" s="2001">
        <f>'Cost Control'!O9+'Cost Control'!O87+'Cost Control'!O165</f>
        <v>0</v>
      </c>
      <c r="H40" s="2001"/>
      <c r="I40" s="177"/>
      <c r="J40" s="168" t="str">
        <f t="shared" si="2"/>
        <v xml:space="preserve"> </v>
      </c>
    </row>
    <row r="41" spans="1:10" ht="15.75" customHeight="1">
      <c r="A41" s="2002">
        <f>'Completion &amp; Workover Detail'!A65</f>
        <v>0</v>
      </c>
      <c r="B41" s="2003"/>
      <c r="C41" s="172" t="str">
        <f>'Completion &amp; Workover Detail'!B73</f>
        <v>BHP/ESP</v>
      </c>
      <c r="D41" s="172"/>
      <c r="E41" s="172"/>
      <c r="F41" s="172"/>
      <c r="G41" s="2001">
        <f>'Cost Control'!O166+'Cost Control'!O88+'Cost Control'!O10</f>
        <v>0</v>
      </c>
      <c r="H41" s="2001"/>
      <c r="I41" s="177"/>
      <c r="J41" s="168" t="str">
        <f t="shared" si="2"/>
        <v xml:space="preserve"> </v>
      </c>
    </row>
    <row r="42" spans="1:10" ht="15.75" customHeight="1">
      <c r="A42" s="2002">
        <f>'Completion &amp; Workover Detail'!A66</f>
        <v>0</v>
      </c>
      <c r="B42" s="2003"/>
      <c r="C42" s="172" t="str">
        <f>'Completion &amp; Workover Detail'!B74</f>
        <v>Sucker Rods/Equip</v>
      </c>
      <c r="D42" s="172"/>
      <c r="E42" s="172"/>
      <c r="F42" s="172"/>
      <c r="G42" s="2001">
        <f>'Cost Control'!O11+'Cost Control'!O89+'Cost Control'!O167</f>
        <v>0</v>
      </c>
      <c r="H42" s="2001"/>
      <c r="I42" s="177"/>
      <c r="J42" s="168" t="str">
        <f t="shared" si="2"/>
        <v xml:space="preserve"> </v>
      </c>
    </row>
    <row r="43" spans="1:10" ht="15.75" customHeight="1">
      <c r="A43" s="2002">
        <f>'Completion &amp; Workover Detail'!A67</f>
        <v>0</v>
      </c>
      <c r="B43" s="2003"/>
      <c r="C43" s="172" t="str">
        <f>'Completion &amp; Workover Detail'!B75</f>
        <v>Bridge Plugs</v>
      </c>
      <c r="D43" s="172"/>
      <c r="E43" s="172"/>
      <c r="F43" s="172"/>
      <c r="G43" s="2016">
        <f>'Cost Control'!O168+'Cost Control'!O90+'Cost Control'!O12</f>
        <v>0</v>
      </c>
      <c r="H43" s="2017"/>
      <c r="I43" s="177"/>
    </row>
    <row r="44" spans="1:10" ht="15.75" customHeight="1">
      <c r="A44" s="2002">
        <f>'Completion &amp; Workover Detail'!A68</f>
        <v>0</v>
      </c>
      <c r="B44" s="2003"/>
      <c r="C44" s="172">
        <f>'Completion &amp; Workover Detail'!B76</f>
        <v>0</v>
      </c>
      <c r="D44" s="172"/>
      <c r="E44" s="172"/>
      <c r="F44" s="172"/>
      <c r="G44" s="2016">
        <f>'Cost Control'!O169+'Cost Control'!O91+'Cost Control'!O13</f>
        <v>0</v>
      </c>
      <c r="H44" s="2017"/>
      <c r="I44" s="177"/>
    </row>
    <row r="45" spans="1:10" ht="15.75" customHeight="1">
      <c r="A45" s="2002">
        <f>'Completion &amp; Workover Detail'!A69</f>
        <v>0</v>
      </c>
      <c r="B45" s="2003"/>
      <c r="C45" s="172">
        <f>'Completion &amp; Workover Detail'!B77</f>
        <v>0</v>
      </c>
      <c r="D45" s="172"/>
      <c r="E45" s="172"/>
      <c r="F45" s="172"/>
      <c r="G45" s="2016">
        <f>'Cost Control'!O170+'Cost Control'!O92+'Cost Control'!O14</f>
        <v>0</v>
      </c>
      <c r="H45" s="2017"/>
      <c r="I45" s="177"/>
    </row>
    <row r="46" spans="1:10" ht="15.75" customHeight="1">
      <c r="A46" s="2002">
        <f>'Completion &amp; Workover Detail'!A70</f>
        <v>0</v>
      </c>
      <c r="B46" s="2003"/>
      <c r="C46" s="172">
        <f>'Completion &amp; Workover Detail'!B78</f>
        <v>0</v>
      </c>
      <c r="D46" s="172"/>
      <c r="E46" s="172"/>
      <c r="F46" s="172"/>
      <c r="G46" s="2016">
        <f>'Cost Control'!O171+'Cost Control'!O93+'Cost Control'!O15</f>
        <v>0</v>
      </c>
      <c r="H46" s="2017"/>
      <c r="I46" s="177"/>
    </row>
    <row r="47" spans="1:10" ht="15.75" customHeight="1">
      <c r="A47" s="2002">
        <f>'Completion &amp; Workover Detail'!A67</f>
        <v>0</v>
      </c>
      <c r="B47" s="2003"/>
      <c r="C47" s="1307" t="str">
        <f>'Completion &amp; Workover Detail'!B79</f>
        <v>SUBTOTAL COMPLETION / WORKOVER TANGIBLE COSTS</v>
      </c>
      <c r="D47" s="172"/>
      <c r="E47" s="172"/>
      <c r="F47" s="172"/>
      <c r="G47" s="2001">
        <f>SUM(G38:H46)</f>
        <v>0</v>
      </c>
      <c r="H47" s="2001"/>
      <c r="I47" s="177">
        <f>SUM(I38:J46)</f>
        <v>0</v>
      </c>
      <c r="J47" s="168" t="str">
        <f t="shared" si="2"/>
        <v xml:space="preserve"> </v>
      </c>
    </row>
    <row r="48" spans="1:10" ht="15.75" customHeight="1">
      <c r="A48" s="2002">
        <f>'Completion &amp; Workover Detail'!A68</f>
        <v>0</v>
      </c>
      <c r="B48" s="2003"/>
      <c r="C48" s="1307">
        <f>'Completion &amp; Workover Detail'!B80</f>
        <v>0</v>
      </c>
      <c r="D48" s="172"/>
      <c r="E48" s="172"/>
      <c r="F48" s="172"/>
      <c r="G48" s="2001"/>
      <c r="H48" s="2001"/>
      <c r="I48" s="177"/>
      <c r="J48" s="168" t="str">
        <f t="shared" si="2"/>
        <v xml:space="preserve"> </v>
      </c>
    </row>
    <row r="49" spans="1:13" ht="15.75" customHeight="1">
      <c r="A49" s="2002">
        <f>'Completion &amp; Workover Detail'!A69</f>
        <v>0</v>
      </c>
      <c r="B49" s="2003"/>
      <c r="C49" s="1308" t="str">
        <f>'Completion &amp; Workover Detail'!B82</f>
        <v>Contingency</v>
      </c>
      <c r="D49" s="172"/>
      <c r="E49" s="172"/>
      <c r="F49" s="172"/>
      <c r="G49" s="2001">
        <f>'Completion &amp; Workover Detail'!G82</f>
        <v>0</v>
      </c>
      <c r="H49" s="2001"/>
      <c r="I49" s="177">
        <f>'Completion &amp; Workover Detail'!G82</f>
        <v>0</v>
      </c>
      <c r="J49" s="168" t="str">
        <f>IF(I49&gt;0,IF(G49&gt;I49,"OVER",IF(I49&gt;G49,"UNDER","OVER")),IF(G49=I49," ","OVER "))</f>
        <v xml:space="preserve"> </v>
      </c>
      <c r="K49" s="1365">
        <f>IF(I64=0,0,IF(I64&gt;50000,50000*0.03,I64*0.03))</f>
        <v>0</v>
      </c>
      <c r="L49" s="1365">
        <f>IF(I64=0,0,IF(I64&gt;150000,100000*0.02,(I64-50000)*0.02))</f>
        <v>0</v>
      </c>
      <c r="M49" s="1365">
        <f>IF(I64&gt;150000,I64*0.01,0)</f>
        <v>0</v>
      </c>
    </row>
    <row r="50" spans="1:13" ht="15.75" customHeight="1">
      <c r="A50" s="2002">
        <f>'Data Validation'!B57</f>
        <v>0</v>
      </c>
      <c r="B50" s="2003"/>
      <c r="C50" s="172" t="str">
        <f>'Completion &amp; Workover Detail'!B83</f>
        <v>TOTAL COSTS</v>
      </c>
      <c r="D50" s="172"/>
      <c r="E50" s="172"/>
      <c r="F50" s="172"/>
      <c r="G50" s="2001">
        <f>G49+G47+G36</f>
        <v>0</v>
      </c>
      <c r="H50" s="2001"/>
      <c r="I50" s="177">
        <f>I49+I47+I36</f>
        <v>0</v>
      </c>
    </row>
    <row r="51" spans="1:13" ht="15.75" customHeight="1">
      <c r="A51" s="2002">
        <f>'Completion &amp; Workover Detail'!A71</f>
        <v>0</v>
      </c>
      <c r="B51" s="2003"/>
      <c r="C51" s="172">
        <f>'Completion &amp; Workover Detail'!B84</f>
        <v>0</v>
      </c>
      <c r="D51" s="172"/>
      <c r="E51" s="172"/>
      <c r="F51" s="172"/>
      <c r="G51" s="2001"/>
      <c r="H51" s="2001"/>
      <c r="I51" s="177"/>
      <c r="J51" s="168" t="str">
        <f t="shared" si="2"/>
        <v xml:space="preserve"> </v>
      </c>
    </row>
    <row r="52" spans="1:13" ht="15.75" customHeight="1">
      <c r="A52" s="2002">
        <f>'Completion &amp; Workover Detail'!A84</f>
        <v>0</v>
      </c>
      <c r="B52" s="2003"/>
      <c r="C52" s="172">
        <f>'Completion &amp; Workover Detail'!B84</f>
        <v>0</v>
      </c>
      <c r="D52" s="172"/>
      <c r="E52" s="172"/>
      <c r="F52" s="172"/>
      <c r="G52" s="2001"/>
      <c r="H52" s="2001"/>
      <c r="I52" s="177"/>
      <c r="J52" s="168" t="str">
        <f t="shared" si="2"/>
        <v xml:space="preserve"> </v>
      </c>
    </row>
    <row r="53" spans="1:13" ht="15.75" customHeight="1">
      <c r="A53" s="170"/>
      <c r="B53" s="171"/>
      <c r="C53" s="172"/>
      <c r="D53" s="172"/>
      <c r="E53" s="172"/>
      <c r="F53" s="172"/>
      <c r="G53" s="2001"/>
      <c r="H53" s="2001"/>
      <c r="I53" s="177"/>
      <c r="J53" s="168" t="str">
        <f t="shared" si="2"/>
        <v xml:space="preserve"> </v>
      </c>
    </row>
    <row r="54" spans="1:13" ht="15.75" customHeight="1">
      <c r="A54" s="170"/>
      <c r="B54" s="171"/>
      <c r="C54" s="172"/>
      <c r="D54" s="172"/>
      <c r="E54" s="172"/>
      <c r="F54" s="172"/>
      <c r="G54" s="2001"/>
      <c r="H54" s="2001"/>
      <c r="I54" s="177"/>
      <c r="J54" s="168" t="str">
        <f t="shared" si="2"/>
        <v xml:space="preserve"> </v>
      </c>
    </row>
    <row r="55" spans="1:13" ht="15.75" customHeight="1">
      <c r="A55" s="170"/>
      <c r="B55" s="171"/>
      <c r="C55" s="172"/>
      <c r="D55" s="172"/>
      <c r="E55" s="172"/>
      <c r="F55" s="172"/>
      <c r="G55" s="2001"/>
      <c r="H55" s="2001"/>
      <c r="I55" s="177"/>
      <c r="J55" s="168" t="str">
        <f>IF(I55&gt;0,IF(G55&gt;I55,"OVER",IF(I55&gt;G55,"UNDER","OVER")),IF(G55=I55," ","OVER "))</f>
        <v xml:space="preserve"> </v>
      </c>
    </row>
    <row r="56" spans="1:13" ht="15.75" customHeight="1">
      <c r="A56" s="2002"/>
      <c r="B56" s="2003"/>
      <c r="C56" s="172"/>
      <c r="D56" s="172"/>
      <c r="E56" s="172"/>
      <c r="F56" s="172"/>
      <c r="G56" s="2001"/>
      <c r="H56" s="2001"/>
      <c r="I56" s="177"/>
    </row>
    <row r="57" spans="1:13" ht="15.75" customHeight="1">
      <c r="A57" s="170"/>
      <c r="B57" s="171"/>
      <c r="C57" s="172"/>
      <c r="D57" s="172"/>
      <c r="E57" s="172"/>
      <c r="F57" s="172"/>
      <c r="G57" s="2001"/>
      <c r="H57" s="2001"/>
      <c r="I57" s="177"/>
    </row>
    <row r="58" spans="1:13" ht="15.75" customHeight="1">
      <c r="A58" s="2002"/>
      <c r="B58" s="2003"/>
      <c r="C58" s="172"/>
      <c r="D58" s="172"/>
      <c r="E58" s="172"/>
      <c r="F58" s="172"/>
      <c r="G58" s="2001"/>
      <c r="H58" s="2001"/>
      <c r="I58" s="177"/>
      <c r="J58" s="168" t="str">
        <f t="shared" ref="J58:J63" si="3">IF(I58&gt;0,IF(G58&gt;I58,"OVER",IF(I58&gt;G58,"UNDER","OVER")),IF(G58=I58," ","OVER "))</f>
        <v xml:space="preserve"> </v>
      </c>
    </row>
    <row r="59" spans="1:13" ht="15.75" customHeight="1">
      <c r="A59" s="170"/>
      <c r="B59" s="171"/>
      <c r="C59" s="172"/>
      <c r="D59" s="172"/>
      <c r="E59" s="172"/>
      <c r="F59" s="172"/>
      <c r="G59" s="2001"/>
      <c r="H59" s="2001"/>
      <c r="I59" s="177"/>
      <c r="J59" s="168" t="str">
        <f t="shared" si="3"/>
        <v xml:space="preserve"> </v>
      </c>
    </row>
    <row r="60" spans="1:13" ht="15.75" customHeight="1">
      <c r="A60" s="170"/>
      <c r="B60" s="171"/>
      <c r="C60" s="172"/>
      <c r="D60" s="172"/>
      <c r="E60" s="172"/>
      <c r="F60" s="172"/>
      <c r="G60" s="2001"/>
      <c r="H60" s="2001"/>
      <c r="I60" s="177"/>
      <c r="J60" s="168" t="str">
        <f t="shared" si="3"/>
        <v xml:space="preserve"> </v>
      </c>
    </row>
    <row r="61" spans="1:13" ht="15.75" customHeight="1">
      <c r="A61" s="2002"/>
      <c r="B61" s="2003"/>
      <c r="C61" s="172"/>
      <c r="D61" s="172"/>
      <c r="E61" s="172"/>
      <c r="F61" s="172"/>
      <c r="G61" s="2001"/>
      <c r="H61" s="2001"/>
      <c r="I61" s="177"/>
      <c r="J61" s="168" t="str">
        <f t="shared" si="3"/>
        <v xml:space="preserve"> </v>
      </c>
    </row>
    <row r="62" spans="1:13" ht="15.75" customHeight="1">
      <c r="A62" s="170"/>
      <c r="B62" s="171"/>
      <c r="C62" s="172"/>
      <c r="D62" s="172"/>
      <c r="E62" s="172"/>
      <c r="F62" s="172"/>
      <c r="G62" s="2001"/>
      <c r="H62" s="2001"/>
      <c r="I62" s="177"/>
      <c r="J62" s="168" t="str">
        <f t="shared" si="3"/>
        <v xml:space="preserve"> </v>
      </c>
    </row>
    <row r="63" spans="1:13" ht="15.75" customHeight="1">
      <c r="A63" s="170"/>
      <c r="B63" s="171"/>
      <c r="C63" s="172"/>
      <c r="D63" s="172"/>
      <c r="E63" s="172"/>
      <c r="F63" s="172"/>
      <c r="G63" s="2001"/>
      <c r="H63" s="2001"/>
      <c r="I63" s="177"/>
      <c r="J63" s="168" t="str">
        <f t="shared" si="3"/>
        <v xml:space="preserve"> </v>
      </c>
    </row>
    <row r="64" spans="1:13" ht="13.5" customHeight="1" thickBot="1">
      <c r="A64" s="2018" t="s">
        <v>656</v>
      </c>
      <c r="B64" s="2019"/>
      <c r="C64" s="2019"/>
      <c r="D64" s="2019"/>
      <c r="E64" s="2019"/>
      <c r="F64" s="2020"/>
      <c r="G64" s="2007">
        <f>G50</f>
        <v>0</v>
      </c>
      <c r="H64" s="2007"/>
      <c r="I64" s="177">
        <f>I50</f>
        <v>0</v>
      </c>
      <c r="J64" s="168" t="str">
        <f>IF(I64&gt;0,IF(G64&gt;I64,"OVER",IF(I64&gt;G64,"UNDER","OVER")),IF(G64=I64," ","OVER "))</f>
        <v xml:space="preserve"> </v>
      </c>
    </row>
    <row r="65" spans="1:10" ht="11.15" thickBot="1">
      <c r="A65" s="2021" t="s">
        <v>375</v>
      </c>
      <c r="B65" s="2021"/>
      <c r="C65" s="2021"/>
      <c r="D65" s="174">
        <f>Summary!C6</f>
        <v>0</v>
      </c>
      <c r="I65" s="179">
        <v>0</v>
      </c>
    </row>
    <row r="66" spans="1:10" ht="11.15" thickTop="1">
      <c r="A66" s="2000" t="s">
        <v>383</v>
      </c>
      <c r="B66" s="2000"/>
      <c r="C66" s="2000"/>
      <c r="D66" s="174">
        <f>Summary!C5</f>
        <v>0</v>
      </c>
      <c r="F66" s="2000" t="s">
        <v>611</v>
      </c>
      <c r="G66" s="2000"/>
      <c r="H66" s="2000"/>
      <c r="I66" s="258"/>
    </row>
    <row r="67" spans="1:10">
      <c r="A67" s="2000" t="s">
        <v>376</v>
      </c>
      <c r="B67" s="2000"/>
      <c r="C67" s="2000"/>
      <c r="D67" s="175">
        <f>Summary!E2</f>
        <v>0</v>
      </c>
      <c r="F67" s="2000" t="s">
        <v>408</v>
      </c>
      <c r="G67" s="2000"/>
      <c r="H67" s="2014"/>
      <c r="I67" s="196">
        <v>0</v>
      </c>
      <c r="J67" s="244"/>
    </row>
    <row r="68" spans="1:10">
      <c r="A68" s="2000" t="str">
        <f>Summary!B3</f>
        <v>FROM:</v>
      </c>
      <c r="B68" s="2000"/>
      <c r="C68" s="2000"/>
      <c r="D68" s="2013">
        <f>Summary!C3</f>
        <v>0</v>
      </c>
      <c r="E68" s="2013"/>
      <c r="F68" s="2000" t="s">
        <v>377</v>
      </c>
      <c r="G68" s="2000"/>
      <c r="H68" s="2000"/>
      <c r="I68" s="2012">
        <f>IF(G63&gt;I63,G63-I63,0)</f>
        <v>0</v>
      </c>
      <c r="J68" s="2012"/>
    </row>
    <row r="69" spans="1:10">
      <c r="A69" s="2000" t="str">
        <f>Summary!B4</f>
        <v>TO:</v>
      </c>
      <c r="B69" s="2000"/>
      <c r="C69" s="2000"/>
      <c r="D69" s="2013">
        <f>Summary!C4</f>
        <v>0</v>
      </c>
      <c r="E69" s="2013"/>
      <c r="F69" s="2000" t="s">
        <v>378</v>
      </c>
      <c r="G69" s="2000"/>
      <c r="H69" s="2000"/>
      <c r="I69" s="2012">
        <f>IF(G63&lt;I63,I63-G63,0)</f>
        <v>0</v>
      </c>
      <c r="J69" s="2012"/>
    </row>
    <row r="70" spans="1:10">
      <c r="A70" s="1999" t="s">
        <v>580</v>
      </c>
      <c r="B70" s="1999"/>
      <c r="C70" s="1999"/>
      <c r="D70" s="1999"/>
      <c r="E70" s="1999"/>
      <c r="F70" s="1999"/>
      <c r="G70" s="1999"/>
      <c r="H70" s="1999"/>
      <c r="I70" s="1999"/>
      <c r="J70" s="1999"/>
    </row>
    <row r="72" spans="1:10">
      <c r="A72" s="168" t="s">
        <v>581</v>
      </c>
      <c r="D72" s="176"/>
      <c r="E72" s="244" t="s">
        <v>582</v>
      </c>
      <c r="F72" s="244" t="s">
        <v>583</v>
      </c>
      <c r="G72" s="244" t="s">
        <v>584</v>
      </c>
      <c r="H72" s="244" t="s">
        <v>585</v>
      </c>
      <c r="I72" s="255" t="s">
        <v>586</v>
      </c>
      <c r="J72" s="254" t="s">
        <v>587</v>
      </c>
    </row>
    <row r="73" spans="1:10">
      <c r="B73" s="168" t="s">
        <v>588</v>
      </c>
      <c r="E73" s="256"/>
      <c r="F73" s="256"/>
      <c r="G73" s="257"/>
      <c r="H73" s="254"/>
      <c r="I73" s="256"/>
      <c r="J73" s="254"/>
    </row>
    <row r="74" spans="1:10">
      <c r="B74" s="168" t="s">
        <v>589</v>
      </c>
      <c r="D74" s="174"/>
      <c r="E74" s="256"/>
      <c r="F74" s="256"/>
      <c r="G74" s="257"/>
      <c r="H74" s="254"/>
      <c r="I74" s="256"/>
      <c r="J74" s="254"/>
    </row>
    <row r="75" spans="1:10">
      <c r="B75" s="168" t="s">
        <v>590</v>
      </c>
      <c r="D75" s="174"/>
      <c r="E75" s="256"/>
      <c r="F75" s="256"/>
      <c r="G75" s="257"/>
      <c r="H75" s="254"/>
      <c r="I75" s="256"/>
      <c r="J75" s="254"/>
    </row>
    <row r="76" spans="1:10">
      <c r="B76" s="168" t="s">
        <v>591</v>
      </c>
      <c r="D76" s="174"/>
      <c r="E76" s="256"/>
      <c r="F76" s="256"/>
      <c r="G76" s="257"/>
      <c r="H76" s="254"/>
      <c r="I76" s="256"/>
      <c r="J76" s="254"/>
    </row>
    <row r="77" spans="1:10">
      <c r="B77" s="168" t="s">
        <v>592</v>
      </c>
      <c r="E77" s="256"/>
      <c r="F77" s="256"/>
      <c r="G77" s="257"/>
      <c r="H77" s="254"/>
      <c r="I77" s="256"/>
      <c r="J77" s="254"/>
    </row>
    <row r="78" spans="1:10">
      <c r="B78" s="168" t="s">
        <v>593</v>
      </c>
      <c r="E78" s="256"/>
      <c r="F78" s="256"/>
      <c r="G78" s="257"/>
      <c r="H78" s="254"/>
      <c r="I78" s="256"/>
      <c r="J78" s="254"/>
    </row>
    <row r="79" spans="1:10">
      <c r="B79" s="168" t="s">
        <v>594</v>
      </c>
      <c r="E79" s="256"/>
      <c r="F79" s="256"/>
      <c r="G79" s="257"/>
      <c r="H79" s="254"/>
      <c r="I79" s="256"/>
      <c r="J79" s="254"/>
    </row>
    <row r="80" spans="1:10">
      <c r="B80" s="168" t="s">
        <v>595</v>
      </c>
      <c r="E80" s="256"/>
      <c r="F80" s="256"/>
      <c r="G80" s="257"/>
      <c r="H80" s="254"/>
      <c r="I80" s="256"/>
      <c r="J80" s="254"/>
    </row>
    <row r="81" spans="1:10">
      <c r="B81" s="168" t="s">
        <v>597</v>
      </c>
      <c r="E81" s="256"/>
      <c r="F81" s="256"/>
      <c r="G81" s="257"/>
      <c r="H81" s="254"/>
      <c r="I81" s="256"/>
      <c r="J81" s="254"/>
    </row>
    <row r="82" spans="1:10">
      <c r="B82" s="168" t="s">
        <v>598</v>
      </c>
      <c r="E82" s="256"/>
      <c r="F82" s="256"/>
      <c r="G82" s="257"/>
      <c r="H82" s="254"/>
      <c r="I82" s="256"/>
      <c r="J82" s="254"/>
    </row>
    <row r="83" spans="1:10">
      <c r="B83" s="168" t="s">
        <v>825</v>
      </c>
      <c r="E83" s="256"/>
      <c r="F83" s="256"/>
      <c r="G83" s="257"/>
      <c r="H83" s="254"/>
      <c r="I83" s="256"/>
      <c r="J83" s="254"/>
    </row>
    <row r="84" spans="1:10">
      <c r="B84" s="168" t="s">
        <v>599</v>
      </c>
      <c r="E84" s="256"/>
      <c r="F84" s="256"/>
      <c r="G84" s="257"/>
      <c r="H84" s="254"/>
      <c r="I84" s="256"/>
      <c r="J84" s="254"/>
    </row>
    <row r="85" spans="1:10">
      <c r="B85" s="168" t="s">
        <v>600</v>
      </c>
      <c r="E85" s="256"/>
      <c r="F85" s="256"/>
      <c r="G85" s="257"/>
      <c r="H85" s="254"/>
      <c r="I85" s="256"/>
      <c r="J85" s="254"/>
    </row>
    <row r="86" spans="1:10">
      <c r="B86" s="168" t="s">
        <v>601</v>
      </c>
      <c r="E86" s="256"/>
      <c r="F86" s="256"/>
      <c r="G86" s="257"/>
      <c r="H86" s="254"/>
      <c r="I86" s="256"/>
      <c r="J86" s="254"/>
    </row>
    <row r="87" spans="1:10">
      <c r="B87" s="168" t="s">
        <v>602</v>
      </c>
      <c r="E87" s="256"/>
      <c r="F87" s="256"/>
      <c r="G87" s="257"/>
      <c r="H87" s="254"/>
      <c r="I87" s="256"/>
      <c r="J87" s="254"/>
    </row>
    <row r="88" spans="1:10">
      <c r="B88" s="168" t="s">
        <v>603</v>
      </c>
      <c r="E88" s="256"/>
      <c r="F88" s="256"/>
      <c r="G88" s="257"/>
      <c r="H88" s="254"/>
      <c r="I88" s="256"/>
      <c r="J88" s="254"/>
    </row>
    <row r="89" spans="1:10">
      <c r="E89" s="256"/>
      <c r="F89" s="256"/>
      <c r="G89" s="257"/>
      <c r="H89" s="254"/>
      <c r="I89" s="256"/>
      <c r="J89" s="254"/>
    </row>
    <row r="90" spans="1:10">
      <c r="A90" s="168" t="s">
        <v>604</v>
      </c>
      <c r="E90" s="256"/>
      <c r="F90" s="256"/>
      <c r="G90" s="257"/>
      <c r="H90" s="254"/>
      <c r="I90" s="256"/>
      <c r="J90" s="254"/>
    </row>
    <row r="91" spans="1:10">
      <c r="B91" s="168" t="s">
        <v>605</v>
      </c>
      <c r="E91" s="256"/>
      <c r="F91" s="256"/>
      <c r="G91" s="257"/>
      <c r="H91" s="254"/>
      <c r="I91" s="256"/>
      <c r="J91" s="254"/>
    </row>
    <row r="92" spans="1:10">
      <c r="B92" s="168" t="s">
        <v>606</v>
      </c>
      <c r="E92" s="256"/>
      <c r="F92" s="256"/>
      <c r="G92" s="257"/>
      <c r="H92" s="254"/>
      <c r="I92" s="256"/>
      <c r="J92" s="254"/>
    </row>
    <row r="93" spans="1:10">
      <c r="B93" s="168" t="s">
        <v>607</v>
      </c>
      <c r="E93" s="256"/>
      <c r="F93" s="256"/>
      <c r="G93" s="257"/>
      <c r="H93" s="254"/>
      <c r="I93" s="256"/>
      <c r="J93" s="254"/>
    </row>
    <row r="94" spans="1:10">
      <c r="B94" s="168" t="s">
        <v>608</v>
      </c>
      <c r="E94" s="256"/>
      <c r="F94" s="256"/>
      <c r="G94" s="257"/>
      <c r="H94" s="254"/>
      <c r="I94" s="256"/>
      <c r="J94" s="254"/>
    </row>
    <row r="95" spans="1:10">
      <c r="B95" s="168" t="s">
        <v>609</v>
      </c>
      <c r="E95" s="256"/>
      <c r="F95" s="256"/>
      <c r="G95" s="257"/>
      <c r="H95" s="254"/>
      <c r="I95" s="256"/>
      <c r="J95" s="254"/>
    </row>
    <row r="96" spans="1:10">
      <c r="B96" s="168" t="s">
        <v>610</v>
      </c>
      <c r="E96" s="256"/>
      <c r="F96" s="256"/>
      <c r="G96" s="257"/>
      <c r="H96" s="254"/>
      <c r="I96" s="256"/>
      <c r="J96" s="244"/>
    </row>
    <row r="97" spans="8:9">
      <c r="H97" s="194"/>
      <c r="I97" s="258"/>
    </row>
    <row r="98" spans="8:9">
      <c r="I98" s="258"/>
    </row>
  </sheetData>
  <sheetProtection sheet="1" objects="1" scenarios="1"/>
  <mergeCells count="131">
    <mergeCell ref="A1:B2"/>
    <mergeCell ref="A28:B28"/>
    <mergeCell ref="A29:B29"/>
    <mergeCell ref="A30:B30"/>
    <mergeCell ref="A31:B31"/>
    <mergeCell ref="A32:B32"/>
    <mergeCell ref="A33:B33"/>
    <mergeCell ref="G28:H28"/>
    <mergeCell ref="G29:H29"/>
    <mergeCell ref="A5:B5"/>
    <mergeCell ref="A6:B6"/>
    <mergeCell ref="A7:B7"/>
    <mergeCell ref="A9:B9"/>
    <mergeCell ref="A11:B11"/>
    <mergeCell ref="A12:B12"/>
    <mergeCell ref="A4:B4"/>
    <mergeCell ref="A19:B19"/>
    <mergeCell ref="A21:B21"/>
    <mergeCell ref="A22:B22"/>
    <mergeCell ref="A24:B24"/>
    <mergeCell ref="A26:B26"/>
    <mergeCell ref="A37:B37"/>
    <mergeCell ref="A42:B42"/>
    <mergeCell ref="A27:B27"/>
    <mergeCell ref="G19:H19"/>
    <mergeCell ref="G20:H20"/>
    <mergeCell ref="A25:B25"/>
    <mergeCell ref="A35:B35"/>
    <mergeCell ref="G30:H30"/>
    <mergeCell ref="G31:H31"/>
    <mergeCell ref="G32:H32"/>
    <mergeCell ref="G33:H33"/>
    <mergeCell ref="G34:H34"/>
    <mergeCell ref="A39:B39"/>
    <mergeCell ref="A41:B41"/>
    <mergeCell ref="F68:H68"/>
    <mergeCell ref="A66:C66"/>
    <mergeCell ref="A65:C65"/>
    <mergeCell ref="G54:H54"/>
    <mergeCell ref="G55:H55"/>
    <mergeCell ref="G63:H63"/>
    <mergeCell ref="G53:H53"/>
    <mergeCell ref="A36:B36"/>
    <mergeCell ref="I68:J68"/>
    <mergeCell ref="A61:B61"/>
    <mergeCell ref="A47:B47"/>
    <mergeCell ref="A49:B49"/>
    <mergeCell ref="A51:B51"/>
    <mergeCell ref="G43:H43"/>
    <mergeCell ref="A43:B43"/>
    <mergeCell ref="A44:B44"/>
    <mergeCell ref="A45:B45"/>
    <mergeCell ref="A46:B46"/>
    <mergeCell ref="G46:H46"/>
    <mergeCell ref="I69:J69"/>
    <mergeCell ref="A67:C67"/>
    <mergeCell ref="A68:C68"/>
    <mergeCell ref="A69:C69"/>
    <mergeCell ref="D68:E68"/>
    <mergeCell ref="D69:E69"/>
    <mergeCell ref="F67:H67"/>
    <mergeCell ref="G49:H49"/>
    <mergeCell ref="G36:H36"/>
    <mergeCell ref="G37:H37"/>
    <mergeCell ref="G38:H38"/>
    <mergeCell ref="G47:H47"/>
    <mergeCell ref="G39:H39"/>
    <mergeCell ref="G41:H41"/>
    <mergeCell ref="G42:H42"/>
    <mergeCell ref="G44:H44"/>
    <mergeCell ref="G45:H45"/>
    <mergeCell ref="F69:H69"/>
    <mergeCell ref="A50:B50"/>
    <mergeCell ref="A52:B52"/>
    <mergeCell ref="A56:B56"/>
    <mergeCell ref="G56:H56"/>
    <mergeCell ref="A64:F64"/>
    <mergeCell ref="G64:H64"/>
    <mergeCell ref="A8:B8"/>
    <mergeCell ref="A10:B10"/>
    <mergeCell ref="A18:B18"/>
    <mergeCell ref="A14:B14"/>
    <mergeCell ref="A16:B16"/>
    <mergeCell ref="A17:B17"/>
    <mergeCell ref="G7:H7"/>
    <mergeCell ref="G17:H17"/>
    <mergeCell ref="G18:H18"/>
    <mergeCell ref="C1:I1"/>
    <mergeCell ref="G26:H26"/>
    <mergeCell ref="G27:H27"/>
    <mergeCell ref="G35:H35"/>
    <mergeCell ref="G2:H2"/>
    <mergeCell ref="C2:D2"/>
    <mergeCell ref="G4:H4"/>
    <mergeCell ref="G14:H14"/>
    <mergeCell ref="G15:H15"/>
    <mergeCell ref="G16:H16"/>
    <mergeCell ref="G9:H9"/>
    <mergeCell ref="G5:H5"/>
    <mergeCell ref="G6:H6"/>
    <mergeCell ref="G8:H8"/>
    <mergeCell ref="G13:H13"/>
    <mergeCell ref="G10:H10"/>
    <mergeCell ref="G11:H11"/>
    <mergeCell ref="G12:H12"/>
    <mergeCell ref="G21:H21"/>
    <mergeCell ref="G22:H22"/>
    <mergeCell ref="A70:J70"/>
    <mergeCell ref="F66:H66"/>
    <mergeCell ref="G48:H48"/>
    <mergeCell ref="G40:H40"/>
    <mergeCell ref="A38:B38"/>
    <mergeCell ref="G61:H61"/>
    <mergeCell ref="A13:B13"/>
    <mergeCell ref="A15:B15"/>
    <mergeCell ref="A20:B20"/>
    <mergeCell ref="A23:B23"/>
    <mergeCell ref="A48:B48"/>
    <mergeCell ref="A40:B40"/>
    <mergeCell ref="G23:H23"/>
    <mergeCell ref="G24:H24"/>
    <mergeCell ref="G25:H25"/>
    <mergeCell ref="G62:H62"/>
    <mergeCell ref="G57:H57"/>
    <mergeCell ref="A58:B58"/>
    <mergeCell ref="G58:H58"/>
    <mergeCell ref="G59:H59"/>
    <mergeCell ref="G50:H50"/>
    <mergeCell ref="G51:H51"/>
    <mergeCell ref="G52:H52"/>
    <mergeCell ref="G60:H60"/>
  </mergeCells>
  <phoneticPr fontId="0" type="noConversion"/>
  <pageMargins left="0.75" right="0.75" top="1" bottom="1" header="0.5" footer="0.5"/>
  <pageSetup scale="95" orientation="portrait" horizontalDpi="360"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2" r:id="rId4" name="Button 2">
              <controlPr defaultSize="0" print="0" autoFill="0" autoPict="0" macro="[0]!BACKTOMENU">
                <anchor moveWithCells="1">
                  <from>
                    <xdr:col>9</xdr:col>
                    <xdr:colOff>100693</xdr:colOff>
                    <xdr:row>0</xdr:row>
                    <xdr:rowOff>106136</xdr:rowOff>
                  </from>
                  <to>
                    <xdr:col>10</xdr:col>
                    <xdr:colOff>0</xdr:colOff>
                    <xdr:row>1</xdr:row>
                    <xdr:rowOff>144236</xdr:rowOff>
                  </to>
                </anchor>
              </controlPr>
            </control>
          </mc:Choice>
        </mc:AlternateContent>
        <mc:AlternateContent xmlns:mc="http://schemas.openxmlformats.org/markup-compatibility/2006">
          <mc:Choice Requires="x14">
            <control shapeId="30723" r:id="rId5" name="Button 3">
              <controlPr defaultSize="0" print="0" autoFill="0" autoPict="0" macro="[0]!RIGHOURCALC">
                <anchor moveWithCells="1">
                  <from>
                    <xdr:col>0</xdr:col>
                    <xdr:colOff>0</xdr:colOff>
                    <xdr:row>72</xdr:row>
                    <xdr:rowOff>106136</xdr:rowOff>
                  </from>
                  <to>
                    <xdr:col>0</xdr:col>
                    <xdr:colOff>525236</xdr:colOff>
                    <xdr:row>74</xdr:row>
                    <xdr:rowOff>27214</xdr:rowOff>
                  </to>
                </anchor>
              </controlPr>
            </control>
          </mc:Choice>
        </mc:AlternateContent>
        <mc:AlternateContent xmlns:mc="http://schemas.openxmlformats.org/markup-compatibility/2006">
          <mc:Choice Requires="x14">
            <control shapeId="30724" r:id="rId6" name="Button 4">
              <controlPr defaultSize="0" print="0" autoFill="0" autoPict="0" macro="[0]!BACKTOTOP">
                <anchor moveWithCells="1">
                  <from>
                    <xdr:col>0</xdr:col>
                    <xdr:colOff>0</xdr:colOff>
                    <xdr:row>74</xdr:row>
                    <xdr:rowOff>62593</xdr:rowOff>
                  </from>
                  <to>
                    <xdr:col>0</xdr:col>
                    <xdr:colOff>525236</xdr:colOff>
                    <xdr:row>75</xdr:row>
                    <xdr:rowOff>114300</xdr:rowOff>
                  </to>
                </anchor>
              </controlPr>
            </control>
          </mc:Choice>
        </mc:AlternateContent>
        <mc:AlternateContent xmlns:mc="http://schemas.openxmlformats.org/markup-compatibility/2006">
          <mc:Choice Requires="x14">
            <control shapeId="30725" r:id="rId7" name="Button 5">
              <controlPr defaultSize="0" print="0" autoFill="0" autoPict="0" macro="[0]!BACKTOMENU">
                <anchor moveWithCells="1">
                  <from>
                    <xdr:col>0</xdr:col>
                    <xdr:colOff>0</xdr:colOff>
                    <xdr:row>76</xdr:row>
                    <xdr:rowOff>19050</xdr:rowOff>
                  </from>
                  <to>
                    <xdr:col>0</xdr:col>
                    <xdr:colOff>525236</xdr:colOff>
                    <xdr:row>77</xdr:row>
                    <xdr:rowOff>70757</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818D9-0F83-4A83-AE29-EE19B39EA104}">
  <sheetPr codeName="Sheet20"/>
  <dimension ref="A1:O233"/>
  <sheetViews>
    <sheetView showGridLines="0" showZeros="0" view="pageBreakPreview" zoomScaleNormal="100" workbookViewId="0">
      <pane ySplit="6" topLeftCell="A205" activePane="bottomLeft" state="frozenSplit"/>
      <selection pane="bottomLeft" activeCell="E38" sqref="E38:N38"/>
    </sheetView>
  </sheetViews>
  <sheetFormatPr defaultRowHeight="12.9"/>
  <sheetData>
    <row r="1" spans="1:15" ht="13.5" thickTop="1">
      <c r="B1" s="312"/>
      <c r="C1" s="313"/>
      <c r="D1" s="313"/>
      <c r="E1" s="313"/>
      <c r="F1" s="313"/>
      <c r="G1" s="313"/>
      <c r="H1" s="313"/>
      <c r="I1" s="313"/>
      <c r="J1" s="313"/>
      <c r="K1" s="313"/>
      <c r="L1" s="313"/>
      <c r="M1" s="313"/>
      <c r="N1" s="313"/>
      <c r="O1" s="314"/>
    </row>
    <row r="2" spans="1:15" ht="18">
      <c r="B2" s="315"/>
      <c r="E2" s="2052" t="s">
        <v>60</v>
      </c>
      <c r="F2" s="2052"/>
      <c r="G2" s="2052"/>
      <c r="H2" s="2052"/>
      <c r="I2" s="2052"/>
      <c r="J2" s="2052"/>
      <c r="K2" s="2052"/>
      <c r="L2" s="2052"/>
      <c r="O2" s="316"/>
    </row>
    <row r="3" spans="1:15" ht="18">
      <c r="B3" s="318" t="s">
        <v>634</v>
      </c>
      <c r="C3">
        <f>Summary!C6</f>
        <v>0</v>
      </c>
      <c r="E3" s="317"/>
      <c r="F3" s="317"/>
      <c r="G3" s="317"/>
      <c r="H3" s="317"/>
      <c r="I3" s="163" t="s">
        <v>660</v>
      </c>
      <c r="J3" s="317"/>
      <c r="K3" s="163">
        <f>Summary!C63</f>
        <v>0</v>
      </c>
      <c r="O3" s="316"/>
    </row>
    <row r="4" spans="1:15" ht="18.649999999999999" thickBot="1">
      <c r="B4" s="315"/>
      <c r="E4" s="317"/>
      <c r="F4" s="317"/>
      <c r="G4" s="317"/>
      <c r="H4" s="317"/>
      <c r="I4" s="4" t="s">
        <v>692</v>
      </c>
      <c r="J4" s="329">
        <v>1</v>
      </c>
      <c r="K4" s="4" t="s">
        <v>464</v>
      </c>
      <c r="L4" s="329">
        <f>IF(L82=0,1,L82)</f>
        <v>1</v>
      </c>
      <c r="O4" s="316"/>
    </row>
    <row r="5" spans="1:15" ht="13.5" thickTop="1">
      <c r="B5" s="2028" t="s">
        <v>658</v>
      </c>
      <c r="C5" s="2029"/>
      <c r="D5" s="2030"/>
      <c r="E5" s="2036">
        <f>IF(Summary!C3="Work Start",0,Summary!C3)</f>
        <v>0</v>
      </c>
      <c r="F5" s="2034">
        <f t="shared" ref="F5:N5" si="0">E5+1</f>
        <v>1</v>
      </c>
      <c r="G5" s="2034">
        <f t="shared" si="0"/>
        <v>2</v>
      </c>
      <c r="H5" s="2034">
        <f t="shared" si="0"/>
        <v>3</v>
      </c>
      <c r="I5" s="2034">
        <f t="shared" si="0"/>
        <v>4</v>
      </c>
      <c r="J5" s="2034">
        <f t="shared" si="0"/>
        <v>5</v>
      </c>
      <c r="K5" s="2034">
        <f t="shared" si="0"/>
        <v>6</v>
      </c>
      <c r="L5" s="2034">
        <f t="shared" si="0"/>
        <v>7</v>
      </c>
      <c r="M5" s="2034">
        <f t="shared" si="0"/>
        <v>8</v>
      </c>
      <c r="N5" s="2050">
        <f t="shared" si="0"/>
        <v>9</v>
      </c>
      <c r="O5" s="2026" t="s">
        <v>691</v>
      </c>
    </row>
    <row r="6" spans="1:15" ht="13.5" thickBot="1">
      <c r="A6" t="s">
        <v>285</v>
      </c>
      <c r="B6" s="2031" t="s">
        <v>659</v>
      </c>
      <c r="C6" s="2032"/>
      <c r="D6" s="2033"/>
      <c r="E6" s="2037"/>
      <c r="F6" s="2035"/>
      <c r="G6" s="2035"/>
      <c r="H6" s="2035"/>
      <c r="I6" s="2035"/>
      <c r="J6" s="2035"/>
      <c r="K6" s="2035"/>
      <c r="L6" s="2035"/>
      <c r="M6" s="2035"/>
      <c r="N6" s="2051"/>
      <c r="O6" s="2027"/>
    </row>
    <row r="7" spans="1:15" ht="13.5" thickBot="1">
      <c r="A7">
        <f>'Data Validation'!B57</f>
        <v>0</v>
      </c>
      <c r="B7" s="2038" t="str">
        <f>'AFE Summary'!C38</f>
        <v>Wellhead Equipment</v>
      </c>
      <c r="C7" s="2039"/>
      <c r="D7" s="2040"/>
      <c r="E7" s="1472"/>
      <c r="F7" s="1473"/>
      <c r="G7" s="1473"/>
      <c r="H7" s="1473"/>
      <c r="I7" s="1473"/>
      <c r="J7" s="1473"/>
      <c r="K7" s="1473"/>
      <c r="L7" s="1473"/>
      <c r="M7" s="1473"/>
      <c r="N7" s="1474"/>
      <c r="O7" s="327">
        <f t="shared" ref="O7:O39" si="1">SUM(E7:N7)</f>
        <v>0</v>
      </c>
    </row>
    <row r="8" spans="1:15" ht="13.5" thickBot="1">
      <c r="A8">
        <f>'Data Validation'!B58</f>
        <v>0</v>
      </c>
      <c r="B8" s="2038" t="str">
        <f>'AFE Summary'!C39</f>
        <v>Tubing</v>
      </c>
      <c r="C8" s="2039"/>
      <c r="D8" s="2040"/>
      <c r="E8" s="1475"/>
      <c r="F8" s="1473"/>
      <c r="G8" s="1473"/>
      <c r="H8" s="1473"/>
      <c r="I8" s="1473"/>
      <c r="J8" s="1473"/>
      <c r="K8" s="1473"/>
      <c r="L8" s="1473"/>
      <c r="M8" s="1473"/>
      <c r="N8" s="1474"/>
      <c r="O8" s="328">
        <f t="shared" si="1"/>
        <v>0</v>
      </c>
    </row>
    <row r="9" spans="1:15" ht="13.5" thickBot="1">
      <c r="A9">
        <f>'Data Validation'!B59</f>
        <v>0</v>
      </c>
      <c r="B9" s="2038" t="str">
        <f>'AFE Summary'!C40</f>
        <v>Packers/Nipples/Fittings</v>
      </c>
      <c r="C9" s="2039"/>
      <c r="D9" s="2040"/>
      <c r="E9" s="1475"/>
      <c r="F9" s="1473"/>
      <c r="G9" s="1473"/>
      <c r="H9" s="1473"/>
      <c r="I9" s="1473"/>
      <c r="J9" s="1473"/>
      <c r="K9" s="1473"/>
      <c r="L9" s="1473"/>
      <c r="M9" s="1473"/>
      <c r="N9" s="1474"/>
      <c r="O9" s="328">
        <f t="shared" si="1"/>
        <v>0</v>
      </c>
    </row>
    <row r="10" spans="1:15" ht="13.5" thickBot="1">
      <c r="A10">
        <f>'Data Validation'!B60</f>
        <v>0</v>
      </c>
      <c r="B10" s="2038" t="str">
        <f>'AFE Summary'!C41</f>
        <v>BHP/ESP</v>
      </c>
      <c r="C10" s="2039"/>
      <c r="D10" s="2040"/>
      <c r="E10" s="1475"/>
      <c r="F10" s="1473"/>
      <c r="G10" s="1473"/>
      <c r="H10" s="1473"/>
      <c r="I10" s="1473"/>
      <c r="J10" s="1473"/>
      <c r="K10" s="1473"/>
      <c r="L10" s="1473"/>
      <c r="M10" s="1473"/>
      <c r="N10" s="1474"/>
      <c r="O10" s="328">
        <f t="shared" si="1"/>
        <v>0</v>
      </c>
    </row>
    <row r="11" spans="1:15" ht="13.5" thickBot="1">
      <c r="A11">
        <f>'Data Validation'!B61</f>
        <v>0</v>
      </c>
      <c r="B11" s="2038" t="str">
        <f>'AFE Summary'!C42</f>
        <v>Sucker Rods/Equip</v>
      </c>
      <c r="C11" s="2039"/>
      <c r="D11" s="2040"/>
      <c r="E11" s="1475"/>
      <c r="F11" s="1473"/>
      <c r="G11" s="1473"/>
      <c r="H11" s="1473"/>
      <c r="I11" s="1473"/>
      <c r="J11" s="1473"/>
      <c r="K11" s="1473"/>
      <c r="L11" s="1473"/>
      <c r="M11" s="1473"/>
      <c r="N11" s="1474"/>
      <c r="O11" s="328">
        <f t="shared" si="1"/>
        <v>0</v>
      </c>
    </row>
    <row r="12" spans="1:15" ht="13.5" thickBot="1">
      <c r="A12">
        <f>'Data Validation'!B62</f>
        <v>0</v>
      </c>
      <c r="B12" s="2038" t="str">
        <f>'AFE Summary'!C43</f>
        <v>Bridge Plugs</v>
      </c>
      <c r="C12" s="2039"/>
      <c r="D12" s="2040"/>
      <c r="E12" s="1475"/>
      <c r="F12" s="1473"/>
      <c r="G12" s="1473"/>
      <c r="H12" s="1473"/>
      <c r="I12" s="1473"/>
      <c r="J12" s="1473"/>
      <c r="K12" s="1473"/>
      <c r="L12" s="1473"/>
      <c r="M12" s="1473"/>
      <c r="N12" s="1474"/>
      <c r="O12" s="328">
        <f t="shared" si="1"/>
        <v>0</v>
      </c>
    </row>
    <row r="13" spans="1:15" ht="13.5" thickBot="1">
      <c r="A13">
        <f>'Data Validation'!B63</f>
        <v>0</v>
      </c>
      <c r="B13" s="2038">
        <f>'AFE Summary'!C44</f>
        <v>0</v>
      </c>
      <c r="C13" s="2039"/>
      <c r="D13" s="2040"/>
      <c r="E13" s="1475"/>
      <c r="F13" s="1473"/>
      <c r="G13" s="1473"/>
      <c r="H13" s="1473"/>
      <c r="I13" s="1473"/>
      <c r="J13" s="1473"/>
      <c r="K13" s="1473"/>
      <c r="L13" s="1473"/>
      <c r="M13" s="1473"/>
      <c r="N13" s="1474"/>
      <c r="O13" s="328">
        <f t="shared" si="1"/>
        <v>0</v>
      </c>
    </row>
    <row r="14" spans="1:15" ht="13.5" thickBot="1">
      <c r="A14">
        <f>'Data Validation'!B64</f>
        <v>0</v>
      </c>
      <c r="B14" s="2038">
        <f>'AFE Summary'!C45</f>
        <v>0</v>
      </c>
      <c r="C14" s="2039"/>
      <c r="D14" s="2040"/>
      <c r="E14" s="1475"/>
      <c r="F14" s="1473"/>
      <c r="G14" s="1473"/>
      <c r="H14" s="1473"/>
      <c r="I14" s="1473"/>
      <c r="J14" s="1473"/>
      <c r="K14" s="1473"/>
      <c r="L14" s="1473"/>
      <c r="M14" s="1473"/>
      <c r="N14" s="1474"/>
      <c r="O14" s="328">
        <f t="shared" si="1"/>
        <v>0</v>
      </c>
    </row>
    <row r="15" spans="1:15">
      <c r="A15">
        <f>'Data Validation'!B65</f>
        <v>0</v>
      </c>
      <c r="B15" s="2038">
        <f>'AFE Summary'!C46</f>
        <v>0</v>
      </c>
      <c r="C15" s="2039"/>
      <c r="D15" s="2040"/>
      <c r="E15" s="1475"/>
      <c r="F15" s="1473"/>
      <c r="G15" s="1473"/>
      <c r="H15" s="1473"/>
      <c r="I15" s="1473"/>
      <c r="J15" s="1473"/>
      <c r="K15" s="1473"/>
      <c r="L15" s="1473"/>
      <c r="M15" s="1473"/>
      <c r="N15" s="1474"/>
      <c r="O15" s="328">
        <f t="shared" si="1"/>
        <v>0</v>
      </c>
    </row>
    <row r="16" spans="1:15" ht="13.5" thickBot="1">
      <c r="B16" s="2045"/>
      <c r="C16" s="2046"/>
      <c r="D16" s="2047"/>
      <c r="E16" s="1475"/>
      <c r="F16" s="1473"/>
      <c r="G16" s="1473"/>
      <c r="H16" s="1473"/>
      <c r="I16" s="1473"/>
      <c r="J16" s="1473"/>
      <c r="K16" s="1473"/>
      <c r="L16" s="1473"/>
      <c r="M16" s="1473"/>
      <c r="N16" s="1474"/>
      <c r="O16" s="328">
        <f t="shared" si="1"/>
        <v>0</v>
      </c>
    </row>
    <row r="17" spans="1:15" ht="13.5" thickBot="1">
      <c r="B17" s="2048" t="s">
        <v>661</v>
      </c>
      <c r="C17" s="2049"/>
      <c r="D17" s="2049"/>
      <c r="E17" s="1468">
        <v>0</v>
      </c>
      <c r="F17" s="1469"/>
      <c r="G17" s="1469">
        <v>0</v>
      </c>
      <c r="H17" s="1469"/>
      <c r="I17" s="1469"/>
      <c r="J17" s="1469"/>
      <c r="K17" s="1469"/>
      <c r="L17" s="1469"/>
      <c r="M17" s="1469"/>
      <c r="N17" s="1470"/>
      <c r="O17" s="1471">
        <f t="shared" si="1"/>
        <v>0</v>
      </c>
    </row>
    <row r="18" spans="1:15" ht="13.5" thickBot="1">
      <c r="A18">
        <f>'Data Validation'!B2</f>
        <v>0</v>
      </c>
      <c r="B18" s="2044" t="str">
        <f>'Completion &amp; Workover Detail'!B10</f>
        <v>Service Rig</v>
      </c>
      <c r="C18" s="1769"/>
      <c r="D18" s="1769"/>
      <c r="E18" s="1475"/>
      <c r="F18" s="1473"/>
      <c r="G18" s="1473"/>
      <c r="H18" s="1473"/>
      <c r="I18" s="1473"/>
      <c r="J18" s="1473"/>
      <c r="K18" s="1473"/>
      <c r="L18" s="1473"/>
      <c r="M18" s="1473"/>
      <c r="N18" s="1474"/>
      <c r="O18" s="328">
        <f t="shared" si="1"/>
        <v>0</v>
      </c>
    </row>
    <row r="19" spans="1:15" ht="13.5" thickBot="1">
      <c r="A19">
        <f>'Data Validation'!B3</f>
        <v>0</v>
      </c>
      <c r="B19" s="2044" t="str">
        <f>'Completion &amp; Workover Detail'!B11</f>
        <v>Anchors</v>
      </c>
      <c r="C19" s="1769"/>
      <c r="D19" s="1769"/>
      <c r="E19" s="1475"/>
      <c r="F19" s="1473"/>
      <c r="G19" s="1473"/>
      <c r="H19" s="1473"/>
      <c r="I19" s="1473"/>
      <c r="J19" s="1473"/>
      <c r="K19" s="1473"/>
      <c r="L19" s="1473"/>
      <c r="M19" s="1473"/>
      <c r="N19" s="1474"/>
      <c r="O19" s="328">
        <f t="shared" si="1"/>
        <v>0</v>
      </c>
    </row>
    <row r="20" spans="1:15" ht="13.5" thickBot="1">
      <c r="A20">
        <f>'Data Validation'!B4</f>
        <v>0</v>
      </c>
      <c r="B20" s="2044" t="str">
        <f>'Completion &amp; Workover Detail'!B12</f>
        <v>Electric Wireline</v>
      </c>
      <c r="C20" s="1769"/>
      <c r="D20" s="1769"/>
      <c r="E20" s="1475"/>
      <c r="F20" s="1473"/>
      <c r="G20" s="1473"/>
      <c r="H20" s="1473"/>
      <c r="I20" s="1473"/>
      <c r="J20" s="1473"/>
      <c r="K20" s="1473"/>
      <c r="L20" s="1473"/>
      <c r="M20" s="1473"/>
      <c r="N20" s="1474"/>
      <c r="O20" s="328">
        <f t="shared" si="1"/>
        <v>0</v>
      </c>
    </row>
    <row r="21" spans="1:15" ht="13.5" thickBot="1">
      <c r="A21">
        <f>'Data Validation'!B5</f>
        <v>0</v>
      </c>
      <c r="B21" s="2044" t="str">
        <f>'Completion &amp; Workover Detail'!B13</f>
        <v>Slickline</v>
      </c>
      <c r="C21" s="1769"/>
      <c r="D21" s="1769"/>
      <c r="E21" s="1475"/>
      <c r="F21" s="1473"/>
      <c r="G21" s="1473"/>
      <c r="H21" s="1473"/>
      <c r="I21" s="1473"/>
      <c r="J21" s="1473"/>
      <c r="K21" s="1473"/>
      <c r="L21" s="1473"/>
      <c r="M21" s="1473"/>
      <c r="N21" s="1474"/>
      <c r="O21" s="328">
        <f t="shared" si="1"/>
        <v>0</v>
      </c>
    </row>
    <row r="22" spans="1:15" ht="13.5" thickBot="1">
      <c r="A22">
        <f>'Data Validation'!B6</f>
        <v>0</v>
      </c>
      <c r="B22" s="2044" t="str">
        <f>'Completion &amp; Workover Detail'!B14</f>
        <v>Acidizing</v>
      </c>
      <c r="C22" s="1769"/>
      <c r="D22" s="1769"/>
      <c r="E22" s="1475"/>
      <c r="F22" s="1473"/>
      <c r="G22" s="1473"/>
      <c r="H22" s="1473"/>
      <c r="I22" s="1473"/>
      <c r="J22" s="1473"/>
      <c r="K22" s="1473"/>
      <c r="L22" s="1473"/>
      <c r="M22" s="1473"/>
      <c r="N22" s="1474"/>
      <c r="O22" s="328">
        <f t="shared" si="1"/>
        <v>0</v>
      </c>
    </row>
    <row r="23" spans="1:15" ht="13.5" thickBot="1">
      <c r="A23">
        <f>'Data Validation'!B7</f>
        <v>0</v>
      </c>
      <c r="B23" s="2044" t="str">
        <f>'Completion &amp; Workover Detail'!B15</f>
        <v>Fracturing</v>
      </c>
      <c r="C23" s="1769"/>
      <c r="D23" s="1769"/>
      <c r="E23" s="1475"/>
      <c r="F23" s="1473"/>
      <c r="G23" s="1473"/>
      <c r="H23" s="1473"/>
      <c r="I23" s="1473"/>
      <c r="J23" s="1473"/>
      <c r="K23" s="1473"/>
      <c r="L23" s="1473"/>
      <c r="M23" s="1473"/>
      <c r="N23" s="1474"/>
      <c r="O23" s="328">
        <f t="shared" si="1"/>
        <v>0</v>
      </c>
    </row>
    <row r="24" spans="1:15" ht="13.5" thickBot="1">
      <c r="A24">
        <f>'Data Validation'!B8</f>
        <v>0</v>
      </c>
      <c r="B24" s="2044" t="str">
        <f>'Completion &amp; Workover Detail'!B16</f>
        <v>Cementing</v>
      </c>
      <c r="C24" s="1769"/>
      <c r="D24" s="1769"/>
      <c r="E24" s="1475"/>
      <c r="F24" s="1473"/>
      <c r="G24" s="1473"/>
      <c r="H24" s="1473"/>
      <c r="I24" s="1473"/>
      <c r="J24" s="1473"/>
      <c r="K24" s="1473"/>
      <c r="L24" s="1473"/>
      <c r="M24" s="1473"/>
      <c r="N24" s="1474"/>
      <c r="O24" s="328">
        <f t="shared" si="1"/>
        <v>0</v>
      </c>
    </row>
    <row r="25" spans="1:15" ht="13.5" thickBot="1">
      <c r="A25">
        <f>'Data Validation'!B9</f>
        <v>0</v>
      </c>
      <c r="B25" s="2044" t="str">
        <f>'Completion &amp; Workover Detail'!B17</f>
        <v>Coiled Tubing</v>
      </c>
      <c r="C25" s="1769"/>
      <c r="D25" s="1769"/>
      <c r="E25" s="1475"/>
      <c r="F25" s="1473"/>
      <c r="G25" s="1473"/>
      <c r="H25" s="1473"/>
      <c r="I25" s="1473"/>
      <c r="J25" s="1473"/>
      <c r="K25" s="1473"/>
      <c r="L25" s="1473"/>
      <c r="M25" s="1473"/>
      <c r="N25" s="1474"/>
      <c r="O25" s="328">
        <f t="shared" si="1"/>
        <v>0</v>
      </c>
    </row>
    <row r="26" spans="1:15" ht="13.5" thickBot="1">
      <c r="A26">
        <f>'Data Validation'!B10</f>
        <v>0</v>
      </c>
      <c r="B26" s="2044" t="str">
        <f>'Completion &amp; Workover Detail'!B18</f>
        <v>Testing</v>
      </c>
      <c r="C26" s="1769"/>
      <c r="D26" s="1769"/>
      <c r="E26" s="1475"/>
      <c r="F26" s="1473"/>
      <c r="G26" s="1473"/>
      <c r="H26" s="1473"/>
      <c r="I26" s="1473"/>
      <c r="J26" s="1473"/>
      <c r="K26" s="1473"/>
      <c r="L26" s="1473"/>
      <c r="M26" s="1473"/>
      <c r="N26" s="1474"/>
      <c r="O26" s="328">
        <f t="shared" si="1"/>
        <v>0</v>
      </c>
    </row>
    <row r="27" spans="1:15" ht="13.5" thickBot="1">
      <c r="A27">
        <f>'Data Validation'!B11</f>
        <v>0</v>
      </c>
      <c r="B27" s="2044" t="str">
        <f>'Completion &amp; Workover Detail'!B19</f>
        <v>Cat Work</v>
      </c>
      <c r="C27" s="1769"/>
      <c r="D27" s="1769"/>
      <c r="E27" s="1475"/>
      <c r="F27" s="1473"/>
      <c r="G27" s="1473"/>
      <c r="H27" s="1473"/>
      <c r="I27" s="1473"/>
      <c r="J27" s="1473"/>
      <c r="K27" s="1473"/>
      <c r="L27" s="1473"/>
      <c r="M27" s="1473"/>
      <c r="N27" s="1474"/>
      <c r="O27" s="328">
        <f t="shared" si="1"/>
        <v>0</v>
      </c>
    </row>
    <row r="28" spans="1:15" ht="13.5" thickBot="1">
      <c r="A28">
        <f>'Data Validation'!B12</f>
        <v>0</v>
      </c>
      <c r="B28" s="2044" t="str">
        <f>'Completion &amp; Workover Detail'!B20</f>
        <v>Safety Equipment</v>
      </c>
      <c r="C28" s="1769"/>
      <c r="D28" s="1769"/>
      <c r="E28" s="1475"/>
      <c r="F28" s="1473"/>
      <c r="G28" s="1473"/>
      <c r="H28" s="1473"/>
      <c r="I28" s="1473"/>
      <c r="J28" s="1473"/>
      <c r="K28" s="1473"/>
      <c r="L28" s="1473"/>
      <c r="M28" s="1473"/>
      <c r="N28" s="1474"/>
      <c r="O28" s="328">
        <f t="shared" si="1"/>
        <v>0</v>
      </c>
    </row>
    <row r="29" spans="1:15" ht="13.5" thickBot="1">
      <c r="A29">
        <f>'Data Validation'!B13</f>
        <v>0</v>
      </c>
      <c r="B29" s="2044" t="str">
        <f>'Completion &amp; Workover Detail'!B21</f>
        <v>Hot Oil or Pump Unit</v>
      </c>
      <c r="C29" s="1769"/>
      <c r="D29" s="1769"/>
      <c r="E29" s="1475"/>
      <c r="F29" s="1473"/>
      <c r="G29" s="1473"/>
      <c r="H29" s="1473"/>
      <c r="I29" s="1473"/>
      <c r="J29" s="1473"/>
      <c r="K29" s="1473"/>
      <c r="L29" s="1473"/>
      <c r="M29" s="1473"/>
      <c r="N29" s="1474"/>
      <c r="O29" s="328">
        <f t="shared" si="1"/>
        <v>0</v>
      </c>
    </row>
    <row r="30" spans="1:15" ht="13.5" thickBot="1">
      <c r="A30">
        <f>'Data Validation'!B14</f>
        <v>0</v>
      </c>
      <c r="B30" s="2044" t="str">
        <f>'Completion &amp; Workover Detail'!B22</f>
        <v>Trucking/Delivery</v>
      </c>
      <c r="C30" s="1769"/>
      <c r="D30" s="1769"/>
      <c r="E30" s="1475"/>
      <c r="F30" s="1473"/>
      <c r="G30" s="1473"/>
      <c r="H30" s="1473"/>
      <c r="I30" s="1473"/>
      <c r="J30" s="1473"/>
      <c r="K30" s="1473"/>
      <c r="L30" s="1473"/>
      <c r="M30" s="1473"/>
      <c r="N30" s="1474"/>
      <c r="O30" s="328">
        <f t="shared" si="1"/>
        <v>0</v>
      </c>
    </row>
    <row r="31" spans="1:15" ht="13.5" thickBot="1">
      <c r="A31">
        <f>'Data Validation'!B15</f>
        <v>0</v>
      </c>
      <c r="B31" s="2044" t="str">
        <f>'Completion &amp; Workover Detail'!B23</f>
        <v>Tank Truck</v>
      </c>
      <c r="C31" s="1769"/>
      <c r="D31" s="1769"/>
      <c r="E31" s="1475"/>
      <c r="F31" s="1473"/>
      <c r="G31" s="1473"/>
      <c r="H31" s="1473"/>
      <c r="I31" s="1473"/>
      <c r="J31" s="1473"/>
      <c r="K31" s="1473"/>
      <c r="L31" s="1473"/>
      <c r="M31" s="1473"/>
      <c r="N31" s="1474"/>
      <c r="O31" s="328">
        <f t="shared" si="1"/>
        <v>0</v>
      </c>
    </row>
    <row r="32" spans="1:15" ht="13.5" thickBot="1">
      <c r="A32">
        <f>'Data Validation'!B16</f>
        <v>0</v>
      </c>
      <c r="B32" s="2044" t="str">
        <f>'Completion &amp; Workover Detail'!B24</f>
        <v>Vacuum Truck</v>
      </c>
      <c r="C32" s="1769"/>
      <c r="D32" s="1769"/>
      <c r="E32" s="1475"/>
      <c r="F32" s="1473"/>
      <c r="G32" s="1473"/>
      <c r="H32" s="1473"/>
      <c r="I32" s="1473"/>
      <c r="J32" s="1473"/>
      <c r="K32" s="1473"/>
      <c r="L32" s="1473"/>
      <c r="M32" s="1473"/>
      <c r="N32" s="1474"/>
      <c r="O32" s="328">
        <f t="shared" si="1"/>
        <v>0</v>
      </c>
    </row>
    <row r="33" spans="1:15" ht="13.5" thickBot="1">
      <c r="A33">
        <f>'Data Validation'!B17</f>
        <v>0</v>
      </c>
      <c r="B33" s="2044" t="str">
        <f>'Completion &amp; Workover Detail'!B25</f>
        <v>Misc.</v>
      </c>
      <c r="C33" s="1769"/>
      <c r="D33" s="1769"/>
      <c r="E33" s="1475"/>
      <c r="F33" s="1473"/>
      <c r="G33" s="1473"/>
      <c r="H33" s="1473"/>
      <c r="I33" s="1473"/>
      <c r="J33" s="1473"/>
      <c r="K33" s="1473"/>
      <c r="L33" s="1473"/>
      <c r="M33" s="1473"/>
      <c r="N33" s="1474"/>
      <c r="O33" s="328">
        <f t="shared" si="1"/>
        <v>0</v>
      </c>
    </row>
    <row r="34" spans="1:15" ht="13.5" thickBot="1">
      <c r="A34">
        <f>'Data Validation'!B18</f>
        <v>0</v>
      </c>
      <c r="B34" s="2044" t="str">
        <f>'Completion &amp; Workover Detail'!B26</f>
        <v>Disposal</v>
      </c>
      <c r="C34" s="1769"/>
      <c r="D34" s="1769"/>
      <c r="E34" s="1475"/>
      <c r="F34" s="1473"/>
      <c r="G34" s="1473"/>
      <c r="H34" s="1473"/>
      <c r="I34" s="1473"/>
      <c r="J34" s="1473"/>
      <c r="K34" s="1473"/>
      <c r="L34" s="1473"/>
      <c r="M34" s="1473"/>
      <c r="N34" s="1474"/>
      <c r="O34" s="328">
        <f t="shared" si="1"/>
        <v>0</v>
      </c>
    </row>
    <row r="35" spans="1:15" ht="13.5" thickBot="1">
      <c r="A35">
        <f>'Data Validation'!B19</f>
        <v>0</v>
      </c>
      <c r="B35" s="2044" t="str">
        <f>'Completion &amp; Workover Detail'!B27</f>
        <v>Stuck &amp; Tow</v>
      </c>
      <c r="C35" s="1769"/>
      <c r="D35" s="1769"/>
      <c r="E35" s="1475"/>
      <c r="F35" s="1473"/>
      <c r="G35" s="1473"/>
      <c r="H35" s="1473"/>
      <c r="I35" s="1473"/>
      <c r="J35" s="1473"/>
      <c r="K35" s="1473"/>
      <c r="L35" s="1473"/>
      <c r="M35" s="1473"/>
      <c r="N35" s="1474"/>
      <c r="O35" s="328">
        <f t="shared" si="1"/>
        <v>0</v>
      </c>
    </row>
    <row r="36" spans="1:15" ht="13.5" thickBot="1">
      <c r="A36">
        <f>'Data Validation'!B20</f>
        <v>0</v>
      </c>
      <c r="B36" s="2044">
        <f>'Completion &amp; Workover Detail'!B28</f>
        <v>0</v>
      </c>
      <c r="C36" s="1769"/>
      <c r="D36" s="1769"/>
      <c r="E36" s="1475"/>
      <c r="F36" s="1473"/>
      <c r="G36" s="1473"/>
      <c r="H36" s="1473"/>
      <c r="I36" s="1473"/>
      <c r="J36" s="1473"/>
      <c r="K36" s="1473"/>
      <c r="L36" s="1473"/>
      <c r="M36" s="1473"/>
      <c r="N36" s="1474"/>
      <c r="O36" s="328">
        <f t="shared" si="1"/>
        <v>0</v>
      </c>
    </row>
    <row r="37" spans="1:15" ht="13.5" thickBot="1">
      <c r="A37">
        <f>'Data Validation'!B21</f>
        <v>0</v>
      </c>
      <c r="B37" s="2044">
        <f>'Completion &amp; Workover Detail'!B29</f>
        <v>0</v>
      </c>
      <c r="C37" s="1769"/>
      <c r="D37" s="1769"/>
      <c r="E37" s="1475"/>
      <c r="F37" s="1473"/>
      <c r="G37" s="1473"/>
      <c r="H37" s="1473"/>
      <c r="I37" s="1473"/>
      <c r="J37" s="1473"/>
      <c r="K37" s="1473"/>
      <c r="L37" s="1473"/>
      <c r="M37" s="1473"/>
      <c r="N37" s="1474"/>
      <c r="O37" s="328">
        <f t="shared" si="1"/>
        <v>0</v>
      </c>
    </row>
    <row r="38" spans="1:15" ht="13.5" thickBot="1">
      <c r="A38">
        <f>'Data Validation'!B22</f>
        <v>0</v>
      </c>
      <c r="B38" s="2044">
        <f>'Completion &amp; Workover Detail'!B30</f>
        <v>0</v>
      </c>
      <c r="C38" s="1769"/>
      <c r="D38" s="1769"/>
      <c r="E38" s="1475"/>
      <c r="F38" s="1473"/>
      <c r="G38" s="1473"/>
      <c r="H38" s="1473"/>
      <c r="I38" s="1473"/>
      <c r="J38" s="1473"/>
      <c r="K38" s="1473"/>
      <c r="L38" s="1473"/>
      <c r="M38" s="1473"/>
      <c r="N38" s="1474"/>
      <c r="O38" s="328">
        <f t="shared" si="1"/>
        <v>0</v>
      </c>
    </row>
    <row r="39" spans="1:15" ht="13.5" thickBot="1">
      <c r="B39" s="2048" t="s">
        <v>662</v>
      </c>
      <c r="C39" s="2049"/>
      <c r="D39" s="2049"/>
      <c r="E39" s="1634">
        <v>0</v>
      </c>
      <c r="F39" s="1635"/>
      <c r="G39" s="1635">
        <v>0</v>
      </c>
      <c r="H39" s="1635"/>
      <c r="I39" s="1635"/>
      <c r="J39" s="1635"/>
      <c r="K39" s="1635"/>
      <c r="L39" s="1635"/>
      <c r="M39" s="1635"/>
      <c r="N39" s="1636"/>
      <c r="O39" s="379">
        <f t="shared" si="1"/>
        <v>0</v>
      </c>
    </row>
    <row r="40" spans="1:15" ht="13.5" thickBot="1">
      <c r="A40">
        <f>'Data Validation'!B25</f>
        <v>0</v>
      </c>
      <c r="B40" s="2044" t="str">
        <f>'Data Validation'!A25</f>
        <v>Tank(s)</v>
      </c>
      <c r="C40" s="1769"/>
      <c r="D40" s="1769"/>
      <c r="E40" s="1475"/>
      <c r="F40" s="1473"/>
      <c r="G40" s="1473"/>
      <c r="H40" s="1473"/>
      <c r="I40" s="1473"/>
      <c r="J40" s="1473"/>
      <c r="K40" s="1473"/>
      <c r="L40" s="1473"/>
      <c r="M40" s="1473"/>
      <c r="N40" s="1474"/>
      <c r="O40" s="328">
        <f t="shared" ref="O40:O70" si="2">SUM(E40:N40)</f>
        <v>0</v>
      </c>
    </row>
    <row r="41" spans="1:15" ht="13.5" thickBot="1">
      <c r="A41">
        <f>'Data Validation'!B26</f>
        <v>0</v>
      </c>
      <c r="B41" s="2044" t="str">
        <f>'Data Validation'!A26</f>
        <v>Power Swivel</v>
      </c>
      <c r="C41" s="1769"/>
      <c r="D41" s="1769"/>
      <c r="E41" s="1475"/>
      <c r="F41" s="1473"/>
      <c r="G41" s="1473"/>
      <c r="H41" s="1473"/>
      <c r="I41" s="1473"/>
      <c r="J41" s="1473"/>
      <c r="K41" s="1473"/>
      <c r="L41" s="1473"/>
      <c r="M41" s="1473"/>
      <c r="N41" s="1474"/>
      <c r="O41" s="328">
        <f t="shared" si="2"/>
        <v>0</v>
      </c>
    </row>
    <row r="42" spans="1:15" ht="13.5" thickBot="1">
      <c r="A42">
        <f>'Data Validation'!B27</f>
        <v>0</v>
      </c>
      <c r="B42" s="2044" t="str">
        <f>'Data Validation'!A27</f>
        <v>Tubing</v>
      </c>
      <c r="C42" s="1769"/>
      <c r="D42" s="1769"/>
      <c r="E42" s="1475"/>
      <c r="F42" s="1473"/>
      <c r="G42" s="1473"/>
      <c r="H42" s="1473"/>
      <c r="I42" s="1473"/>
      <c r="J42" s="1473"/>
      <c r="K42" s="1473"/>
      <c r="L42" s="1473"/>
      <c r="M42" s="1473"/>
      <c r="N42" s="1474"/>
      <c r="O42" s="328">
        <f t="shared" si="2"/>
        <v>0</v>
      </c>
    </row>
    <row r="43" spans="1:15" ht="13.5" thickBot="1">
      <c r="A43">
        <f>'Data Validation'!B28</f>
        <v>0</v>
      </c>
      <c r="B43" s="2044" t="str">
        <f>'Data Validation'!A28</f>
        <v>Handling Equipment</v>
      </c>
      <c r="C43" s="1769"/>
      <c r="D43" s="1769"/>
      <c r="E43" s="1475"/>
      <c r="F43" s="1473"/>
      <c r="G43" s="1473"/>
      <c r="H43" s="1473"/>
      <c r="I43" s="1473"/>
      <c r="J43" s="1473"/>
      <c r="K43" s="1473"/>
      <c r="L43" s="1473"/>
      <c r="M43" s="1473"/>
      <c r="N43" s="1474"/>
      <c r="O43" s="328">
        <f t="shared" si="2"/>
        <v>0</v>
      </c>
    </row>
    <row r="44" spans="1:15" ht="13.5" thickBot="1">
      <c r="A44">
        <f>'Data Validation'!B29</f>
        <v>0</v>
      </c>
      <c r="B44" s="2044" t="str">
        <f>'Data Validation'!A29</f>
        <v>Drill Pipe/Collars</v>
      </c>
      <c r="C44" s="1769"/>
      <c r="D44" s="1769"/>
      <c r="E44" s="1475"/>
      <c r="F44" s="1473"/>
      <c r="G44" s="1473"/>
      <c r="H44" s="1473"/>
      <c r="I44" s="1473"/>
      <c r="J44" s="1473"/>
      <c r="K44" s="1473"/>
      <c r="L44" s="1473"/>
      <c r="M44" s="1473"/>
      <c r="N44" s="1474"/>
      <c r="O44" s="328">
        <f t="shared" si="2"/>
        <v>0</v>
      </c>
    </row>
    <row r="45" spans="1:15" ht="13.5" thickBot="1">
      <c r="A45">
        <f>'Data Validation'!B30</f>
        <v>0</v>
      </c>
      <c r="B45" s="2044" t="str">
        <f>'Data Validation'!A30</f>
        <v>Casing Scraper</v>
      </c>
      <c r="C45" s="1769"/>
      <c r="D45" s="1769"/>
      <c r="E45" s="1475"/>
      <c r="F45" s="1473"/>
      <c r="G45" s="1473"/>
      <c r="H45" s="1473"/>
      <c r="I45" s="1473"/>
      <c r="J45" s="1473"/>
      <c r="K45" s="1473"/>
      <c r="L45" s="1473"/>
      <c r="M45" s="1473"/>
      <c r="N45" s="1474"/>
      <c r="O45" s="328">
        <f t="shared" si="2"/>
        <v>0</v>
      </c>
    </row>
    <row r="46" spans="1:15" ht="13.5" thickBot="1">
      <c r="A46">
        <f>'Data Validation'!B31</f>
        <v>0</v>
      </c>
      <c r="B46" s="2044" t="str">
        <f>'Data Validation'!A31</f>
        <v>Tree Saver</v>
      </c>
      <c r="C46" s="1769"/>
      <c r="D46" s="1769"/>
      <c r="E46" s="1475"/>
      <c r="F46" s="1473"/>
      <c r="G46" s="1473"/>
      <c r="H46" s="1473"/>
      <c r="I46" s="1473"/>
      <c r="J46" s="1473"/>
      <c r="K46" s="1473"/>
      <c r="L46" s="1473"/>
      <c r="M46" s="1473"/>
      <c r="N46" s="1474"/>
      <c r="O46" s="328">
        <f t="shared" si="2"/>
        <v>0</v>
      </c>
    </row>
    <row r="47" spans="1:15" ht="13.5" thickBot="1">
      <c r="A47">
        <f>'Data Validation'!B32</f>
        <v>0</v>
      </c>
      <c r="B47" s="2044" t="str">
        <f>'Data Validation'!A32</f>
        <v>Recycle Bin</v>
      </c>
      <c r="C47" s="1769"/>
      <c r="D47" s="1769"/>
      <c r="E47" s="1475"/>
      <c r="F47" s="1473"/>
      <c r="G47" s="1473"/>
      <c r="H47" s="1473"/>
      <c r="I47" s="1473"/>
      <c r="J47" s="1473"/>
      <c r="K47" s="1473"/>
      <c r="L47" s="1473"/>
      <c r="M47" s="1473"/>
      <c r="N47" s="1474"/>
      <c r="O47" s="328">
        <f t="shared" si="2"/>
        <v>0</v>
      </c>
    </row>
    <row r="48" spans="1:15" ht="13.5" thickBot="1">
      <c r="A48">
        <f>'Data Validation'!B33</f>
        <v>0</v>
      </c>
      <c r="B48" s="2044" t="str">
        <f>'Data Validation'!A33</f>
        <v>Light Towers</v>
      </c>
      <c r="C48" s="1769"/>
      <c r="D48" s="1769"/>
      <c r="E48" s="1475"/>
      <c r="F48" s="1473"/>
      <c r="G48" s="1473"/>
      <c r="H48" s="1473"/>
      <c r="I48" s="1473"/>
      <c r="J48" s="1473"/>
      <c r="K48" s="1473"/>
      <c r="L48" s="1473"/>
      <c r="M48" s="1473"/>
      <c r="N48" s="1474"/>
      <c r="O48" s="328">
        <f t="shared" si="2"/>
        <v>0</v>
      </c>
    </row>
    <row r="49" spans="1:15" ht="13.5" thickBot="1">
      <c r="A49">
        <f>'Data Validation'!B34</f>
        <v>0</v>
      </c>
      <c r="B49" s="2044" t="str">
        <f>'Data Validation'!A34</f>
        <v>Wellsite Unit</v>
      </c>
      <c r="C49" s="1769"/>
      <c r="D49" s="1769"/>
      <c r="E49" s="1475"/>
      <c r="F49" s="1473"/>
      <c r="G49" s="1473"/>
      <c r="H49" s="1473"/>
      <c r="I49" s="1473"/>
      <c r="J49" s="1473"/>
      <c r="K49" s="1473"/>
      <c r="L49" s="1473"/>
      <c r="M49" s="1473"/>
      <c r="N49" s="1474"/>
      <c r="O49" s="328">
        <f t="shared" si="2"/>
        <v>0</v>
      </c>
    </row>
    <row r="50" spans="1:15" ht="13.5" thickBot="1">
      <c r="A50">
        <f>'Data Validation'!B35</f>
        <v>0</v>
      </c>
      <c r="B50" s="2044">
        <f>'Data Validation'!A35</f>
        <v>0</v>
      </c>
      <c r="C50" s="1769"/>
      <c r="D50" s="1769"/>
      <c r="E50" s="1475"/>
      <c r="F50" s="1473"/>
      <c r="G50" s="1473"/>
      <c r="H50" s="1473"/>
      <c r="I50" s="1473"/>
      <c r="J50" s="1473"/>
      <c r="K50" s="1473"/>
      <c r="L50" s="1473"/>
      <c r="M50" s="1473"/>
      <c r="N50" s="1474"/>
      <c r="O50" s="328">
        <f t="shared" si="2"/>
        <v>0</v>
      </c>
    </row>
    <row r="51" spans="1:15" ht="13.5" thickBot="1">
      <c r="A51">
        <f>'Data Validation'!B36</f>
        <v>0</v>
      </c>
      <c r="B51" s="2044">
        <f>'Data Validation'!A36</f>
        <v>0</v>
      </c>
      <c r="C51" s="1769"/>
      <c r="D51" s="1769"/>
      <c r="E51" s="1475"/>
      <c r="F51" s="1473"/>
      <c r="G51" s="1473"/>
      <c r="H51" s="1473"/>
      <c r="I51" s="1473"/>
      <c r="J51" s="1473"/>
      <c r="K51" s="1473"/>
      <c r="L51" s="1473"/>
      <c r="M51" s="1473"/>
      <c r="N51" s="1474"/>
      <c r="O51" s="328">
        <f t="shared" si="2"/>
        <v>0</v>
      </c>
    </row>
    <row r="52" spans="1:15" ht="13.5" thickBot="1">
      <c r="B52" s="2048" t="s">
        <v>676</v>
      </c>
      <c r="C52" s="2049"/>
      <c r="D52" s="2049"/>
      <c r="E52" s="1468">
        <v>0</v>
      </c>
      <c r="F52" s="1469"/>
      <c r="G52" s="1469">
        <v>0</v>
      </c>
      <c r="H52" s="1469"/>
      <c r="I52" s="1469"/>
      <c r="J52" s="1469"/>
      <c r="K52" s="1469"/>
      <c r="L52" s="1469"/>
      <c r="M52" s="1469"/>
      <c r="N52" s="1470"/>
      <c r="O52" s="1471">
        <f t="shared" si="2"/>
        <v>0</v>
      </c>
    </row>
    <row r="53" spans="1:15" ht="13.5" thickBot="1">
      <c r="A53">
        <f>'Data Validation'!B37</f>
        <v>0</v>
      </c>
      <c r="B53" s="2044" t="str">
        <f>'Data Validation'!A37</f>
        <v>Water</v>
      </c>
      <c r="C53" s="1769"/>
      <c r="D53" s="1769"/>
      <c r="E53" s="1475"/>
      <c r="F53" s="1473"/>
      <c r="G53" s="1473"/>
      <c r="H53" s="1473"/>
      <c r="I53" s="1473"/>
      <c r="J53" s="1473"/>
      <c r="K53" s="1473"/>
      <c r="L53" s="1473"/>
      <c r="M53" s="1473"/>
      <c r="N53" s="1474"/>
      <c r="O53" s="328">
        <f t="shared" si="2"/>
        <v>0</v>
      </c>
    </row>
    <row r="54" spans="1:15" ht="13.5" thickBot="1">
      <c r="A54">
        <f>'Data Validation'!B38</f>
        <v>0</v>
      </c>
      <c r="B54" s="2044" t="str">
        <f>'Data Validation'!A38</f>
        <v>Load Oil</v>
      </c>
      <c r="C54" s="1769"/>
      <c r="D54" s="1769"/>
      <c r="E54" s="1475"/>
      <c r="F54" s="1473"/>
      <c r="G54" s="1473"/>
      <c r="H54" s="1473"/>
      <c r="I54" s="1473"/>
      <c r="J54" s="1473"/>
      <c r="K54" s="1473"/>
      <c r="L54" s="1473"/>
      <c r="M54" s="1473"/>
      <c r="N54" s="1474"/>
      <c r="O54" s="328">
        <f t="shared" si="2"/>
        <v>0</v>
      </c>
    </row>
    <row r="55" spans="1:15" ht="13.5" thickBot="1">
      <c r="A55">
        <f>'Data Validation'!B39</f>
        <v>0</v>
      </c>
      <c r="B55" s="2044" t="str">
        <f>'Data Validation'!A39</f>
        <v>Chemical</v>
      </c>
      <c r="C55" s="1769"/>
      <c r="D55" s="1769"/>
      <c r="E55" s="1475"/>
      <c r="F55" s="1473"/>
      <c r="G55" s="1473"/>
      <c r="H55" s="1473"/>
      <c r="I55" s="1473"/>
      <c r="J55" s="1473"/>
      <c r="K55" s="1473"/>
      <c r="L55" s="1473"/>
      <c r="M55" s="1473"/>
      <c r="N55" s="1474"/>
      <c r="O55" s="328">
        <f t="shared" si="2"/>
        <v>0</v>
      </c>
    </row>
    <row r="56" spans="1:15" ht="13.5" thickBot="1">
      <c r="A56">
        <f>'Data Validation'!B40</f>
        <v>0</v>
      </c>
      <c r="B56" s="2044" t="str">
        <f>'Data Validation'!A40</f>
        <v>Methanol</v>
      </c>
      <c r="C56" s="1769"/>
      <c r="D56" s="1769"/>
      <c r="E56" s="1475"/>
      <c r="F56" s="1473"/>
      <c r="G56" s="1473"/>
      <c r="H56" s="1473"/>
      <c r="I56" s="1473"/>
      <c r="J56" s="1473"/>
      <c r="K56" s="1473"/>
      <c r="L56" s="1473"/>
      <c r="M56" s="1473"/>
      <c r="N56" s="1474"/>
      <c r="O56" s="328">
        <f t="shared" si="2"/>
        <v>0</v>
      </c>
    </row>
    <row r="57" spans="1:15" ht="13.5" thickBot="1">
      <c r="A57">
        <f>'Data Validation'!B41</f>
        <v>0</v>
      </c>
      <c r="B57" s="2044">
        <f>'Data Validation'!A41</f>
        <v>0</v>
      </c>
      <c r="C57" s="1769"/>
      <c r="D57" s="1769"/>
      <c r="E57" s="1475"/>
      <c r="F57" s="1473"/>
      <c r="G57" s="1473"/>
      <c r="H57" s="1473"/>
      <c r="I57" s="1473"/>
      <c r="J57" s="1473"/>
      <c r="K57" s="1473"/>
      <c r="L57" s="1473"/>
      <c r="M57" s="1473"/>
      <c r="N57" s="1474"/>
      <c r="O57" s="328">
        <f t="shared" si="2"/>
        <v>0</v>
      </c>
    </row>
    <row r="58" spans="1:15" ht="13.5" thickBot="1">
      <c r="A58">
        <f>'Data Validation'!B42</f>
        <v>0</v>
      </c>
      <c r="B58" s="2044">
        <f>'Data Validation'!A42</f>
        <v>0</v>
      </c>
      <c r="C58" s="1769"/>
      <c r="D58" s="1769"/>
      <c r="E58" s="1475"/>
      <c r="F58" s="1473"/>
      <c r="G58" s="1473"/>
      <c r="H58" s="1473"/>
      <c r="I58" s="1473"/>
      <c r="J58" s="1473"/>
      <c r="K58" s="1473"/>
      <c r="L58" s="1473"/>
      <c r="M58" s="1473"/>
      <c r="N58" s="1474"/>
      <c r="O58" s="328">
        <f t="shared" si="2"/>
        <v>0</v>
      </c>
    </row>
    <row r="59" spans="1:15" ht="13.5" thickBot="1">
      <c r="B59" s="2048" t="s">
        <v>681</v>
      </c>
      <c r="C59" s="2049"/>
      <c r="D59" s="2049"/>
      <c r="E59" s="1468"/>
      <c r="F59" s="1469"/>
      <c r="G59" s="1469"/>
      <c r="H59" s="1469"/>
      <c r="I59" s="1469"/>
      <c r="J59" s="1469"/>
      <c r="K59" s="1469"/>
      <c r="L59" s="1469"/>
      <c r="M59" s="1469"/>
      <c r="N59" s="1470"/>
      <c r="O59" s="1471">
        <f t="shared" si="2"/>
        <v>0</v>
      </c>
    </row>
    <row r="60" spans="1:15" ht="13.5" thickBot="1">
      <c r="A60">
        <f>'Data Validation'!B44</f>
        <v>0</v>
      </c>
      <c r="B60" s="2044" t="str">
        <f>'Data Validation'!A44</f>
        <v>Wellsite Supervisor</v>
      </c>
      <c r="C60" s="1769"/>
      <c r="D60" s="1769"/>
      <c r="E60" s="1475"/>
      <c r="F60" s="1473"/>
      <c r="G60" s="1473"/>
      <c r="H60" s="1473"/>
      <c r="I60" s="1473"/>
      <c r="J60" s="1473"/>
      <c r="K60" s="1473"/>
      <c r="L60" s="1473"/>
      <c r="M60" s="1473"/>
      <c r="N60" s="1474"/>
      <c r="O60" s="328">
        <f t="shared" si="2"/>
        <v>0</v>
      </c>
    </row>
    <row r="61" spans="1:15" ht="13.5" thickBot="1">
      <c r="A61">
        <f>'Data Validation'!B45</f>
        <v>0</v>
      </c>
      <c r="B61" s="2044" t="str">
        <f>'Data Validation'!A45</f>
        <v>Accommodation</v>
      </c>
      <c r="C61" s="1769"/>
      <c r="D61" s="1769"/>
      <c r="E61" s="1475"/>
      <c r="F61" s="1473"/>
      <c r="G61" s="1473"/>
      <c r="H61" s="1473"/>
      <c r="I61" s="1473"/>
      <c r="J61" s="1473"/>
      <c r="K61" s="1473"/>
      <c r="L61" s="1473"/>
      <c r="M61" s="1473"/>
      <c r="N61" s="1474"/>
      <c r="O61" s="328">
        <f t="shared" si="2"/>
        <v>0</v>
      </c>
    </row>
    <row r="62" spans="1:15" ht="13.5" thickBot="1">
      <c r="A62">
        <f>'Data Validation'!B46</f>
        <v>0</v>
      </c>
      <c r="B62" s="2044" t="str">
        <f>'Data Validation'!A46</f>
        <v>Vehicle</v>
      </c>
      <c r="C62" s="1769"/>
      <c r="D62" s="1769"/>
      <c r="E62" s="1475"/>
      <c r="F62" s="1473"/>
      <c r="G62" s="1473"/>
      <c r="H62" s="1473"/>
      <c r="I62" s="1473"/>
      <c r="J62" s="1473"/>
      <c r="K62" s="1473"/>
      <c r="L62" s="1473"/>
      <c r="M62" s="1473"/>
      <c r="N62" s="1474"/>
      <c r="O62" s="328">
        <f t="shared" si="2"/>
        <v>0</v>
      </c>
    </row>
    <row r="63" spans="1:15" ht="13.5" thickBot="1">
      <c r="A63">
        <f>'Data Validation'!B47</f>
        <v>0</v>
      </c>
      <c r="B63" s="2044" t="str">
        <f>'Data Validation'!A47</f>
        <v>Subsistence</v>
      </c>
      <c r="C63" s="1769"/>
      <c r="D63" s="1769"/>
      <c r="E63" s="1475"/>
      <c r="F63" s="1473"/>
      <c r="G63" s="1473"/>
      <c r="H63" s="1473"/>
      <c r="I63" s="1473"/>
      <c r="J63" s="1473"/>
      <c r="K63" s="1473"/>
      <c r="L63" s="1473"/>
      <c r="M63" s="1473"/>
      <c r="N63" s="1474"/>
      <c r="O63" s="328">
        <f t="shared" si="2"/>
        <v>0</v>
      </c>
    </row>
    <row r="64" spans="1:15" ht="13.5" thickBot="1">
      <c r="A64">
        <f>'Data Validation'!B48</f>
        <v>0</v>
      </c>
      <c r="B64" s="2044" t="str">
        <f>'Data Validation'!A48</f>
        <v>Communication</v>
      </c>
      <c r="C64" s="1769"/>
      <c r="D64" s="1769"/>
      <c r="E64" s="1475"/>
      <c r="F64" s="1473"/>
      <c r="G64" s="1473"/>
      <c r="H64" s="1473"/>
      <c r="I64" s="1473"/>
      <c r="J64" s="1473"/>
      <c r="K64" s="1473"/>
      <c r="L64" s="1473"/>
      <c r="M64" s="1473"/>
      <c r="N64" s="1474"/>
      <c r="O64" s="328">
        <f t="shared" si="2"/>
        <v>0</v>
      </c>
    </row>
    <row r="65" spans="1:15" ht="13.5" thickBot="1">
      <c r="A65">
        <f>'Data Validation'!B49</f>
        <v>0</v>
      </c>
      <c r="B65" s="2044">
        <f>'Data Validation'!A49</f>
        <v>0</v>
      </c>
      <c r="C65" s="1769"/>
      <c r="D65" s="1769"/>
      <c r="E65" s="1475"/>
      <c r="F65" s="1473"/>
      <c r="G65" s="1473"/>
      <c r="H65" s="1473"/>
      <c r="I65" s="1473"/>
      <c r="J65" s="1473"/>
      <c r="K65" s="1473"/>
      <c r="L65" s="1473"/>
      <c r="M65" s="1473"/>
      <c r="N65" s="1474"/>
      <c r="O65" s="328">
        <f t="shared" si="2"/>
        <v>0</v>
      </c>
    </row>
    <row r="66" spans="1:15" ht="13.5" thickBot="1">
      <c r="A66">
        <f>'Data Validation'!B50</f>
        <v>0</v>
      </c>
      <c r="B66" s="2044">
        <f>'Data Validation'!A50</f>
        <v>0</v>
      </c>
      <c r="C66" s="1769"/>
      <c r="D66" s="1769"/>
      <c r="E66" s="1475"/>
      <c r="F66" s="1473"/>
      <c r="G66" s="1473"/>
      <c r="H66" s="1473"/>
      <c r="I66" s="1473"/>
      <c r="J66" s="1473"/>
      <c r="K66" s="1473"/>
      <c r="L66" s="1473"/>
      <c r="M66" s="1473"/>
      <c r="N66" s="1474"/>
      <c r="O66" s="328">
        <f t="shared" si="2"/>
        <v>0</v>
      </c>
    </row>
    <row r="67" spans="1:15" ht="13.5" thickBot="1">
      <c r="B67" s="2048" t="s">
        <v>680</v>
      </c>
      <c r="C67" s="2049"/>
      <c r="D67" s="2049"/>
      <c r="E67" s="1468"/>
      <c r="F67" s="1469"/>
      <c r="G67" s="1469"/>
      <c r="H67" s="1469"/>
      <c r="I67" s="1469"/>
      <c r="J67" s="1469"/>
      <c r="K67" s="1469"/>
      <c r="L67" s="1469"/>
      <c r="M67" s="1469"/>
      <c r="N67" s="1470"/>
      <c r="O67" s="1471">
        <f t="shared" si="2"/>
        <v>0</v>
      </c>
    </row>
    <row r="68" spans="1:15" ht="13.5" thickBot="1">
      <c r="A68">
        <f>'Data Validation'!B51</f>
        <v>0</v>
      </c>
      <c r="B68" s="2044" t="str">
        <f>'Data Validation'!A51</f>
        <v>Welding</v>
      </c>
      <c r="C68" s="1769"/>
      <c r="D68" s="1769"/>
      <c r="E68" s="1475"/>
      <c r="F68" s="1473"/>
      <c r="G68" s="1473"/>
      <c r="H68" s="1473"/>
      <c r="I68" s="1473"/>
      <c r="J68" s="1473"/>
      <c r="K68" s="1473"/>
      <c r="L68" s="1473"/>
      <c r="M68" s="1473"/>
      <c r="N68" s="1474"/>
      <c r="O68" s="328">
        <f t="shared" si="2"/>
        <v>0</v>
      </c>
    </row>
    <row r="69" spans="1:15" ht="13.5" thickBot="1">
      <c r="A69">
        <f>'Data Validation'!B52</f>
        <v>0</v>
      </c>
      <c r="B69" s="2044">
        <f>'Data Validation'!A52</f>
        <v>0</v>
      </c>
      <c r="C69" s="1769"/>
      <c r="D69" s="1769"/>
      <c r="E69" s="1475"/>
      <c r="F69" s="1473"/>
      <c r="G69" s="1473"/>
      <c r="H69" s="1473"/>
      <c r="I69" s="1473"/>
      <c r="J69" s="1473"/>
      <c r="K69" s="1473"/>
      <c r="L69" s="1473"/>
      <c r="M69" s="1473"/>
      <c r="N69" s="1474"/>
      <c r="O69" s="328">
        <f t="shared" si="2"/>
        <v>0</v>
      </c>
    </row>
    <row r="70" spans="1:15" ht="13.5" thickBot="1">
      <c r="A70">
        <f>'Data Validation'!B53</f>
        <v>0</v>
      </c>
      <c r="B70" s="2044">
        <f>'Data Validation'!A53</f>
        <v>0</v>
      </c>
      <c r="C70" s="1769"/>
      <c r="D70" s="1769"/>
      <c r="E70" s="1475"/>
      <c r="F70" s="1473"/>
      <c r="G70" s="1473"/>
      <c r="H70" s="1473"/>
      <c r="I70" s="1473"/>
      <c r="J70" s="1473"/>
      <c r="K70" s="1473"/>
      <c r="L70" s="1473"/>
      <c r="M70" s="1473"/>
      <c r="N70" s="1474"/>
      <c r="O70" s="328">
        <f t="shared" si="2"/>
        <v>0</v>
      </c>
    </row>
    <row r="71" spans="1:15" ht="13.5" thickBot="1">
      <c r="A71">
        <f>'Data Validation'!B54</f>
        <v>0</v>
      </c>
      <c r="B71" s="2044">
        <f>'Data Validation'!A54</f>
        <v>0</v>
      </c>
      <c r="C71" s="1769"/>
      <c r="D71" s="1769"/>
      <c r="E71" s="1475"/>
      <c r="F71" s="1473"/>
      <c r="G71" s="1473"/>
      <c r="H71" s="1473"/>
      <c r="I71" s="1473"/>
      <c r="J71" s="1473"/>
      <c r="K71" s="1473"/>
      <c r="L71" s="1473"/>
      <c r="M71" s="1473"/>
      <c r="N71" s="1474"/>
      <c r="O71" s="328">
        <f>SUM(E71:N71)</f>
        <v>0</v>
      </c>
    </row>
    <row r="72" spans="1:15" ht="13.5" thickBot="1">
      <c r="A72">
        <f>'Data Validation'!B55</f>
        <v>0</v>
      </c>
      <c r="B72" s="2044">
        <f>'Data Validation'!A55</f>
        <v>0</v>
      </c>
      <c r="C72" s="1769"/>
      <c r="D72" s="1769"/>
      <c r="E72" s="1475"/>
      <c r="F72" s="1473"/>
      <c r="G72" s="1473"/>
      <c r="H72" s="1473"/>
      <c r="I72" s="1473"/>
      <c r="J72" s="1473"/>
      <c r="K72" s="1473"/>
      <c r="L72" s="1473"/>
      <c r="M72" s="1473"/>
      <c r="N72" s="1474"/>
      <c r="O72" s="328">
        <f>SUM(E72:N72)</f>
        <v>0</v>
      </c>
    </row>
    <row r="73" spans="1:15" ht="13.5" thickBot="1">
      <c r="A73">
        <f>'Data Validation'!B56</f>
        <v>0</v>
      </c>
      <c r="B73" s="2044">
        <f>'Data Validation'!A56</f>
        <v>0</v>
      </c>
      <c r="C73" s="1769"/>
      <c r="D73" s="1769"/>
      <c r="E73" s="1475"/>
      <c r="F73" s="1473"/>
      <c r="G73" s="1473"/>
      <c r="H73" s="1473"/>
      <c r="I73" s="1473"/>
      <c r="J73" s="1473"/>
      <c r="K73" s="1473"/>
      <c r="L73" s="1473"/>
      <c r="M73" s="1473"/>
      <c r="N73" s="1474"/>
      <c r="O73" s="328">
        <f>SUM(E73:N73)</f>
        <v>0</v>
      </c>
    </row>
    <row r="74" spans="1:15">
      <c r="B74" s="2060" t="s">
        <v>733</v>
      </c>
      <c r="C74" s="1792"/>
      <c r="D74" s="2061"/>
      <c r="E74" s="321">
        <f t="shared" ref="E74:O74" si="3">SUM(E7:E73)</f>
        <v>0</v>
      </c>
      <c r="F74" s="322">
        <f t="shared" si="3"/>
        <v>0</v>
      </c>
      <c r="G74" s="322">
        <f t="shared" si="3"/>
        <v>0</v>
      </c>
      <c r="H74" s="322">
        <f t="shared" si="3"/>
        <v>0</v>
      </c>
      <c r="I74" s="322">
        <f t="shared" si="3"/>
        <v>0</v>
      </c>
      <c r="J74" s="322">
        <f t="shared" si="3"/>
        <v>0</v>
      </c>
      <c r="K74" s="322">
        <f t="shared" si="3"/>
        <v>0</v>
      </c>
      <c r="L74" s="322">
        <f t="shared" si="3"/>
        <v>0</v>
      </c>
      <c r="M74" s="322">
        <f t="shared" si="3"/>
        <v>0</v>
      </c>
      <c r="N74" s="322">
        <f t="shared" si="3"/>
        <v>0</v>
      </c>
      <c r="O74" s="323">
        <f t="shared" si="3"/>
        <v>0</v>
      </c>
    </row>
    <row r="75" spans="1:15" ht="13.5" thickBot="1">
      <c r="B75" s="319"/>
      <c r="C75" s="1742" t="s">
        <v>693</v>
      </c>
      <c r="D75" s="1742"/>
      <c r="E75" s="324"/>
      <c r="F75" s="325">
        <f t="shared" ref="F75:N75" si="4">E76</f>
        <v>0</v>
      </c>
      <c r="G75" s="325">
        <f t="shared" si="4"/>
        <v>0</v>
      </c>
      <c r="H75" s="325">
        <f t="shared" si="4"/>
        <v>0</v>
      </c>
      <c r="I75" s="325">
        <f t="shared" si="4"/>
        <v>0</v>
      </c>
      <c r="J75" s="325">
        <f t="shared" si="4"/>
        <v>0</v>
      </c>
      <c r="K75" s="325">
        <f t="shared" si="4"/>
        <v>0</v>
      </c>
      <c r="L75" s="325">
        <f t="shared" si="4"/>
        <v>0</v>
      </c>
      <c r="M75" s="325">
        <f t="shared" si="4"/>
        <v>0</v>
      </c>
      <c r="N75" s="325">
        <f t="shared" si="4"/>
        <v>0</v>
      </c>
      <c r="O75" s="326">
        <f>E75</f>
        <v>0</v>
      </c>
    </row>
    <row r="76" spans="1:15" ht="13.5" thickBot="1">
      <c r="B76" s="2041" t="s">
        <v>735</v>
      </c>
      <c r="C76" s="2042"/>
      <c r="D76" s="2043"/>
      <c r="E76" s="331">
        <f t="shared" ref="E76:O76" si="5">E74+E75</f>
        <v>0</v>
      </c>
      <c r="F76" s="332">
        <f t="shared" si="5"/>
        <v>0</v>
      </c>
      <c r="G76" s="332">
        <f t="shared" si="5"/>
        <v>0</v>
      </c>
      <c r="H76" s="332">
        <f t="shared" si="5"/>
        <v>0</v>
      </c>
      <c r="I76" s="332">
        <f t="shared" si="5"/>
        <v>0</v>
      </c>
      <c r="J76" s="332">
        <f t="shared" si="5"/>
        <v>0</v>
      </c>
      <c r="K76" s="332">
        <f t="shared" si="5"/>
        <v>0</v>
      </c>
      <c r="L76" s="332">
        <f t="shared" si="5"/>
        <v>0</v>
      </c>
      <c r="M76" s="332">
        <f t="shared" si="5"/>
        <v>0</v>
      </c>
      <c r="N76" s="332">
        <f t="shared" si="5"/>
        <v>0</v>
      </c>
      <c r="O76" s="333">
        <f t="shared" si="5"/>
        <v>0</v>
      </c>
    </row>
    <row r="77" spans="1:15" ht="13.5" thickTop="1">
      <c r="B77" s="1182"/>
      <c r="C77" s="1182"/>
      <c r="D77" s="1182"/>
      <c r="E77" s="1183"/>
      <c r="F77" s="1183"/>
      <c r="G77" s="1183"/>
      <c r="H77" s="1183"/>
      <c r="I77" s="1183"/>
      <c r="J77" s="1183"/>
      <c r="K77" s="1183"/>
      <c r="L77" s="1183"/>
      <c r="M77" s="1183"/>
      <c r="N77" s="1183"/>
      <c r="O77" s="1183"/>
    </row>
    <row r="78" spans="1:15" ht="13.5" thickBot="1">
      <c r="B78" s="1164"/>
      <c r="C78" s="1164"/>
      <c r="D78" s="1164"/>
      <c r="E78" s="1184"/>
      <c r="F78" s="1184"/>
      <c r="G78" s="1184"/>
      <c r="H78" s="1184"/>
      <c r="I78" s="1184"/>
      <c r="J78" s="1184"/>
      <c r="K78" s="1184"/>
      <c r="L78" s="1184"/>
      <c r="M78" s="1184"/>
      <c r="N78" s="1184"/>
      <c r="O78" s="1184"/>
    </row>
    <row r="79" spans="1:15" ht="18.649999999999999" thickTop="1">
      <c r="B79" s="315"/>
      <c r="E79" s="2052" t="s">
        <v>60</v>
      </c>
      <c r="F79" s="2052"/>
      <c r="G79" s="2052"/>
      <c r="H79" s="2052"/>
      <c r="I79" s="2052"/>
      <c r="J79" s="2052"/>
      <c r="K79" s="2052"/>
      <c r="L79" s="2052"/>
      <c r="O79" s="316"/>
    </row>
    <row r="80" spans="1:15" ht="18">
      <c r="B80" s="315"/>
      <c r="E80" s="317"/>
      <c r="F80" s="317"/>
      <c r="G80" s="317"/>
      <c r="H80" s="317"/>
      <c r="I80" s="317"/>
      <c r="J80" s="317"/>
      <c r="K80" s="317"/>
      <c r="O80" s="316"/>
    </row>
    <row r="81" spans="1:15" ht="18">
      <c r="B81" s="318" t="s">
        <v>634</v>
      </c>
      <c r="C81">
        <f>C3</f>
        <v>0</v>
      </c>
      <c r="E81" s="317"/>
      <c r="F81" s="317"/>
      <c r="G81" s="317"/>
      <c r="H81" s="317"/>
      <c r="I81" s="163" t="s">
        <v>660</v>
      </c>
      <c r="J81" s="317"/>
      <c r="K81" s="163">
        <f>K3</f>
        <v>0</v>
      </c>
      <c r="O81" s="316"/>
    </row>
    <row r="82" spans="1:15" ht="18.649999999999999" thickBot="1">
      <c r="A82" t="str">
        <f>A6</f>
        <v>CODE</v>
      </c>
      <c r="B82" s="315"/>
      <c r="E82" s="317"/>
      <c r="F82" s="317"/>
      <c r="G82" s="317"/>
      <c r="H82" s="317"/>
      <c r="I82" s="4" t="s">
        <v>692</v>
      </c>
      <c r="J82" s="329">
        <f>IF(E152&gt;0,2,0)</f>
        <v>0</v>
      </c>
      <c r="K82" s="4" t="s">
        <v>464</v>
      </c>
      <c r="L82" s="329">
        <f>IF(J82=0,0,IF(L160=3,3,2))</f>
        <v>0</v>
      </c>
      <c r="O82" s="316"/>
    </row>
    <row r="83" spans="1:15" ht="13.5" thickTop="1">
      <c r="B83" s="2028" t="s">
        <v>658</v>
      </c>
      <c r="C83" s="2029"/>
      <c r="D83" s="2030"/>
      <c r="E83" s="2036">
        <f>N5+1</f>
        <v>10</v>
      </c>
      <c r="F83" s="2034">
        <f t="shared" ref="F83:N83" si="6">E83+1</f>
        <v>11</v>
      </c>
      <c r="G83" s="2034">
        <f t="shared" si="6"/>
        <v>12</v>
      </c>
      <c r="H83" s="2034">
        <f t="shared" si="6"/>
        <v>13</v>
      </c>
      <c r="I83" s="2034">
        <f t="shared" si="6"/>
        <v>14</v>
      </c>
      <c r="J83" s="2034">
        <f t="shared" si="6"/>
        <v>15</v>
      </c>
      <c r="K83" s="2034">
        <f t="shared" si="6"/>
        <v>16</v>
      </c>
      <c r="L83" s="2034">
        <f t="shared" si="6"/>
        <v>17</v>
      </c>
      <c r="M83" s="2034">
        <f t="shared" si="6"/>
        <v>18</v>
      </c>
      <c r="N83" s="2050">
        <f t="shared" si="6"/>
        <v>19</v>
      </c>
      <c r="O83" s="2026" t="s">
        <v>691</v>
      </c>
    </row>
    <row r="84" spans="1:15" ht="13.5" thickBot="1">
      <c r="B84" s="2031" t="s">
        <v>659</v>
      </c>
      <c r="C84" s="2032"/>
      <c r="D84" s="2033"/>
      <c r="E84" s="2037"/>
      <c r="F84" s="2035"/>
      <c r="G84" s="2035"/>
      <c r="H84" s="2035"/>
      <c r="I84" s="2035"/>
      <c r="J84" s="2035"/>
      <c r="K84" s="2035"/>
      <c r="L84" s="2035"/>
      <c r="M84" s="2035"/>
      <c r="N84" s="2051"/>
      <c r="O84" s="2027"/>
    </row>
    <row r="85" spans="1:15" ht="13.5" thickBot="1">
      <c r="A85">
        <f t="shared" ref="A85:A116" si="7">A7</f>
        <v>0</v>
      </c>
      <c r="B85" s="2038" t="str">
        <f t="shared" ref="B85:B94" si="8">B7</f>
        <v>Wellhead Equipment</v>
      </c>
      <c r="C85" s="2039"/>
      <c r="D85" s="2040"/>
      <c r="E85" s="1472"/>
      <c r="F85" s="1473"/>
      <c r="G85" s="1473"/>
      <c r="H85" s="1473"/>
      <c r="I85" s="1473"/>
      <c r="J85" s="1473"/>
      <c r="K85" s="1473"/>
      <c r="L85" s="1473"/>
      <c r="M85" s="1473"/>
      <c r="N85" s="1474"/>
      <c r="O85" s="327">
        <f t="shared" ref="O85:O117" si="9">SUM(E85:N85)</f>
        <v>0</v>
      </c>
    </row>
    <row r="86" spans="1:15" ht="13.5" thickBot="1">
      <c r="A86">
        <f t="shared" si="7"/>
        <v>0</v>
      </c>
      <c r="B86" s="2053" t="str">
        <f t="shared" si="8"/>
        <v>Tubing</v>
      </c>
      <c r="C86" s="2054"/>
      <c r="D86" s="1804"/>
      <c r="E86" s="1472"/>
      <c r="F86" s="1473"/>
      <c r="G86" s="1473"/>
      <c r="H86" s="1473"/>
      <c r="I86" s="1473"/>
      <c r="J86" s="1473"/>
      <c r="K86" s="1473"/>
      <c r="L86" s="1473"/>
      <c r="M86" s="1473"/>
      <c r="N86" s="1474"/>
      <c r="O86" s="328">
        <f t="shared" si="9"/>
        <v>0</v>
      </c>
    </row>
    <row r="87" spans="1:15" ht="13.5" thickBot="1">
      <c r="A87">
        <f t="shared" si="7"/>
        <v>0</v>
      </c>
      <c r="B87" s="2053" t="str">
        <f t="shared" si="8"/>
        <v>Packers/Nipples/Fittings</v>
      </c>
      <c r="C87" s="2054"/>
      <c r="D87" s="1804"/>
      <c r="E87" s="1472"/>
      <c r="F87" s="1473"/>
      <c r="G87" s="1473"/>
      <c r="H87" s="1473"/>
      <c r="I87" s="1473"/>
      <c r="J87" s="1473"/>
      <c r="K87" s="1473"/>
      <c r="L87" s="1473"/>
      <c r="M87" s="1473"/>
      <c r="N87" s="1474"/>
      <c r="O87" s="328">
        <f t="shared" si="9"/>
        <v>0</v>
      </c>
    </row>
    <row r="88" spans="1:15" ht="13.5" thickBot="1">
      <c r="A88">
        <f t="shared" si="7"/>
        <v>0</v>
      </c>
      <c r="B88" s="2053" t="str">
        <f t="shared" si="8"/>
        <v>BHP/ESP</v>
      </c>
      <c r="C88" s="2054"/>
      <c r="D88" s="1804"/>
      <c r="E88" s="1472"/>
      <c r="F88" s="1473"/>
      <c r="G88" s="1473"/>
      <c r="H88" s="1473"/>
      <c r="I88" s="1473"/>
      <c r="J88" s="1473"/>
      <c r="K88" s="1473"/>
      <c r="L88" s="1473"/>
      <c r="M88" s="1473"/>
      <c r="N88" s="1474"/>
      <c r="O88" s="328">
        <f t="shared" si="9"/>
        <v>0</v>
      </c>
    </row>
    <row r="89" spans="1:15" ht="13.5" thickBot="1">
      <c r="A89">
        <f t="shared" si="7"/>
        <v>0</v>
      </c>
      <c r="B89" s="2053" t="str">
        <f t="shared" si="8"/>
        <v>Sucker Rods/Equip</v>
      </c>
      <c r="C89" s="2054"/>
      <c r="D89" s="1804"/>
      <c r="E89" s="1472"/>
      <c r="F89" s="1473"/>
      <c r="G89" s="1473"/>
      <c r="H89" s="1473"/>
      <c r="I89" s="1473"/>
      <c r="J89" s="1473"/>
      <c r="K89" s="1473"/>
      <c r="L89" s="1473"/>
      <c r="M89" s="1473"/>
      <c r="N89" s="1474"/>
      <c r="O89" s="328">
        <f t="shared" si="9"/>
        <v>0</v>
      </c>
    </row>
    <row r="90" spans="1:15" ht="13.5" thickBot="1">
      <c r="A90">
        <f t="shared" si="7"/>
        <v>0</v>
      </c>
      <c r="B90" s="2053" t="str">
        <f t="shared" si="8"/>
        <v>Bridge Plugs</v>
      </c>
      <c r="C90" s="2054"/>
      <c r="D90" s="1804"/>
      <c r="E90" s="1472"/>
      <c r="F90" s="1473"/>
      <c r="G90" s="1473"/>
      <c r="H90" s="1473"/>
      <c r="I90" s="1473"/>
      <c r="J90" s="1473"/>
      <c r="K90" s="1473"/>
      <c r="L90" s="1473"/>
      <c r="M90" s="1473"/>
      <c r="N90" s="1474"/>
      <c r="O90" s="328">
        <f t="shared" si="9"/>
        <v>0</v>
      </c>
    </row>
    <row r="91" spans="1:15" ht="13.5" thickBot="1">
      <c r="A91">
        <f t="shared" si="7"/>
        <v>0</v>
      </c>
      <c r="B91" s="2053">
        <f t="shared" si="8"/>
        <v>0</v>
      </c>
      <c r="C91" s="2054"/>
      <c r="D91" s="1804"/>
      <c r="E91" s="1472"/>
      <c r="F91" s="1473"/>
      <c r="G91" s="1473"/>
      <c r="H91" s="1473"/>
      <c r="I91" s="1473"/>
      <c r="J91" s="1473"/>
      <c r="K91" s="1473"/>
      <c r="L91" s="1473"/>
      <c r="M91" s="1473"/>
      <c r="N91" s="1474"/>
      <c r="O91" s="328">
        <f t="shared" si="9"/>
        <v>0</v>
      </c>
    </row>
    <row r="92" spans="1:15" ht="13.5" thickBot="1">
      <c r="A92">
        <f t="shared" si="7"/>
        <v>0</v>
      </c>
      <c r="B92" s="2053">
        <f t="shared" si="8"/>
        <v>0</v>
      </c>
      <c r="C92" s="2054"/>
      <c r="D92" s="1804"/>
      <c r="E92" s="1472"/>
      <c r="F92" s="1473"/>
      <c r="G92" s="1473"/>
      <c r="H92" s="1473"/>
      <c r="I92" s="1473"/>
      <c r="J92" s="1473"/>
      <c r="K92" s="1473"/>
      <c r="L92" s="1473"/>
      <c r="M92" s="1473"/>
      <c r="N92" s="1474"/>
      <c r="O92" s="328">
        <f t="shared" si="9"/>
        <v>0</v>
      </c>
    </row>
    <row r="93" spans="1:15" ht="13.5" thickBot="1">
      <c r="A93">
        <f t="shared" si="7"/>
        <v>0</v>
      </c>
      <c r="B93" s="2053">
        <f t="shared" si="8"/>
        <v>0</v>
      </c>
      <c r="C93" s="2054"/>
      <c r="D93" s="1804"/>
      <c r="E93" s="1472"/>
      <c r="F93" s="1473"/>
      <c r="G93" s="1473"/>
      <c r="H93" s="1473"/>
      <c r="I93" s="1473"/>
      <c r="J93" s="1473"/>
      <c r="K93" s="1473"/>
      <c r="L93" s="1473"/>
      <c r="M93" s="1473"/>
      <c r="N93" s="1474"/>
      <c r="O93" s="328">
        <f t="shared" si="9"/>
        <v>0</v>
      </c>
    </row>
    <row r="94" spans="1:15" ht="13.5" thickBot="1">
      <c r="A94">
        <f t="shared" si="7"/>
        <v>0</v>
      </c>
      <c r="B94" s="2045">
        <f t="shared" si="8"/>
        <v>0</v>
      </c>
      <c r="C94" s="2046"/>
      <c r="D94" s="2047"/>
      <c r="E94" s="1472"/>
      <c r="F94" s="1473"/>
      <c r="G94" s="1473"/>
      <c r="H94" s="1473"/>
      <c r="I94" s="1473"/>
      <c r="J94" s="1473"/>
      <c r="K94" s="1473"/>
      <c r="L94" s="1473"/>
      <c r="M94" s="1473"/>
      <c r="N94" s="1474"/>
      <c r="O94" s="328">
        <f t="shared" si="9"/>
        <v>0</v>
      </c>
    </row>
    <row r="95" spans="1:15" ht="13.5" thickBot="1">
      <c r="A95">
        <f t="shared" si="7"/>
        <v>0</v>
      </c>
      <c r="B95" s="2048" t="s">
        <v>661</v>
      </c>
      <c r="C95" s="2049"/>
      <c r="D95" s="2049"/>
      <c r="E95" s="1468">
        <v>0</v>
      </c>
      <c r="F95" s="1469"/>
      <c r="G95" s="1469">
        <v>0</v>
      </c>
      <c r="H95" s="1469"/>
      <c r="I95" s="1469"/>
      <c r="J95" s="1469"/>
      <c r="K95" s="1469"/>
      <c r="L95" s="1469"/>
      <c r="M95" s="1469"/>
      <c r="N95" s="1470"/>
      <c r="O95" s="1471">
        <f t="shared" si="9"/>
        <v>0</v>
      </c>
    </row>
    <row r="96" spans="1:15">
      <c r="A96">
        <f t="shared" si="7"/>
        <v>0</v>
      </c>
      <c r="B96" s="2044" t="str">
        <f>B18</f>
        <v>Service Rig</v>
      </c>
      <c r="C96" s="1769"/>
      <c r="D96" s="1769"/>
      <c r="E96" s="1475"/>
      <c r="F96" s="1473"/>
      <c r="G96" s="1473"/>
      <c r="H96" s="1473"/>
      <c r="I96" s="1473"/>
      <c r="J96" s="1473"/>
      <c r="K96" s="1473"/>
      <c r="L96" s="1473"/>
      <c r="M96" s="1473"/>
      <c r="N96" s="1474"/>
      <c r="O96" s="328">
        <f t="shared" si="9"/>
        <v>0</v>
      </c>
    </row>
    <row r="97" spans="1:15">
      <c r="A97">
        <f t="shared" si="7"/>
        <v>0</v>
      </c>
      <c r="B97" s="2053" t="str">
        <f t="shared" ref="B97:B116" si="10">B19</f>
        <v>Anchors</v>
      </c>
      <c r="C97" s="2054"/>
      <c r="D97" s="1804"/>
      <c r="E97" s="1475"/>
      <c r="F97" s="1473"/>
      <c r="G97" s="1473"/>
      <c r="H97" s="1473"/>
      <c r="I97" s="1473"/>
      <c r="J97" s="1473"/>
      <c r="K97" s="1473"/>
      <c r="L97" s="1473"/>
      <c r="M97" s="1473"/>
      <c r="N97" s="1474"/>
      <c r="O97" s="328">
        <f t="shared" si="9"/>
        <v>0</v>
      </c>
    </row>
    <row r="98" spans="1:15">
      <c r="A98">
        <f t="shared" si="7"/>
        <v>0</v>
      </c>
      <c r="B98" s="2053" t="str">
        <f t="shared" si="10"/>
        <v>Electric Wireline</v>
      </c>
      <c r="C98" s="2054"/>
      <c r="D98" s="1804"/>
      <c r="E98" s="1475"/>
      <c r="F98" s="1473"/>
      <c r="G98" s="1473"/>
      <c r="H98" s="1473"/>
      <c r="I98" s="1473"/>
      <c r="J98" s="1473"/>
      <c r="K98" s="1473"/>
      <c r="L98" s="1473"/>
      <c r="M98" s="1473"/>
      <c r="N98" s="1474"/>
      <c r="O98" s="328">
        <f t="shared" si="9"/>
        <v>0</v>
      </c>
    </row>
    <row r="99" spans="1:15">
      <c r="A99">
        <f t="shared" si="7"/>
        <v>0</v>
      </c>
      <c r="B99" s="2053" t="str">
        <f t="shared" si="10"/>
        <v>Slickline</v>
      </c>
      <c r="C99" s="2054"/>
      <c r="D99" s="1804"/>
      <c r="E99" s="1475"/>
      <c r="F99" s="1473"/>
      <c r="G99" s="1473"/>
      <c r="H99" s="1473"/>
      <c r="I99" s="1473"/>
      <c r="J99" s="1473"/>
      <c r="K99" s="1473"/>
      <c r="L99" s="1473"/>
      <c r="M99" s="1473"/>
      <c r="N99" s="1474"/>
      <c r="O99" s="328">
        <f t="shared" si="9"/>
        <v>0</v>
      </c>
    </row>
    <row r="100" spans="1:15">
      <c r="A100">
        <f t="shared" si="7"/>
        <v>0</v>
      </c>
      <c r="B100" s="2053" t="str">
        <f t="shared" si="10"/>
        <v>Acidizing</v>
      </c>
      <c r="C100" s="2054"/>
      <c r="D100" s="1804"/>
      <c r="E100" s="1475"/>
      <c r="F100" s="1473"/>
      <c r="G100" s="1473"/>
      <c r="H100" s="1473"/>
      <c r="I100" s="1473"/>
      <c r="J100" s="1473"/>
      <c r="K100" s="1473"/>
      <c r="L100" s="1473"/>
      <c r="M100" s="1473"/>
      <c r="N100" s="1474"/>
      <c r="O100" s="328">
        <f t="shared" si="9"/>
        <v>0</v>
      </c>
    </row>
    <row r="101" spans="1:15">
      <c r="A101">
        <f t="shared" si="7"/>
        <v>0</v>
      </c>
      <c r="B101" s="2053" t="str">
        <f t="shared" si="10"/>
        <v>Fracturing</v>
      </c>
      <c r="C101" s="2054"/>
      <c r="D101" s="1804"/>
      <c r="E101" s="1475"/>
      <c r="F101" s="1473"/>
      <c r="G101" s="1473"/>
      <c r="H101" s="1473"/>
      <c r="I101" s="1473"/>
      <c r="J101" s="1473"/>
      <c r="K101" s="1473"/>
      <c r="L101" s="1473"/>
      <c r="M101" s="1473"/>
      <c r="N101" s="1474"/>
      <c r="O101" s="328">
        <f t="shared" si="9"/>
        <v>0</v>
      </c>
    </row>
    <row r="102" spans="1:15">
      <c r="A102">
        <f t="shared" si="7"/>
        <v>0</v>
      </c>
      <c r="B102" s="2053" t="str">
        <f t="shared" si="10"/>
        <v>Cementing</v>
      </c>
      <c r="C102" s="2054"/>
      <c r="D102" s="1804"/>
      <c r="E102" s="1475"/>
      <c r="F102" s="1473"/>
      <c r="G102" s="1473"/>
      <c r="H102" s="1473"/>
      <c r="I102" s="1473"/>
      <c r="J102" s="1473"/>
      <c r="K102" s="1473"/>
      <c r="L102" s="1473"/>
      <c r="M102" s="1473"/>
      <c r="N102" s="1474"/>
      <c r="O102" s="328">
        <f t="shared" si="9"/>
        <v>0</v>
      </c>
    </row>
    <row r="103" spans="1:15">
      <c r="A103">
        <f t="shared" si="7"/>
        <v>0</v>
      </c>
      <c r="B103" s="2053" t="str">
        <f t="shared" si="10"/>
        <v>Coiled Tubing</v>
      </c>
      <c r="C103" s="2054"/>
      <c r="D103" s="1804"/>
      <c r="E103" s="1475"/>
      <c r="F103" s="1473"/>
      <c r="G103" s="1473"/>
      <c r="H103" s="1473"/>
      <c r="I103" s="1473"/>
      <c r="J103" s="1473"/>
      <c r="K103" s="1473"/>
      <c r="L103" s="1473"/>
      <c r="M103" s="1473"/>
      <c r="N103" s="1474"/>
      <c r="O103" s="328">
        <f t="shared" si="9"/>
        <v>0</v>
      </c>
    </row>
    <row r="104" spans="1:15">
      <c r="A104">
        <f t="shared" si="7"/>
        <v>0</v>
      </c>
      <c r="B104" s="2053" t="str">
        <f t="shared" si="10"/>
        <v>Testing</v>
      </c>
      <c r="C104" s="2054"/>
      <c r="D104" s="1804"/>
      <c r="E104" s="1475"/>
      <c r="F104" s="1473"/>
      <c r="G104" s="1473"/>
      <c r="H104" s="1473"/>
      <c r="I104" s="1473"/>
      <c r="J104" s="1473"/>
      <c r="K104" s="1473"/>
      <c r="L104" s="1473"/>
      <c r="M104" s="1473"/>
      <c r="N104" s="1474"/>
      <c r="O104" s="328">
        <f t="shared" si="9"/>
        <v>0</v>
      </c>
    </row>
    <row r="105" spans="1:15">
      <c r="A105">
        <f t="shared" si="7"/>
        <v>0</v>
      </c>
      <c r="B105" s="2053" t="str">
        <f t="shared" si="10"/>
        <v>Cat Work</v>
      </c>
      <c r="C105" s="2054"/>
      <c r="D105" s="1804"/>
      <c r="E105" s="1475"/>
      <c r="F105" s="1473"/>
      <c r="G105" s="1473"/>
      <c r="H105" s="1473"/>
      <c r="I105" s="1473"/>
      <c r="J105" s="1473"/>
      <c r="K105" s="1473"/>
      <c r="L105" s="1473"/>
      <c r="M105" s="1473"/>
      <c r="N105" s="1474"/>
      <c r="O105" s="328">
        <f t="shared" si="9"/>
        <v>0</v>
      </c>
    </row>
    <row r="106" spans="1:15">
      <c r="A106">
        <f t="shared" si="7"/>
        <v>0</v>
      </c>
      <c r="B106" s="2053" t="str">
        <f t="shared" si="10"/>
        <v>Safety Equipment</v>
      </c>
      <c r="C106" s="2054"/>
      <c r="D106" s="1804"/>
      <c r="E106" s="1475"/>
      <c r="F106" s="1473"/>
      <c r="G106" s="1473"/>
      <c r="H106" s="1473"/>
      <c r="I106" s="1473"/>
      <c r="J106" s="1473"/>
      <c r="K106" s="1473"/>
      <c r="L106" s="1473"/>
      <c r="M106" s="1473"/>
      <c r="N106" s="1474"/>
      <c r="O106" s="328">
        <f t="shared" si="9"/>
        <v>0</v>
      </c>
    </row>
    <row r="107" spans="1:15">
      <c r="A107">
        <f t="shared" si="7"/>
        <v>0</v>
      </c>
      <c r="B107" s="2053" t="str">
        <f t="shared" si="10"/>
        <v>Hot Oil or Pump Unit</v>
      </c>
      <c r="C107" s="2054"/>
      <c r="D107" s="1804"/>
      <c r="E107" s="1475"/>
      <c r="F107" s="1473"/>
      <c r="G107" s="1473"/>
      <c r="H107" s="1473"/>
      <c r="I107" s="1473"/>
      <c r="J107" s="1473"/>
      <c r="K107" s="1473"/>
      <c r="L107" s="1473"/>
      <c r="M107" s="1473"/>
      <c r="N107" s="1474"/>
      <c r="O107" s="328">
        <f t="shared" si="9"/>
        <v>0</v>
      </c>
    </row>
    <row r="108" spans="1:15">
      <c r="A108">
        <f t="shared" si="7"/>
        <v>0</v>
      </c>
      <c r="B108" s="2053" t="str">
        <f t="shared" si="10"/>
        <v>Trucking/Delivery</v>
      </c>
      <c r="C108" s="2054"/>
      <c r="D108" s="1804"/>
      <c r="E108" s="1475"/>
      <c r="F108" s="1473"/>
      <c r="G108" s="1473"/>
      <c r="H108" s="1473"/>
      <c r="I108" s="1473"/>
      <c r="J108" s="1473"/>
      <c r="K108" s="1473"/>
      <c r="L108" s="1473"/>
      <c r="M108" s="1473"/>
      <c r="N108" s="1474"/>
      <c r="O108" s="328">
        <f t="shared" si="9"/>
        <v>0</v>
      </c>
    </row>
    <row r="109" spans="1:15">
      <c r="A109">
        <f t="shared" si="7"/>
        <v>0</v>
      </c>
      <c r="B109" s="2053" t="str">
        <f t="shared" si="10"/>
        <v>Tank Truck</v>
      </c>
      <c r="C109" s="2054"/>
      <c r="D109" s="1804"/>
      <c r="E109" s="1475"/>
      <c r="F109" s="1473"/>
      <c r="G109" s="1473"/>
      <c r="H109" s="1473"/>
      <c r="I109" s="1473"/>
      <c r="J109" s="1473"/>
      <c r="K109" s="1473"/>
      <c r="L109" s="1473"/>
      <c r="M109" s="1473"/>
      <c r="N109" s="1474"/>
      <c r="O109" s="328">
        <f t="shared" si="9"/>
        <v>0</v>
      </c>
    </row>
    <row r="110" spans="1:15">
      <c r="A110">
        <f t="shared" si="7"/>
        <v>0</v>
      </c>
      <c r="B110" s="2053" t="str">
        <f t="shared" si="10"/>
        <v>Vacuum Truck</v>
      </c>
      <c r="C110" s="2054"/>
      <c r="D110" s="1804"/>
      <c r="E110" s="1475"/>
      <c r="F110" s="1473"/>
      <c r="G110" s="1473"/>
      <c r="H110" s="1473"/>
      <c r="I110" s="1473"/>
      <c r="J110" s="1473"/>
      <c r="K110" s="1473"/>
      <c r="L110" s="1473"/>
      <c r="M110" s="1473"/>
      <c r="N110" s="1474"/>
      <c r="O110" s="328">
        <f t="shared" si="9"/>
        <v>0</v>
      </c>
    </row>
    <row r="111" spans="1:15">
      <c r="A111">
        <f t="shared" si="7"/>
        <v>0</v>
      </c>
      <c r="B111" s="2053" t="str">
        <f t="shared" si="10"/>
        <v>Misc.</v>
      </c>
      <c r="C111" s="2054"/>
      <c r="D111" s="1804"/>
      <c r="E111" s="1475"/>
      <c r="F111" s="1473"/>
      <c r="G111" s="1473"/>
      <c r="H111" s="1473"/>
      <c r="I111" s="1473"/>
      <c r="J111" s="1473"/>
      <c r="K111" s="1473"/>
      <c r="L111" s="1473"/>
      <c r="M111" s="1473"/>
      <c r="N111" s="1474"/>
      <c r="O111" s="328">
        <f t="shared" si="9"/>
        <v>0</v>
      </c>
    </row>
    <row r="112" spans="1:15">
      <c r="A112">
        <f t="shared" si="7"/>
        <v>0</v>
      </c>
      <c r="B112" s="2053" t="str">
        <f t="shared" si="10"/>
        <v>Disposal</v>
      </c>
      <c r="C112" s="2054"/>
      <c r="D112" s="1804"/>
      <c r="E112" s="1475"/>
      <c r="F112" s="1473"/>
      <c r="G112" s="1473"/>
      <c r="H112" s="1473"/>
      <c r="I112" s="1473"/>
      <c r="J112" s="1473"/>
      <c r="K112" s="1473"/>
      <c r="L112" s="1473"/>
      <c r="M112" s="1473"/>
      <c r="N112" s="1474"/>
      <c r="O112" s="328">
        <f t="shared" si="9"/>
        <v>0</v>
      </c>
    </row>
    <row r="113" spans="1:15">
      <c r="A113">
        <f t="shared" si="7"/>
        <v>0</v>
      </c>
      <c r="B113" s="2053" t="str">
        <f t="shared" si="10"/>
        <v>Stuck &amp; Tow</v>
      </c>
      <c r="C113" s="2054"/>
      <c r="D113" s="1804"/>
      <c r="E113" s="1475"/>
      <c r="F113" s="1473"/>
      <c r="G113" s="1473"/>
      <c r="H113" s="1473"/>
      <c r="I113" s="1473"/>
      <c r="J113" s="1473"/>
      <c r="K113" s="1473"/>
      <c r="L113" s="1473"/>
      <c r="M113" s="1473"/>
      <c r="N113" s="1474"/>
      <c r="O113" s="328">
        <f t="shared" si="9"/>
        <v>0</v>
      </c>
    </row>
    <row r="114" spans="1:15">
      <c r="A114">
        <f t="shared" si="7"/>
        <v>0</v>
      </c>
      <c r="B114" s="2053">
        <f t="shared" si="10"/>
        <v>0</v>
      </c>
      <c r="C114" s="2054"/>
      <c r="D114" s="1804"/>
      <c r="E114" s="1475"/>
      <c r="F114" s="1473"/>
      <c r="G114" s="1473"/>
      <c r="H114" s="1473"/>
      <c r="I114" s="1473"/>
      <c r="J114" s="1473"/>
      <c r="K114" s="1473"/>
      <c r="L114" s="1473"/>
      <c r="M114" s="1473"/>
      <c r="N114" s="1474"/>
      <c r="O114" s="328">
        <f t="shared" si="9"/>
        <v>0</v>
      </c>
    </row>
    <row r="115" spans="1:15">
      <c r="A115">
        <f t="shared" si="7"/>
        <v>0</v>
      </c>
      <c r="B115" s="2053">
        <f t="shared" si="10"/>
        <v>0</v>
      </c>
      <c r="C115" s="2054"/>
      <c r="D115" s="1804"/>
      <c r="E115" s="1475"/>
      <c r="F115" s="1473"/>
      <c r="G115" s="1473"/>
      <c r="H115" s="1473"/>
      <c r="I115" s="1473"/>
      <c r="J115" s="1473"/>
      <c r="K115" s="1473"/>
      <c r="L115" s="1473"/>
      <c r="M115" s="1473"/>
      <c r="N115" s="1474"/>
      <c r="O115" s="328">
        <f t="shared" si="9"/>
        <v>0</v>
      </c>
    </row>
    <row r="116" spans="1:15" ht="13.5" thickBot="1">
      <c r="A116">
        <f t="shared" si="7"/>
        <v>0</v>
      </c>
      <c r="B116" s="2045">
        <f t="shared" si="10"/>
        <v>0</v>
      </c>
      <c r="C116" s="2046"/>
      <c r="D116" s="2047"/>
      <c r="E116" s="1475"/>
      <c r="F116" s="1473"/>
      <c r="G116" s="1473"/>
      <c r="H116" s="1473"/>
      <c r="I116" s="1473"/>
      <c r="J116" s="1473"/>
      <c r="K116" s="1473"/>
      <c r="L116" s="1473"/>
      <c r="M116" s="1473"/>
      <c r="N116" s="1474"/>
      <c r="O116" s="328">
        <f t="shared" si="9"/>
        <v>0</v>
      </c>
    </row>
    <row r="117" spans="1:15" ht="13.5" thickBot="1">
      <c r="A117">
        <f t="shared" ref="A117:A148" si="11">A39</f>
        <v>0</v>
      </c>
      <c r="B117" s="2048" t="s">
        <v>662</v>
      </c>
      <c r="C117" s="2049"/>
      <c r="D117" s="2049"/>
      <c r="E117" s="1468">
        <v>0</v>
      </c>
      <c r="F117" s="1469"/>
      <c r="G117" s="1469">
        <v>0</v>
      </c>
      <c r="H117" s="1469"/>
      <c r="I117" s="1469"/>
      <c r="J117" s="1469"/>
      <c r="K117" s="1469"/>
      <c r="L117" s="1469"/>
      <c r="M117" s="1469"/>
      <c r="N117" s="1470"/>
      <c r="O117" s="1471">
        <f t="shared" si="9"/>
        <v>0</v>
      </c>
    </row>
    <row r="118" spans="1:15">
      <c r="A118">
        <f t="shared" si="11"/>
        <v>0</v>
      </c>
      <c r="B118" s="2044" t="str">
        <f t="shared" ref="B118:B129" si="12">B40</f>
        <v>Tank(s)</v>
      </c>
      <c r="C118" s="1769"/>
      <c r="D118" s="1769"/>
      <c r="E118" s="1475"/>
      <c r="F118" s="1473"/>
      <c r="G118" s="1473"/>
      <c r="H118" s="1473"/>
      <c r="I118" s="1473"/>
      <c r="J118" s="1473"/>
      <c r="K118" s="1473"/>
      <c r="L118" s="1473"/>
      <c r="M118" s="1473"/>
      <c r="N118" s="1474"/>
      <c r="O118" s="328">
        <f t="shared" ref="O118:O148" si="13">SUM(E118:N118)</f>
        <v>0</v>
      </c>
    </row>
    <row r="119" spans="1:15">
      <c r="A119">
        <f t="shared" si="11"/>
        <v>0</v>
      </c>
      <c r="B119" s="2055" t="str">
        <f t="shared" si="12"/>
        <v>Power Swivel</v>
      </c>
      <c r="C119" s="1805"/>
      <c r="D119" s="1805"/>
      <c r="E119" s="1475"/>
      <c r="F119" s="1473"/>
      <c r="G119" s="1473"/>
      <c r="H119" s="1473"/>
      <c r="I119" s="1473"/>
      <c r="J119" s="1473"/>
      <c r="K119" s="1473"/>
      <c r="L119" s="1473"/>
      <c r="M119" s="1473"/>
      <c r="N119" s="1474"/>
      <c r="O119" s="328">
        <f t="shared" si="13"/>
        <v>0</v>
      </c>
    </row>
    <row r="120" spans="1:15">
      <c r="A120">
        <f t="shared" si="11"/>
        <v>0</v>
      </c>
      <c r="B120" s="2055" t="str">
        <f t="shared" si="12"/>
        <v>Tubing</v>
      </c>
      <c r="C120" s="1805"/>
      <c r="D120" s="1805"/>
      <c r="E120" s="1475"/>
      <c r="F120" s="1473"/>
      <c r="G120" s="1473"/>
      <c r="H120" s="1473"/>
      <c r="I120" s="1473"/>
      <c r="J120" s="1473"/>
      <c r="K120" s="1473"/>
      <c r="L120" s="1473"/>
      <c r="M120" s="1473"/>
      <c r="N120" s="1474"/>
      <c r="O120" s="328">
        <f t="shared" si="13"/>
        <v>0</v>
      </c>
    </row>
    <row r="121" spans="1:15">
      <c r="A121">
        <f t="shared" si="11"/>
        <v>0</v>
      </c>
      <c r="B121" s="2055" t="str">
        <f t="shared" si="12"/>
        <v>Handling Equipment</v>
      </c>
      <c r="C121" s="1805"/>
      <c r="D121" s="1805"/>
      <c r="E121" s="1475"/>
      <c r="F121" s="1473"/>
      <c r="G121" s="1473"/>
      <c r="H121" s="1473"/>
      <c r="I121" s="1473"/>
      <c r="J121" s="1473"/>
      <c r="K121" s="1473"/>
      <c r="L121" s="1473"/>
      <c r="M121" s="1473"/>
      <c r="N121" s="1474"/>
      <c r="O121" s="328">
        <f t="shared" si="13"/>
        <v>0</v>
      </c>
    </row>
    <row r="122" spans="1:15">
      <c r="A122">
        <f t="shared" si="11"/>
        <v>0</v>
      </c>
      <c r="B122" s="2055" t="str">
        <f t="shared" si="12"/>
        <v>Drill Pipe/Collars</v>
      </c>
      <c r="C122" s="1805"/>
      <c r="D122" s="1805"/>
      <c r="E122" s="1475"/>
      <c r="F122" s="1473"/>
      <c r="G122" s="1473"/>
      <c r="H122" s="1473"/>
      <c r="I122" s="1473"/>
      <c r="J122" s="1473"/>
      <c r="K122" s="1473"/>
      <c r="L122" s="1473"/>
      <c r="M122" s="1473"/>
      <c r="N122" s="1474"/>
      <c r="O122" s="328">
        <f t="shared" si="13"/>
        <v>0</v>
      </c>
    </row>
    <row r="123" spans="1:15">
      <c r="A123">
        <f t="shared" si="11"/>
        <v>0</v>
      </c>
      <c r="B123" s="2055" t="str">
        <f t="shared" si="12"/>
        <v>Casing Scraper</v>
      </c>
      <c r="C123" s="1805"/>
      <c r="D123" s="1805"/>
      <c r="E123" s="1475"/>
      <c r="F123" s="1473"/>
      <c r="G123" s="1473"/>
      <c r="H123" s="1473"/>
      <c r="I123" s="1473"/>
      <c r="J123" s="1473"/>
      <c r="K123" s="1473"/>
      <c r="L123" s="1473"/>
      <c r="M123" s="1473"/>
      <c r="N123" s="1474"/>
      <c r="O123" s="328">
        <f t="shared" si="13"/>
        <v>0</v>
      </c>
    </row>
    <row r="124" spans="1:15">
      <c r="A124">
        <f t="shared" si="11"/>
        <v>0</v>
      </c>
      <c r="B124" s="2055" t="str">
        <f t="shared" si="12"/>
        <v>Tree Saver</v>
      </c>
      <c r="C124" s="1805"/>
      <c r="D124" s="1805"/>
      <c r="E124" s="1475"/>
      <c r="F124" s="1473"/>
      <c r="G124" s="1473"/>
      <c r="H124" s="1473"/>
      <c r="I124" s="1473"/>
      <c r="J124" s="1473"/>
      <c r="K124" s="1473"/>
      <c r="L124" s="1473"/>
      <c r="M124" s="1473"/>
      <c r="N124" s="1474"/>
      <c r="O124" s="328">
        <f t="shared" si="13"/>
        <v>0</v>
      </c>
    </row>
    <row r="125" spans="1:15">
      <c r="A125">
        <f t="shared" si="11"/>
        <v>0</v>
      </c>
      <c r="B125" s="2055" t="str">
        <f t="shared" si="12"/>
        <v>Recycle Bin</v>
      </c>
      <c r="C125" s="1805"/>
      <c r="D125" s="1805"/>
      <c r="E125" s="1475"/>
      <c r="F125" s="1473"/>
      <c r="G125" s="1473"/>
      <c r="H125" s="1473"/>
      <c r="I125" s="1473"/>
      <c r="J125" s="1473"/>
      <c r="K125" s="1473"/>
      <c r="L125" s="1473"/>
      <c r="M125" s="1473"/>
      <c r="N125" s="1474"/>
      <c r="O125" s="328">
        <f t="shared" si="13"/>
        <v>0</v>
      </c>
    </row>
    <row r="126" spans="1:15">
      <c r="A126">
        <f t="shared" si="11"/>
        <v>0</v>
      </c>
      <c r="B126" s="2055" t="str">
        <f t="shared" si="12"/>
        <v>Light Towers</v>
      </c>
      <c r="C126" s="1805"/>
      <c r="D126" s="1805"/>
      <c r="E126" s="1475"/>
      <c r="F126" s="1473"/>
      <c r="G126" s="1473"/>
      <c r="H126" s="1473"/>
      <c r="I126" s="1473"/>
      <c r="J126" s="1473"/>
      <c r="K126" s="1473"/>
      <c r="L126" s="1473"/>
      <c r="M126" s="1473"/>
      <c r="N126" s="1474"/>
      <c r="O126" s="328">
        <f t="shared" si="13"/>
        <v>0</v>
      </c>
    </row>
    <row r="127" spans="1:15">
      <c r="A127">
        <f t="shared" si="11"/>
        <v>0</v>
      </c>
      <c r="B127" s="2055" t="str">
        <f t="shared" si="12"/>
        <v>Wellsite Unit</v>
      </c>
      <c r="C127" s="1805"/>
      <c r="D127" s="1805"/>
      <c r="E127" s="1475"/>
      <c r="F127" s="1473"/>
      <c r="G127" s="1473"/>
      <c r="H127" s="1473"/>
      <c r="I127" s="1473"/>
      <c r="J127" s="1473"/>
      <c r="K127" s="1473"/>
      <c r="L127" s="1473"/>
      <c r="M127" s="1473"/>
      <c r="N127" s="1474"/>
      <c r="O127" s="328">
        <f t="shared" si="13"/>
        <v>0</v>
      </c>
    </row>
    <row r="128" spans="1:15">
      <c r="A128">
        <f t="shared" si="11"/>
        <v>0</v>
      </c>
      <c r="B128" s="2055">
        <f t="shared" si="12"/>
        <v>0</v>
      </c>
      <c r="C128" s="1805"/>
      <c r="D128" s="1805"/>
      <c r="E128" s="1475"/>
      <c r="F128" s="1473"/>
      <c r="G128" s="1473"/>
      <c r="H128" s="1473"/>
      <c r="I128" s="1473"/>
      <c r="J128" s="1473"/>
      <c r="K128" s="1473"/>
      <c r="L128" s="1473"/>
      <c r="M128" s="1473"/>
      <c r="N128" s="1474"/>
      <c r="O128" s="328">
        <f t="shared" si="13"/>
        <v>0</v>
      </c>
    </row>
    <row r="129" spans="1:15" ht="13.5" thickBot="1">
      <c r="A129">
        <f t="shared" si="11"/>
        <v>0</v>
      </c>
      <c r="B129" s="2058">
        <f t="shared" si="12"/>
        <v>0</v>
      </c>
      <c r="C129" s="2059"/>
      <c r="D129" s="2059"/>
      <c r="E129" s="1475"/>
      <c r="F129" s="1473"/>
      <c r="G129" s="1473"/>
      <c r="H129" s="1473"/>
      <c r="I129" s="1473"/>
      <c r="J129" s="1473"/>
      <c r="K129" s="1473"/>
      <c r="L129" s="1473"/>
      <c r="M129" s="1473"/>
      <c r="N129" s="1474"/>
      <c r="O129" s="328">
        <f t="shared" si="13"/>
        <v>0</v>
      </c>
    </row>
    <row r="130" spans="1:15" ht="13.5" thickBot="1">
      <c r="A130">
        <f t="shared" si="11"/>
        <v>0</v>
      </c>
      <c r="B130" s="2048" t="s">
        <v>676</v>
      </c>
      <c r="C130" s="2049"/>
      <c r="D130" s="2049"/>
      <c r="E130" s="1468">
        <v>0</v>
      </c>
      <c r="F130" s="1469"/>
      <c r="G130" s="1469">
        <v>0</v>
      </c>
      <c r="H130" s="1469"/>
      <c r="I130" s="1469"/>
      <c r="J130" s="1469"/>
      <c r="K130" s="1469"/>
      <c r="L130" s="1469"/>
      <c r="M130" s="1469"/>
      <c r="N130" s="1470"/>
      <c r="O130" s="1471">
        <f t="shared" si="13"/>
        <v>0</v>
      </c>
    </row>
    <row r="131" spans="1:15">
      <c r="A131">
        <f t="shared" si="11"/>
        <v>0</v>
      </c>
      <c r="B131" s="2044" t="str">
        <f t="shared" ref="B131:B136" si="14">B53</f>
        <v>Water</v>
      </c>
      <c r="C131" s="1769"/>
      <c r="D131" s="1769"/>
      <c r="E131" s="1475"/>
      <c r="F131" s="1473"/>
      <c r="G131" s="1473"/>
      <c r="H131" s="1473"/>
      <c r="I131" s="1473"/>
      <c r="J131" s="1473"/>
      <c r="K131" s="1473"/>
      <c r="L131" s="1473"/>
      <c r="M131" s="1473"/>
      <c r="N131" s="1474"/>
      <c r="O131" s="328">
        <f t="shared" si="13"/>
        <v>0</v>
      </c>
    </row>
    <row r="132" spans="1:15">
      <c r="A132">
        <f t="shared" si="11"/>
        <v>0</v>
      </c>
      <c r="B132" s="2055" t="str">
        <f t="shared" si="14"/>
        <v>Load Oil</v>
      </c>
      <c r="C132" s="1805"/>
      <c r="D132" s="1805"/>
      <c r="E132" s="1475"/>
      <c r="F132" s="1473"/>
      <c r="G132" s="1473"/>
      <c r="H132" s="1473"/>
      <c r="I132" s="1473"/>
      <c r="J132" s="1473"/>
      <c r="K132" s="1473"/>
      <c r="L132" s="1473"/>
      <c r="M132" s="1473"/>
      <c r="N132" s="1474"/>
      <c r="O132" s="328">
        <f t="shared" si="13"/>
        <v>0</v>
      </c>
    </row>
    <row r="133" spans="1:15">
      <c r="A133">
        <f t="shared" si="11"/>
        <v>0</v>
      </c>
      <c r="B133" s="2055" t="str">
        <f t="shared" si="14"/>
        <v>Chemical</v>
      </c>
      <c r="C133" s="1805"/>
      <c r="D133" s="1805"/>
      <c r="E133" s="1475"/>
      <c r="F133" s="1473"/>
      <c r="G133" s="1473"/>
      <c r="H133" s="1473"/>
      <c r="I133" s="1473"/>
      <c r="J133" s="1473"/>
      <c r="K133" s="1473"/>
      <c r="L133" s="1473"/>
      <c r="M133" s="1473"/>
      <c r="N133" s="1474"/>
      <c r="O133" s="328">
        <f t="shared" si="13"/>
        <v>0</v>
      </c>
    </row>
    <row r="134" spans="1:15">
      <c r="A134">
        <f t="shared" si="11"/>
        <v>0</v>
      </c>
      <c r="B134" s="2055" t="str">
        <f t="shared" si="14"/>
        <v>Methanol</v>
      </c>
      <c r="C134" s="1805"/>
      <c r="D134" s="1805"/>
      <c r="E134" s="1475"/>
      <c r="F134" s="1473"/>
      <c r="G134" s="1473"/>
      <c r="H134" s="1473"/>
      <c r="I134" s="1473"/>
      <c r="J134" s="1473"/>
      <c r="K134" s="1473"/>
      <c r="L134" s="1473"/>
      <c r="M134" s="1473"/>
      <c r="N134" s="1474"/>
      <c r="O134" s="328">
        <f t="shared" si="13"/>
        <v>0</v>
      </c>
    </row>
    <row r="135" spans="1:15">
      <c r="A135">
        <f t="shared" si="11"/>
        <v>0</v>
      </c>
      <c r="B135" s="2055">
        <f t="shared" si="14"/>
        <v>0</v>
      </c>
      <c r="C135" s="1805"/>
      <c r="D135" s="1805"/>
      <c r="E135" s="1475"/>
      <c r="F135" s="1473"/>
      <c r="G135" s="1473"/>
      <c r="H135" s="1473"/>
      <c r="I135" s="1473"/>
      <c r="J135" s="1473"/>
      <c r="K135" s="1473"/>
      <c r="L135" s="1473"/>
      <c r="M135" s="1473"/>
      <c r="N135" s="1474"/>
      <c r="O135" s="328">
        <f t="shared" si="13"/>
        <v>0</v>
      </c>
    </row>
    <row r="136" spans="1:15" ht="13.5" thickBot="1">
      <c r="A136">
        <f t="shared" si="11"/>
        <v>0</v>
      </c>
      <c r="B136" s="2056">
        <f t="shared" si="14"/>
        <v>0</v>
      </c>
      <c r="C136" s="2057"/>
      <c r="D136" s="2057"/>
      <c r="E136" s="1475"/>
      <c r="F136" s="1473"/>
      <c r="G136" s="1473"/>
      <c r="H136" s="1473"/>
      <c r="I136" s="1473"/>
      <c r="J136" s="1473"/>
      <c r="K136" s="1473"/>
      <c r="L136" s="1473"/>
      <c r="M136" s="1473"/>
      <c r="N136" s="1474"/>
      <c r="O136" s="328">
        <f t="shared" si="13"/>
        <v>0</v>
      </c>
    </row>
    <row r="137" spans="1:15" ht="13.5" thickBot="1">
      <c r="A137">
        <f t="shared" si="11"/>
        <v>0</v>
      </c>
      <c r="B137" s="2048" t="s">
        <v>681</v>
      </c>
      <c r="C137" s="2049"/>
      <c r="D137" s="2049"/>
      <c r="E137" s="1468"/>
      <c r="F137" s="1469"/>
      <c r="G137" s="1469"/>
      <c r="H137" s="1469"/>
      <c r="I137" s="1469"/>
      <c r="J137" s="1469"/>
      <c r="K137" s="1469"/>
      <c r="L137" s="1469"/>
      <c r="M137" s="1469"/>
      <c r="N137" s="1470"/>
      <c r="O137" s="1471">
        <f t="shared" si="13"/>
        <v>0</v>
      </c>
    </row>
    <row r="138" spans="1:15">
      <c r="A138">
        <f t="shared" si="11"/>
        <v>0</v>
      </c>
      <c r="B138" s="2044" t="str">
        <f t="shared" ref="B138:B144" si="15">B60</f>
        <v>Wellsite Supervisor</v>
      </c>
      <c r="C138" s="1769"/>
      <c r="D138" s="1769"/>
      <c r="E138" s="1475"/>
      <c r="F138" s="1473"/>
      <c r="G138" s="1473"/>
      <c r="H138" s="1473"/>
      <c r="I138" s="1473"/>
      <c r="J138" s="1473"/>
      <c r="K138" s="1473"/>
      <c r="L138" s="1473"/>
      <c r="M138" s="1473"/>
      <c r="N138" s="1474"/>
      <c r="O138" s="328">
        <f t="shared" si="13"/>
        <v>0</v>
      </c>
    </row>
    <row r="139" spans="1:15">
      <c r="A139">
        <f t="shared" si="11"/>
        <v>0</v>
      </c>
      <c r="B139" s="2055" t="str">
        <f t="shared" si="15"/>
        <v>Accommodation</v>
      </c>
      <c r="C139" s="1805"/>
      <c r="D139" s="1805"/>
      <c r="E139" s="1475"/>
      <c r="F139" s="1473"/>
      <c r="G139" s="1473"/>
      <c r="H139" s="1473"/>
      <c r="I139" s="1473"/>
      <c r="J139" s="1473"/>
      <c r="K139" s="1473"/>
      <c r="L139" s="1473"/>
      <c r="M139" s="1473"/>
      <c r="N139" s="1474"/>
      <c r="O139" s="328">
        <f t="shared" si="13"/>
        <v>0</v>
      </c>
    </row>
    <row r="140" spans="1:15">
      <c r="A140">
        <f t="shared" si="11"/>
        <v>0</v>
      </c>
      <c r="B140" s="2055" t="str">
        <f t="shared" si="15"/>
        <v>Vehicle</v>
      </c>
      <c r="C140" s="1805"/>
      <c r="D140" s="1805"/>
      <c r="E140" s="1475"/>
      <c r="F140" s="1473"/>
      <c r="G140" s="1473"/>
      <c r="H140" s="1473"/>
      <c r="I140" s="1473"/>
      <c r="J140" s="1473"/>
      <c r="K140" s="1473"/>
      <c r="L140" s="1473"/>
      <c r="M140" s="1473"/>
      <c r="N140" s="1474"/>
      <c r="O140" s="328">
        <f t="shared" si="13"/>
        <v>0</v>
      </c>
    </row>
    <row r="141" spans="1:15">
      <c r="A141">
        <f t="shared" si="11"/>
        <v>0</v>
      </c>
      <c r="B141" s="2055" t="str">
        <f t="shared" si="15"/>
        <v>Subsistence</v>
      </c>
      <c r="C141" s="1805"/>
      <c r="D141" s="1805"/>
      <c r="E141" s="1475"/>
      <c r="F141" s="1473"/>
      <c r="G141" s="1473"/>
      <c r="H141" s="1473"/>
      <c r="I141" s="1473"/>
      <c r="J141" s="1473"/>
      <c r="K141" s="1473"/>
      <c r="L141" s="1473"/>
      <c r="M141" s="1473"/>
      <c r="N141" s="1474"/>
      <c r="O141" s="328">
        <f t="shared" si="13"/>
        <v>0</v>
      </c>
    </row>
    <row r="142" spans="1:15">
      <c r="A142">
        <f t="shared" si="11"/>
        <v>0</v>
      </c>
      <c r="B142" s="2055" t="str">
        <f t="shared" si="15"/>
        <v>Communication</v>
      </c>
      <c r="C142" s="1805"/>
      <c r="D142" s="1805"/>
      <c r="E142" s="1475"/>
      <c r="F142" s="1473"/>
      <c r="G142" s="1473"/>
      <c r="H142" s="1473"/>
      <c r="I142" s="1473"/>
      <c r="J142" s="1473"/>
      <c r="K142" s="1473"/>
      <c r="L142" s="1473"/>
      <c r="M142" s="1473"/>
      <c r="N142" s="1474"/>
      <c r="O142" s="328">
        <f t="shared" si="13"/>
        <v>0</v>
      </c>
    </row>
    <row r="143" spans="1:15">
      <c r="A143">
        <f t="shared" si="11"/>
        <v>0</v>
      </c>
      <c r="B143" s="2055">
        <f t="shared" si="15"/>
        <v>0</v>
      </c>
      <c r="C143" s="1805"/>
      <c r="D143" s="1805"/>
      <c r="E143" s="1475"/>
      <c r="F143" s="1473"/>
      <c r="G143" s="1473"/>
      <c r="H143" s="1473"/>
      <c r="I143" s="1473"/>
      <c r="J143" s="1473"/>
      <c r="K143" s="1473"/>
      <c r="L143" s="1473"/>
      <c r="M143" s="1473"/>
      <c r="N143" s="1474"/>
      <c r="O143" s="328">
        <f t="shared" si="13"/>
        <v>0</v>
      </c>
    </row>
    <row r="144" spans="1:15" ht="13.5" thickBot="1">
      <c r="A144">
        <f t="shared" si="11"/>
        <v>0</v>
      </c>
      <c r="B144" s="2056">
        <f t="shared" si="15"/>
        <v>0</v>
      </c>
      <c r="C144" s="2057"/>
      <c r="D144" s="2057"/>
      <c r="E144" s="1475"/>
      <c r="F144" s="1473"/>
      <c r="G144" s="1473"/>
      <c r="H144" s="1473"/>
      <c r="I144" s="1473"/>
      <c r="J144" s="1473"/>
      <c r="K144" s="1473"/>
      <c r="L144" s="1473"/>
      <c r="M144" s="1473"/>
      <c r="N144" s="1474"/>
      <c r="O144" s="328">
        <f t="shared" si="13"/>
        <v>0</v>
      </c>
    </row>
    <row r="145" spans="1:15" ht="13.5" thickBot="1">
      <c r="A145">
        <f t="shared" si="11"/>
        <v>0</v>
      </c>
      <c r="B145" s="2048" t="s">
        <v>680</v>
      </c>
      <c r="C145" s="2049"/>
      <c r="D145" s="2049"/>
      <c r="E145" s="1468"/>
      <c r="F145" s="1469"/>
      <c r="G145" s="1469"/>
      <c r="H145" s="1469"/>
      <c r="I145" s="1469"/>
      <c r="J145" s="1469"/>
      <c r="K145" s="1469"/>
      <c r="L145" s="1469"/>
      <c r="M145" s="1469"/>
      <c r="N145" s="1470"/>
      <c r="O145" s="1471">
        <f t="shared" si="13"/>
        <v>0</v>
      </c>
    </row>
    <row r="146" spans="1:15">
      <c r="A146">
        <f t="shared" si="11"/>
        <v>0</v>
      </c>
      <c r="B146" s="2044" t="str">
        <f t="shared" ref="B146:B151" si="16">B68</f>
        <v>Welding</v>
      </c>
      <c r="C146" s="1769"/>
      <c r="D146" s="1769"/>
      <c r="E146" s="1475"/>
      <c r="F146" s="1473"/>
      <c r="G146" s="1473"/>
      <c r="H146" s="1473"/>
      <c r="I146" s="1473"/>
      <c r="J146" s="1473"/>
      <c r="K146" s="1473"/>
      <c r="L146" s="1473"/>
      <c r="M146" s="1473"/>
      <c r="N146" s="1474"/>
      <c r="O146" s="328">
        <f t="shared" si="13"/>
        <v>0</v>
      </c>
    </row>
    <row r="147" spans="1:15">
      <c r="A147">
        <f t="shared" si="11"/>
        <v>0</v>
      </c>
      <c r="B147" s="2055">
        <f t="shared" si="16"/>
        <v>0</v>
      </c>
      <c r="C147" s="1805"/>
      <c r="D147" s="1805"/>
      <c r="E147" s="1475"/>
      <c r="F147" s="1473"/>
      <c r="G147" s="1473"/>
      <c r="H147" s="1473"/>
      <c r="I147" s="1473"/>
      <c r="J147" s="1473"/>
      <c r="K147" s="1473"/>
      <c r="L147" s="1473"/>
      <c r="M147" s="1473"/>
      <c r="N147" s="1474"/>
      <c r="O147" s="328">
        <f t="shared" si="13"/>
        <v>0</v>
      </c>
    </row>
    <row r="148" spans="1:15">
      <c r="A148">
        <f t="shared" si="11"/>
        <v>0</v>
      </c>
      <c r="B148" s="2055">
        <f t="shared" si="16"/>
        <v>0</v>
      </c>
      <c r="C148" s="1805"/>
      <c r="D148" s="1805"/>
      <c r="E148" s="1475"/>
      <c r="F148" s="1473"/>
      <c r="G148" s="1473"/>
      <c r="H148" s="1473"/>
      <c r="I148" s="1473"/>
      <c r="J148" s="1473"/>
      <c r="K148" s="1473"/>
      <c r="L148" s="1473"/>
      <c r="M148" s="1473"/>
      <c r="N148" s="1474"/>
      <c r="O148" s="328">
        <f t="shared" si="13"/>
        <v>0</v>
      </c>
    </row>
    <row r="149" spans="1:15">
      <c r="A149">
        <f>A71</f>
        <v>0</v>
      </c>
      <c r="B149" s="2055">
        <f t="shared" si="16"/>
        <v>0</v>
      </c>
      <c r="C149" s="1805"/>
      <c r="D149" s="1805"/>
      <c r="E149" s="1475"/>
      <c r="F149" s="1473"/>
      <c r="G149" s="1473"/>
      <c r="H149" s="1473"/>
      <c r="I149" s="1473"/>
      <c r="J149" s="1473"/>
      <c r="K149" s="1473"/>
      <c r="L149" s="1473"/>
      <c r="M149" s="1473"/>
      <c r="N149" s="1474"/>
      <c r="O149" s="328">
        <f>SUM(E149:N149)</f>
        <v>0</v>
      </c>
    </row>
    <row r="150" spans="1:15">
      <c r="A150">
        <f>A72</f>
        <v>0</v>
      </c>
      <c r="B150" s="2055">
        <f t="shared" si="16"/>
        <v>0</v>
      </c>
      <c r="C150" s="1805"/>
      <c r="D150" s="1805"/>
      <c r="E150" s="1475"/>
      <c r="F150" s="1473"/>
      <c r="G150" s="1473"/>
      <c r="H150" s="1473"/>
      <c r="I150" s="1473"/>
      <c r="J150" s="1473"/>
      <c r="K150" s="1473"/>
      <c r="L150" s="1473"/>
      <c r="M150" s="1473"/>
      <c r="N150" s="1474"/>
      <c r="O150" s="328">
        <f>SUM(E150:N150)</f>
        <v>0</v>
      </c>
    </row>
    <row r="151" spans="1:15" ht="13.5" thickBot="1">
      <c r="B151" s="2055">
        <f t="shared" si="16"/>
        <v>0</v>
      </c>
      <c r="C151" s="1805"/>
      <c r="D151" s="1805"/>
      <c r="E151" s="1475"/>
      <c r="F151" s="1473"/>
      <c r="G151" s="1473"/>
      <c r="H151" s="1473"/>
      <c r="I151" s="1473"/>
      <c r="J151" s="1473"/>
      <c r="K151" s="1473"/>
      <c r="L151" s="1473"/>
      <c r="M151" s="1473"/>
      <c r="N151" s="1474"/>
      <c r="O151" s="328">
        <f>SUM(E151:N151)</f>
        <v>0</v>
      </c>
    </row>
    <row r="152" spans="1:15">
      <c r="B152" s="2060" t="s">
        <v>733</v>
      </c>
      <c r="C152" s="1792"/>
      <c r="D152" s="2061"/>
      <c r="E152" s="321">
        <f t="shared" ref="E152:O152" si="17">SUM(E85:E151)</f>
        <v>0</v>
      </c>
      <c r="F152" s="322">
        <f t="shared" si="17"/>
        <v>0</v>
      </c>
      <c r="G152" s="322">
        <f t="shared" si="17"/>
        <v>0</v>
      </c>
      <c r="H152" s="322">
        <f t="shared" si="17"/>
        <v>0</v>
      </c>
      <c r="I152" s="322">
        <f t="shared" si="17"/>
        <v>0</v>
      </c>
      <c r="J152" s="322">
        <f t="shared" si="17"/>
        <v>0</v>
      </c>
      <c r="K152" s="322">
        <f t="shared" si="17"/>
        <v>0</v>
      </c>
      <c r="L152" s="322">
        <f t="shared" si="17"/>
        <v>0</v>
      </c>
      <c r="M152" s="322">
        <f t="shared" si="17"/>
        <v>0</v>
      </c>
      <c r="N152" s="322">
        <f t="shared" si="17"/>
        <v>0</v>
      </c>
      <c r="O152" s="323">
        <f t="shared" si="17"/>
        <v>0</v>
      </c>
    </row>
    <row r="153" spans="1:15" ht="13.5" thickBot="1">
      <c r="B153" s="319"/>
      <c r="C153" s="1742" t="s">
        <v>693</v>
      </c>
      <c r="D153" s="1742"/>
      <c r="E153" s="324">
        <f>N76</f>
        <v>0</v>
      </c>
      <c r="F153" s="325">
        <f t="shared" ref="F153:N153" si="18">E154</f>
        <v>0</v>
      </c>
      <c r="G153" s="325">
        <f t="shared" si="18"/>
        <v>0</v>
      </c>
      <c r="H153" s="325">
        <f t="shared" si="18"/>
        <v>0</v>
      </c>
      <c r="I153" s="325">
        <f t="shared" si="18"/>
        <v>0</v>
      </c>
      <c r="J153" s="325">
        <f t="shared" si="18"/>
        <v>0</v>
      </c>
      <c r="K153" s="325">
        <f t="shared" si="18"/>
        <v>0</v>
      </c>
      <c r="L153" s="325">
        <f t="shared" si="18"/>
        <v>0</v>
      </c>
      <c r="M153" s="325">
        <f t="shared" si="18"/>
        <v>0</v>
      </c>
      <c r="N153" s="325">
        <f t="shared" si="18"/>
        <v>0</v>
      </c>
      <c r="O153" s="326">
        <f>E153</f>
        <v>0</v>
      </c>
    </row>
    <row r="154" spans="1:15" ht="13.5" thickBot="1">
      <c r="B154" s="2041" t="s">
        <v>735</v>
      </c>
      <c r="C154" s="2042"/>
      <c r="D154" s="2043"/>
      <c r="E154" s="331">
        <f t="shared" ref="E154:O154" si="19">E152+E153</f>
        <v>0</v>
      </c>
      <c r="F154" s="332">
        <f t="shared" si="19"/>
        <v>0</v>
      </c>
      <c r="G154" s="332">
        <f t="shared" si="19"/>
        <v>0</v>
      </c>
      <c r="H154" s="332">
        <f t="shared" si="19"/>
        <v>0</v>
      </c>
      <c r="I154" s="332">
        <f t="shared" si="19"/>
        <v>0</v>
      </c>
      <c r="J154" s="332">
        <f t="shared" si="19"/>
        <v>0</v>
      </c>
      <c r="K154" s="332">
        <f t="shared" si="19"/>
        <v>0</v>
      </c>
      <c r="L154" s="332">
        <f t="shared" si="19"/>
        <v>0</v>
      </c>
      <c r="M154" s="332">
        <f t="shared" si="19"/>
        <v>0</v>
      </c>
      <c r="N154" s="332">
        <f t="shared" si="19"/>
        <v>0</v>
      </c>
      <c r="O154" s="333">
        <f t="shared" si="19"/>
        <v>0</v>
      </c>
    </row>
    <row r="155" spans="1:15" ht="13.5" thickTop="1">
      <c r="B155" s="1182"/>
      <c r="C155" s="1182"/>
      <c r="D155" s="1182"/>
      <c r="E155" s="1183"/>
      <c r="F155" s="1183"/>
      <c r="G155" s="1183"/>
      <c r="H155" s="1183"/>
      <c r="I155" s="1183"/>
      <c r="J155" s="1183"/>
      <c r="K155" s="1183"/>
      <c r="L155" s="1183"/>
      <c r="M155" s="1183"/>
      <c r="N155" s="1183"/>
      <c r="O155" s="1183"/>
    </row>
    <row r="156" spans="1:15" ht="13.5" thickBot="1">
      <c r="B156" s="1164"/>
      <c r="C156" s="1164"/>
      <c r="D156" s="1164"/>
      <c r="E156" s="1184"/>
      <c r="F156" s="1184"/>
      <c r="G156" s="1184"/>
      <c r="H156" s="1184"/>
      <c r="I156" s="1184"/>
      <c r="J156" s="1184"/>
      <c r="K156" s="1184"/>
      <c r="L156" s="1184"/>
      <c r="M156" s="1184"/>
      <c r="N156" s="1184"/>
      <c r="O156" s="1184"/>
    </row>
    <row r="157" spans="1:15" ht="18.649999999999999" thickTop="1">
      <c r="B157" s="315"/>
      <c r="E157" s="2052" t="s">
        <v>60</v>
      </c>
      <c r="F157" s="2052"/>
      <c r="G157" s="2052"/>
      <c r="H157" s="2052"/>
      <c r="I157" s="2052"/>
      <c r="J157" s="2052"/>
      <c r="K157" s="2052"/>
      <c r="L157" s="2052"/>
      <c r="O157" s="316"/>
    </row>
    <row r="158" spans="1:15" ht="18">
      <c r="B158" s="315"/>
      <c r="E158" s="317"/>
      <c r="F158" s="317"/>
      <c r="G158" s="317"/>
      <c r="H158" s="317"/>
      <c r="I158" s="317"/>
      <c r="J158" s="317"/>
      <c r="K158" s="317"/>
      <c r="O158" s="316"/>
    </row>
    <row r="159" spans="1:15" ht="18">
      <c r="B159" s="318" t="s">
        <v>634</v>
      </c>
      <c r="C159">
        <f>C81</f>
        <v>0</v>
      </c>
      <c r="E159" s="317"/>
      <c r="F159" s="317"/>
      <c r="G159" s="317"/>
      <c r="H159" s="317"/>
      <c r="I159" s="163" t="s">
        <v>660</v>
      </c>
      <c r="J159" s="317"/>
      <c r="K159" s="163">
        <f>K81</f>
        <v>0</v>
      </c>
      <c r="O159" s="316"/>
    </row>
    <row r="160" spans="1:15" ht="18.649999999999999" thickBot="1">
      <c r="A160">
        <f>A84</f>
        <v>0</v>
      </c>
      <c r="B160" s="315"/>
      <c r="E160" s="317"/>
      <c r="F160" s="317"/>
      <c r="G160" s="317"/>
      <c r="H160" s="317"/>
      <c r="I160" s="4" t="s">
        <v>692</v>
      </c>
      <c r="J160" s="329">
        <f>IF(E230&gt;0,3,0)</f>
        <v>0</v>
      </c>
      <c r="K160" s="4" t="s">
        <v>464</v>
      </c>
      <c r="L160" s="329">
        <f>J160</f>
        <v>0</v>
      </c>
      <c r="O160" s="316"/>
    </row>
    <row r="161" spans="1:15" ht="13.5" thickTop="1">
      <c r="B161" s="2028" t="s">
        <v>658</v>
      </c>
      <c r="C161" s="2029"/>
      <c r="D161" s="2030"/>
      <c r="E161" s="2036">
        <f>N83+1</f>
        <v>20</v>
      </c>
      <c r="F161" s="2034">
        <f t="shared" ref="F161:N161" si="20">E161+1</f>
        <v>21</v>
      </c>
      <c r="G161" s="2034">
        <f t="shared" si="20"/>
        <v>22</v>
      </c>
      <c r="H161" s="2034">
        <f t="shared" si="20"/>
        <v>23</v>
      </c>
      <c r="I161" s="2034">
        <f t="shared" si="20"/>
        <v>24</v>
      </c>
      <c r="J161" s="2034">
        <f t="shared" si="20"/>
        <v>25</v>
      </c>
      <c r="K161" s="2034">
        <f t="shared" si="20"/>
        <v>26</v>
      </c>
      <c r="L161" s="2034">
        <f t="shared" si="20"/>
        <v>27</v>
      </c>
      <c r="M161" s="2034">
        <f t="shared" si="20"/>
        <v>28</v>
      </c>
      <c r="N161" s="2050">
        <f t="shared" si="20"/>
        <v>29</v>
      </c>
      <c r="O161" s="2026" t="s">
        <v>691</v>
      </c>
    </row>
    <row r="162" spans="1:15" ht="13.5" thickBot="1">
      <c r="B162" s="2031" t="s">
        <v>659</v>
      </c>
      <c r="C162" s="2032"/>
      <c r="D162" s="2033"/>
      <c r="E162" s="2037"/>
      <c r="F162" s="2035"/>
      <c r="G162" s="2035"/>
      <c r="H162" s="2035"/>
      <c r="I162" s="2035"/>
      <c r="J162" s="2035"/>
      <c r="K162" s="2035"/>
      <c r="L162" s="2035"/>
      <c r="M162" s="2035"/>
      <c r="N162" s="2051"/>
      <c r="O162" s="2027"/>
    </row>
    <row r="163" spans="1:15" ht="13.5" thickBot="1">
      <c r="A163">
        <f t="shared" ref="A163:B194" si="21">A85</f>
        <v>0</v>
      </c>
      <c r="B163" s="2038" t="str">
        <f t="shared" ref="B163:B172" si="22">B85</f>
        <v>Wellhead Equipment</v>
      </c>
      <c r="C163" s="2039"/>
      <c r="D163" s="2040"/>
      <c r="E163" s="1472"/>
      <c r="F163" s="1473"/>
      <c r="G163" s="1473"/>
      <c r="H163" s="1473"/>
      <c r="I163" s="1473"/>
      <c r="J163" s="1473"/>
      <c r="K163" s="1473"/>
      <c r="L163" s="1473"/>
      <c r="M163" s="1473"/>
      <c r="N163" s="1474"/>
      <c r="O163" s="327">
        <f t="shared" ref="O163:O195" si="23">SUM(E163:N163)</f>
        <v>0</v>
      </c>
    </row>
    <row r="164" spans="1:15" ht="13.5" thickBot="1">
      <c r="A164">
        <f t="shared" si="21"/>
        <v>0</v>
      </c>
      <c r="B164" s="2053" t="str">
        <f t="shared" si="22"/>
        <v>Tubing</v>
      </c>
      <c r="C164" s="2054"/>
      <c r="D164" s="1804"/>
      <c r="E164" s="1472"/>
      <c r="F164" s="1473"/>
      <c r="G164" s="1473"/>
      <c r="H164" s="1473"/>
      <c r="I164" s="1473"/>
      <c r="J164" s="1473"/>
      <c r="K164" s="1473"/>
      <c r="L164" s="1473"/>
      <c r="M164" s="1473"/>
      <c r="N164" s="1474"/>
      <c r="O164" s="328">
        <f t="shared" si="23"/>
        <v>0</v>
      </c>
    </row>
    <row r="165" spans="1:15" ht="13.5" thickBot="1">
      <c r="A165">
        <f t="shared" si="21"/>
        <v>0</v>
      </c>
      <c r="B165" s="2053" t="str">
        <f t="shared" si="22"/>
        <v>Packers/Nipples/Fittings</v>
      </c>
      <c r="C165" s="2054"/>
      <c r="D165" s="1804"/>
      <c r="E165" s="1472"/>
      <c r="F165" s="1473"/>
      <c r="G165" s="1473"/>
      <c r="H165" s="1473"/>
      <c r="I165" s="1473"/>
      <c r="J165" s="1473"/>
      <c r="K165" s="1473"/>
      <c r="L165" s="1473"/>
      <c r="M165" s="1473"/>
      <c r="N165" s="1474"/>
      <c r="O165" s="328">
        <f t="shared" si="23"/>
        <v>0</v>
      </c>
    </row>
    <row r="166" spans="1:15" ht="13.5" thickBot="1">
      <c r="A166">
        <f t="shared" si="21"/>
        <v>0</v>
      </c>
      <c r="B166" s="2053" t="str">
        <f t="shared" si="22"/>
        <v>BHP/ESP</v>
      </c>
      <c r="C166" s="2054"/>
      <c r="D166" s="1804"/>
      <c r="E166" s="1472"/>
      <c r="F166" s="1473"/>
      <c r="G166" s="1473"/>
      <c r="H166" s="1473"/>
      <c r="I166" s="1473"/>
      <c r="J166" s="1473"/>
      <c r="K166" s="1473"/>
      <c r="L166" s="1473"/>
      <c r="M166" s="1473"/>
      <c r="N166" s="1474"/>
      <c r="O166" s="328">
        <f t="shared" si="23"/>
        <v>0</v>
      </c>
    </row>
    <row r="167" spans="1:15" ht="13.5" thickBot="1">
      <c r="A167">
        <f t="shared" si="21"/>
        <v>0</v>
      </c>
      <c r="B167" s="2053" t="str">
        <f t="shared" si="22"/>
        <v>Sucker Rods/Equip</v>
      </c>
      <c r="C167" s="2054"/>
      <c r="D167" s="1804"/>
      <c r="E167" s="1472"/>
      <c r="F167" s="1473"/>
      <c r="G167" s="1473"/>
      <c r="H167" s="1473"/>
      <c r="I167" s="1473"/>
      <c r="J167" s="1473"/>
      <c r="K167" s="1473"/>
      <c r="L167" s="1473"/>
      <c r="M167" s="1473"/>
      <c r="N167" s="1474"/>
      <c r="O167" s="328">
        <f t="shared" si="23"/>
        <v>0</v>
      </c>
    </row>
    <row r="168" spans="1:15" ht="13.5" thickBot="1">
      <c r="A168">
        <f t="shared" si="21"/>
        <v>0</v>
      </c>
      <c r="B168" s="2053" t="str">
        <f t="shared" si="22"/>
        <v>Bridge Plugs</v>
      </c>
      <c r="C168" s="2054"/>
      <c r="D168" s="1804"/>
      <c r="E168" s="1472"/>
      <c r="F168" s="1473"/>
      <c r="G168" s="1473"/>
      <c r="H168" s="1473"/>
      <c r="I168" s="1473"/>
      <c r="J168" s="1473"/>
      <c r="K168" s="1473"/>
      <c r="L168" s="1473"/>
      <c r="M168" s="1473"/>
      <c r="N168" s="1474"/>
      <c r="O168" s="328">
        <f t="shared" si="23"/>
        <v>0</v>
      </c>
    </row>
    <row r="169" spans="1:15" ht="13.5" thickBot="1">
      <c r="A169">
        <f t="shared" si="21"/>
        <v>0</v>
      </c>
      <c r="B169" s="2053">
        <f t="shared" si="22"/>
        <v>0</v>
      </c>
      <c r="C169" s="2054"/>
      <c r="D169" s="1804"/>
      <c r="E169" s="1472"/>
      <c r="F169" s="1473"/>
      <c r="G169" s="1473"/>
      <c r="H169" s="1473"/>
      <c r="I169" s="1473"/>
      <c r="J169" s="1473"/>
      <c r="K169" s="1473"/>
      <c r="L169" s="1473"/>
      <c r="M169" s="1473"/>
      <c r="N169" s="1474"/>
      <c r="O169" s="328">
        <f t="shared" si="23"/>
        <v>0</v>
      </c>
    </row>
    <row r="170" spans="1:15" ht="13.5" thickBot="1">
      <c r="A170">
        <f t="shared" si="21"/>
        <v>0</v>
      </c>
      <c r="B170" s="2053">
        <f t="shared" si="22"/>
        <v>0</v>
      </c>
      <c r="C170" s="2054"/>
      <c r="D170" s="1804"/>
      <c r="E170" s="1472"/>
      <c r="F170" s="1473"/>
      <c r="G170" s="1473"/>
      <c r="H170" s="1473"/>
      <c r="I170" s="1473"/>
      <c r="J170" s="1473"/>
      <c r="K170" s="1473"/>
      <c r="L170" s="1473"/>
      <c r="M170" s="1473"/>
      <c r="N170" s="1474"/>
      <c r="O170" s="328">
        <f t="shared" si="23"/>
        <v>0</v>
      </c>
    </row>
    <row r="171" spans="1:15" ht="13.5" thickBot="1">
      <c r="A171">
        <f t="shared" si="21"/>
        <v>0</v>
      </c>
      <c r="B171" s="2053">
        <f t="shared" si="22"/>
        <v>0</v>
      </c>
      <c r="C171" s="2054"/>
      <c r="D171" s="1804"/>
      <c r="E171" s="1472"/>
      <c r="F171" s="1473"/>
      <c r="G171" s="1473"/>
      <c r="H171" s="1473"/>
      <c r="I171" s="1473"/>
      <c r="J171" s="1473"/>
      <c r="K171" s="1473"/>
      <c r="L171" s="1473"/>
      <c r="M171" s="1473"/>
      <c r="N171" s="1474"/>
      <c r="O171" s="328">
        <f t="shared" si="23"/>
        <v>0</v>
      </c>
    </row>
    <row r="172" spans="1:15" ht="13.5" thickBot="1">
      <c r="A172">
        <f t="shared" si="21"/>
        <v>0</v>
      </c>
      <c r="B172" s="2045">
        <f t="shared" si="22"/>
        <v>0</v>
      </c>
      <c r="C172" s="2046"/>
      <c r="D172" s="2047"/>
      <c r="E172" s="1472"/>
      <c r="F172" s="1473"/>
      <c r="G172" s="1473"/>
      <c r="H172" s="1473"/>
      <c r="I172" s="1473"/>
      <c r="J172" s="1473"/>
      <c r="K172" s="1473"/>
      <c r="L172" s="1473"/>
      <c r="M172" s="1473"/>
      <c r="N172" s="1474"/>
      <c r="O172" s="328">
        <f t="shared" si="23"/>
        <v>0</v>
      </c>
    </row>
    <row r="173" spans="1:15" ht="13.5" thickBot="1">
      <c r="A173">
        <f t="shared" si="21"/>
        <v>0</v>
      </c>
      <c r="B173" s="2048" t="s">
        <v>661</v>
      </c>
      <c r="C173" s="2049"/>
      <c r="D173" s="2049"/>
      <c r="E173" s="1468">
        <v>0</v>
      </c>
      <c r="F173" s="1469"/>
      <c r="G173" s="1469">
        <v>0</v>
      </c>
      <c r="H173" s="1469"/>
      <c r="I173" s="1469"/>
      <c r="J173" s="1469"/>
      <c r="K173" s="1469"/>
      <c r="L173" s="1469"/>
      <c r="M173" s="1469"/>
      <c r="N173" s="1470"/>
      <c r="O173" s="1471">
        <f t="shared" si="23"/>
        <v>0</v>
      </c>
    </row>
    <row r="174" spans="1:15">
      <c r="A174">
        <f t="shared" si="21"/>
        <v>0</v>
      </c>
      <c r="B174" s="2044" t="str">
        <f>B96</f>
        <v>Service Rig</v>
      </c>
      <c r="C174" s="1769"/>
      <c r="D174" s="1769"/>
      <c r="E174" s="1475"/>
      <c r="F174" s="1473"/>
      <c r="G174" s="1473"/>
      <c r="H174" s="1473"/>
      <c r="I174" s="1473"/>
      <c r="J174" s="1473"/>
      <c r="K174" s="1473"/>
      <c r="L174" s="1473"/>
      <c r="M174" s="1473"/>
      <c r="N174" s="1474"/>
      <c r="O174" s="328">
        <f t="shared" si="23"/>
        <v>0</v>
      </c>
    </row>
    <row r="175" spans="1:15">
      <c r="A175">
        <f t="shared" si="21"/>
        <v>0</v>
      </c>
      <c r="B175" s="2053" t="str">
        <f t="shared" si="21"/>
        <v>Anchors</v>
      </c>
      <c r="C175" s="2054"/>
      <c r="D175" s="1804"/>
      <c r="E175" s="1475"/>
      <c r="F175" s="1473"/>
      <c r="G175" s="1473"/>
      <c r="H175" s="1473"/>
      <c r="I175" s="1473"/>
      <c r="J175" s="1473"/>
      <c r="K175" s="1473"/>
      <c r="L175" s="1473"/>
      <c r="M175" s="1473"/>
      <c r="N175" s="1474"/>
      <c r="O175" s="328">
        <f t="shared" si="23"/>
        <v>0</v>
      </c>
    </row>
    <row r="176" spans="1:15">
      <c r="A176">
        <f t="shared" si="21"/>
        <v>0</v>
      </c>
      <c r="B176" s="2053" t="str">
        <f t="shared" si="21"/>
        <v>Electric Wireline</v>
      </c>
      <c r="C176" s="2054"/>
      <c r="D176" s="1804"/>
      <c r="E176" s="1475"/>
      <c r="F176" s="1473"/>
      <c r="G176" s="1473"/>
      <c r="H176" s="1473"/>
      <c r="I176" s="1473"/>
      <c r="J176" s="1473"/>
      <c r="K176" s="1473"/>
      <c r="L176" s="1473"/>
      <c r="M176" s="1473"/>
      <c r="N176" s="1474"/>
      <c r="O176" s="328">
        <f t="shared" si="23"/>
        <v>0</v>
      </c>
    </row>
    <row r="177" spans="1:15">
      <c r="A177">
        <f t="shared" si="21"/>
        <v>0</v>
      </c>
      <c r="B177" s="2053" t="str">
        <f t="shared" si="21"/>
        <v>Slickline</v>
      </c>
      <c r="C177" s="2054"/>
      <c r="D177" s="1804"/>
      <c r="E177" s="1475"/>
      <c r="F177" s="1473"/>
      <c r="G177" s="1473"/>
      <c r="H177" s="1473"/>
      <c r="I177" s="1473"/>
      <c r="J177" s="1473"/>
      <c r="K177" s="1473"/>
      <c r="L177" s="1473"/>
      <c r="M177" s="1473"/>
      <c r="N177" s="1474"/>
      <c r="O177" s="328">
        <f t="shared" si="23"/>
        <v>0</v>
      </c>
    </row>
    <row r="178" spans="1:15">
      <c r="A178">
        <f t="shared" si="21"/>
        <v>0</v>
      </c>
      <c r="B178" s="2053" t="str">
        <f t="shared" si="21"/>
        <v>Acidizing</v>
      </c>
      <c r="C178" s="2054"/>
      <c r="D178" s="1804"/>
      <c r="E178" s="1475"/>
      <c r="F178" s="1473"/>
      <c r="G178" s="1473"/>
      <c r="H178" s="1473"/>
      <c r="I178" s="1473"/>
      <c r="J178" s="1473"/>
      <c r="K178" s="1473"/>
      <c r="L178" s="1473"/>
      <c r="M178" s="1473"/>
      <c r="N178" s="1474"/>
      <c r="O178" s="328">
        <f t="shared" si="23"/>
        <v>0</v>
      </c>
    </row>
    <row r="179" spans="1:15">
      <c r="A179">
        <f t="shared" si="21"/>
        <v>0</v>
      </c>
      <c r="B179" s="2053" t="str">
        <f t="shared" si="21"/>
        <v>Fracturing</v>
      </c>
      <c r="C179" s="2054"/>
      <c r="D179" s="1804"/>
      <c r="E179" s="1475"/>
      <c r="F179" s="1473"/>
      <c r="G179" s="1473"/>
      <c r="H179" s="1473"/>
      <c r="I179" s="1473"/>
      <c r="J179" s="1473"/>
      <c r="K179" s="1473"/>
      <c r="L179" s="1473"/>
      <c r="M179" s="1473"/>
      <c r="N179" s="1474"/>
      <c r="O179" s="328">
        <f t="shared" si="23"/>
        <v>0</v>
      </c>
    </row>
    <row r="180" spans="1:15">
      <c r="A180">
        <f t="shared" si="21"/>
        <v>0</v>
      </c>
      <c r="B180" s="2053" t="str">
        <f t="shared" si="21"/>
        <v>Cementing</v>
      </c>
      <c r="C180" s="2054"/>
      <c r="D180" s="1804"/>
      <c r="E180" s="1475"/>
      <c r="F180" s="1473"/>
      <c r="G180" s="1473"/>
      <c r="H180" s="1473"/>
      <c r="I180" s="1473"/>
      <c r="J180" s="1473"/>
      <c r="K180" s="1473"/>
      <c r="L180" s="1473"/>
      <c r="M180" s="1473"/>
      <c r="N180" s="1474"/>
      <c r="O180" s="328">
        <f t="shared" si="23"/>
        <v>0</v>
      </c>
    </row>
    <row r="181" spans="1:15">
      <c r="A181">
        <f t="shared" si="21"/>
        <v>0</v>
      </c>
      <c r="B181" s="2053" t="str">
        <f t="shared" si="21"/>
        <v>Coiled Tubing</v>
      </c>
      <c r="C181" s="2054"/>
      <c r="D181" s="1804"/>
      <c r="E181" s="1475"/>
      <c r="F181" s="1473"/>
      <c r="G181" s="1473"/>
      <c r="H181" s="1473"/>
      <c r="I181" s="1473"/>
      <c r="J181" s="1473"/>
      <c r="K181" s="1473"/>
      <c r="L181" s="1473"/>
      <c r="M181" s="1473"/>
      <c r="N181" s="1474"/>
      <c r="O181" s="328">
        <f t="shared" si="23"/>
        <v>0</v>
      </c>
    </row>
    <row r="182" spans="1:15">
      <c r="A182">
        <f t="shared" si="21"/>
        <v>0</v>
      </c>
      <c r="B182" s="2053" t="str">
        <f t="shared" si="21"/>
        <v>Testing</v>
      </c>
      <c r="C182" s="2054"/>
      <c r="D182" s="1804"/>
      <c r="E182" s="1475"/>
      <c r="F182" s="1473"/>
      <c r="G182" s="1473"/>
      <c r="H182" s="1473"/>
      <c r="I182" s="1473"/>
      <c r="J182" s="1473"/>
      <c r="K182" s="1473"/>
      <c r="L182" s="1473"/>
      <c r="M182" s="1473"/>
      <c r="N182" s="1474"/>
      <c r="O182" s="328">
        <f t="shared" si="23"/>
        <v>0</v>
      </c>
    </row>
    <row r="183" spans="1:15">
      <c r="A183">
        <f t="shared" si="21"/>
        <v>0</v>
      </c>
      <c r="B183" s="2053" t="str">
        <f t="shared" si="21"/>
        <v>Cat Work</v>
      </c>
      <c r="C183" s="2054"/>
      <c r="D183" s="1804"/>
      <c r="E183" s="1475"/>
      <c r="F183" s="1473"/>
      <c r="G183" s="1473"/>
      <c r="H183" s="1473"/>
      <c r="I183" s="1473"/>
      <c r="J183" s="1473"/>
      <c r="K183" s="1473"/>
      <c r="L183" s="1473"/>
      <c r="M183" s="1473"/>
      <c r="N183" s="1474"/>
      <c r="O183" s="328">
        <f t="shared" si="23"/>
        <v>0</v>
      </c>
    </row>
    <row r="184" spans="1:15">
      <c r="A184">
        <f t="shared" si="21"/>
        <v>0</v>
      </c>
      <c r="B184" s="2053" t="str">
        <f t="shared" si="21"/>
        <v>Safety Equipment</v>
      </c>
      <c r="C184" s="2054"/>
      <c r="D184" s="1804"/>
      <c r="E184" s="1475"/>
      <c r="F184" s="1473"/>
      <c r="G184" s="1473"/>
      <c r="H184" s="1473"/>
      <c r="I184" s="1473"/>
      <c r="J184" s="1473"/>
      <c r="K184" s="1473"/>
      <c r="L184" s="1473"/>
      <c r="M184" s="1473"/>
      <c r="N184" s="1474"/>
      <c r="O184" s="328">
        <f t="shared" si="23"/>
        <v>0</v>
      </c>
    </row>
    <row r="185" spans="1:15">
      <c r="A185">
        <f t="shared" si="21"/>
        <v>0</v>
      </c>
      <c r="B185" s="2053" t="str">
        <f t="shared" si="21"/>
        <v>Hot Oil or Pump Unit</v>
      </c>
      <c r="C185" s="2054"/>
      <c r="D185" s="1804"/>
      <c r="E185" s="1475"/>
      <c r="F185" s="1473"/>
      <c r="G185" s="1473"/>
      <c r="H185" s="1473"/>
      <c r="I185" s="1473"/>
      <c r="J185" s="1473"/>
      <c r="K185" s="1473"/>
      <c r="L185" s="1473"/>
      <c r="M185" s="1473"/>
      <c r="N185" s="1474"/>
      <c r="O185" s="328">
        <f t="shared" si="23"/>
        <v>0</v>
      </c>
    </row>
    <row r="186" spans="1:15">
      <c r="A186">
        <f t="shared" si="21"/>
        <v>0</v>
      </c>
      <c r="B186" s="2053" t="str">
        <f t="shared" si="21"/>
        <v>Trucking/Delivery</v>
      </c>
      <c r="C186" s="2054"/>
      <c r="D186" s="1804"/>
      <c r="E186" s="1475"/>
      <c r="F186" s="1473"/>
      <c r="G186" s="1473"/>
      <c r="H186" s="1473"/>
      <c r="I186" s="1473"/>
      <c r="J186" s="1473"/>
      <c r="K186" s="1473"/>
      <c r="L186" s="1473"/>
      <c r="M186" s="1473"/>
      <c r="N186" s="1474"/>
      <c r="O186" s="328">
        <f t="shared" si="23"/>
        <v>0</v>
      </c>
    </row>
    <row r="187" spans="1:15">
      <c r="A187">
        <f t="shared" si="21"/>
        <v>0</v>
      </c>
      <c r="B187" s="2053" t="str">
        <f t="shared" si="21"/>
        <v>Tank Truck</v>
      </c>
      <c r="C187" s="2054"/>
      <c r="D187" s="1804"/>
      <c r="E187" s="1475"/>
      <c r="F187" s="1473"/>
      <c r="G187" s="1473"/>
      <c r="H187" s="1473"/>
      <c r="I187" s="1473"/>
      <c r="J187" s="1473"/>
      <c r="K187" s="1473"/>
      <c r="L187" s="1473"/>
      <c r="M187" s="1473"/>
      <c r="N187" s="1474"/>
      <c r="O187" s="328">
        <f t="shared" si="23"/>
        <v>0</v>
      </c>
    </row>
    <row r="188" spans="1:15">
      <c r="A188">
        <f t="shared" si="21"/>
        <v>0</v>
      </c>
      <c r="B188" s="2053" t="str">
        <f t="shared" si="21"/>
        <v>Vacuum Truck</v>
      </c>
      <c r="C188" s="2054"/>
      <c r="D188" s="1804"/>
      <c r="E188" s="1475"/>
      <c r="F188" s="1473"/>
      <c r="G188" s="1473"/>
      <c r="H188" s="1473"/>
      <c r="I188" s="1473"/>
      <c r="J188" s="1473"/>
      <c r="K188" s="1473"/>
      <c r="L188" s="1473"/>
      <c r="M188" s="1473"/>
      <c r="N188" s="1474"/>
      <c r="O188" s="328">
        <f t="shared" si="23"/>
        <v>0</v>
      </c>
    </row>
    <row r="189" spans="1:15">
      <c r="A189">
        <f t="shared" si="21"/>
        <v>0</v>
      </c>
      <c r="B189" s="2053" t="str">
        <f t="shared" si="21"/>
        <v>Misc.</v>
      </c>
      <c r="C189" s="2054"/>
      <c r="D189" s="1804"/>
      <c r="E189" s="1475"/>
      <c r="F189" s="1473"/>
      <c r="G189" s="1473"/>
      <c r="H189" s="1473"/>
      <c r="I189" s="1473"/>
      <c r="J189" s="1473"/>
      <c r="K189" s="1473"/>
      <c r="L189" s="1473"/>
      <c r="M189" s="1473"/>
      <c r="N189" s="1474"/>
      <c r="O189" s="328">
        <f t="shared" si="23"/>
        <v>0</v>
      </c>
    </row>
    <row r="190" spans="1:15">
      <c r="A190">
        <f t="shared" si="21"/>
        <v>0</v>
      </c>
      <c r="B190" s="2053" t="str">
        <f t="shared" si="21"/>
        <v>Disposal</v>
      </c>
      <c r="C190" s="2054"/>
      <c r="D190" s="1804"/>
      <c r="E190" s="1475"/>
      <c r="F190" s="1473"/>
      <c r="G190" s="1473"/>
      <c r="H190" s="1473"/>
      <c r="I190" s="1473"/>
      <c r="J190" s="1473"/>
      <c r="K190" s="1473"/>
      <c r="L190" s="1473"/>
      <c r="M190" s="1473"/>
      <c r="N190" s="1474"/>
      <c r="O190" s="328">
        <f t="shared" si="23"/>
        <v>0</v>
      </c>
    </row>
    <row r="191" spans="1:15">
      <c r="A191">
        <f t="shared" si="21"/>
        <v>0</v>
      </c>
      <c r="B191" s="2053" t="str">
        <f t="shared" si="21"/>
        <v>Stuck &amp; Tow</v>
      </c>
      <c r="C191" s="2054"/>
      <c r="D191" s="1804"/>
      <c r="E191" s="1475"/>
      <c r="F191" s="1473"/>
      <c r="G191" s="1473"/>
      <c r="H191" s="1473"/>
      <c r="I191" s="1473"/>
      <c r="J191" s="1473"/>
      <c r="K191" s="1473"/>
      <c r="L191" s="1473"/>
      <c r="M191" s="1473"/>
      <c r="N191" s="1474"/>
      <c r="O191" s="328">
        <f t="shared" si="23"/>
        <v>0</v>
      </c>
    </row>
    <row r="192" spans="1:15">
      <c r="A192">
        <f t="shared" si="21"/>
        <v>0</v>
      </c>
      <c r="B192" s="2053">
        <f>B114</f>
        <v>0</v>
      </c>
      <c r="C192" s="2054"/>
      <c r="D192" s="1804"/>
      <c r="E192" s="1475"/>
      <c r="F192" s="1473"/>
      <c r="G192" s="1473"/>
      <c r="H192" s="1473"/>
      <c r="I192" s="1473"/>
      <c r="J192" s="1473"/>
      <c r="K192" s="1473"/>
      <c r="L192" s="1473"/>
      <c r="M192" s="1473"/>
      <c r="N192" s="1474"/>
      <c r="O192" s="328">
        <f t="shared" si="23"/>
        <v>0</v>
      </c>
    </row>
    <row r="193" spans="1:15">
      <c r="A193">
        <f t="shared" si="21"/>
        <v>0</v>
      </c>
      <c r="B193" s="2053">
        <f>B115</f>
        <v>0</v>
      </c>
      <c r="C193" s="2054"/>
      <c r="D193" s="1804"/>
      <c r="E193" s="1475"/>
      <c r="F193" s="1473"/>
      <c r="G193" s="1473"/>
      <c r="H193" s="1473"/>
      <c r="I193" s="1473"/>
      <c r="J193" s="1473"/>
      <c r="K193" s="1473"/>
      <c r="L193" s="1473"/>
      <c r="M193" s="1473"/>
      <c r="N193" s="1474"/>
      <c r="O193" s="328">
        <f t="shared" si="23"/>
        <v>0</v>
      </c>
    </row>
    <row r="194" spans="1:15" ht="13.5" thickBot="1">
      <c r="A194">
        <f t="shared" si="21"/>
        <v>0</v>
      </c>
      <c r="B194" s="2045">
        <f>B116</f>
        <v>0</v>
      </c>
      <c r="C194" s="2046"/>
      <c r="D194" s="2047"/>
      <c r="E194" s="1475"/>
      <c r="F194" s="1473"/>
      <c r="G194" s="1473"/>
      <c r="H194" s="1473"/>
      <c r="I194" s="1473"/>
      <c r="J194" s="1473"/>
      <c r="K194" s="1473"/>
      <c r="L194" s="1473"/>
      <c r="M194" s="1473"/>
      <c r="N194" s="1474"/>
      <c r="O194" s="328">
        <f t="shared" si="23"/>
        <v>0</v>
      </c>
    </row>
    <row r="195" spans="1:15" ht="13.5" thickBot="1">
      <c r="A195">
        <f t="shared" ref="A195:A226" si="24">A117</f>
        <v>0</v>
      </c>
      <c r="B195" s="2048" t="s">
        <v>662</v>
      </c>
      <c r="C195" s="2049"/>
      <c r="D195" s="2049"/>
      <c r="E195" s="1468">
        <v>0</v>
      </c>
      <c r="F195" s="1469"/>
      <c r="G195" s="1469">
        <v>0</v>
      </c>
      <c r="H195" s="1469"/>
      <c r="I195" s="1469"/>
      <c r="J195" s="1469"/>
      <c r="K195" s="1469"/>
      <c r="L195" s="1469"/>
      <c r="M195" s="1469"/>
      <c r="N195" s="1470"/>
      <c r="O195" s="1471">
        <f t="shared" si="23"/>
        <v>0</v>
      </c>
    </row>
    <row r="196" spans="1:15">
      <c r="A196">
        <f t="shared" si="24"/>
        <v>0</v>
      </c>
      <c r="B196" s="2044" t="str">
        <f t="shared" ref="B196:B207" si="25">B118</f>
        <v>Tank(s)</v>
      </c>
      <c r="C196" s="1769"/>
      <c r="D196" s="1769"/>
      <c r="E196" s="1475"/>
      <c r="F196" s="1473"/>
      <c r="G196" s="1473"/>
      <c r="H196" s="1473"/>
      <c r="I196" s="1473"/>
      <c r="J196" s="1473"/>
      <c r="K196" s="1473"/>
      <c r="L196" s="1473"/>
      <c r="M196" s="1473"/>
      <c r="N196" s="1474"/>
      <c r="O196" s="328">
        <f t="shared" ref="O196:O226" si="26">SUM(E196:N196)</f>
        <v>0</v>
      </c>
    </row>
    <row r="197" spans="1:15">
      <c r="A197">
        <f t="shared" si="24"/>
        <v>0</v>
      </c>
      <c r="B197" s="2055" t="str">
        <f t="shared" si="25"/>
        <v>Power Swivel</v>
      </c>
      <c r="C197" s="1805"/>
      <c r="D197" s="1805"/>
      <c r="E197" s="1475"/>
      <c r="F197" s="1473"/>
      <c r="G197" s="1473"/>
      <c r="H197" s="1473"/>
      <c r="I197" s="1473"/>
      <c r="J197" s="1473"/>
      <c r="K197" s="1473"/>
      <c r="L197" s="1473"/>
      <c r="M197" s="1473"/>
      <c r="N197" s="1474"/>
      <c r="O197" s="328">
        <f t="shared" si="26"/>
        <v>0</v>
      </c>
    </row>
    <row r="198" spans="1:15">
      <c r="A198">
        <f t="shared" si="24"/>
        <v>0</v>
      </c>
      <c r="B198" s="2055" t="str">
        <f t="shared" si="25"/>
        <v>Tubing</v>
      </c>
      <c r="C198" s="1805"/>
      <c r="D198" s="1805"/>
      <c r="E198" s="1475"/>
      <c r="F198" s="1473"/>
      <c r="G198" s="1473"/>
      <c r="H198" s="1473"/>
      <c r="I198" s="1473"/>
      <c r="J198" s="1473"/>
      <c r="K198" s="1473"/>
      <c r="L198" s="1473"/>
      <c r="M198" s="1473"/>
      <c r="N198" s="1474"/>
      <c r="O198" s="328">
        <f t="shared" si="26"/>
        <v>0</v>
      </c>
    </row>
    <row r="199" spans="1:15">
      <c r="A199">
        <f t="shared" si="24"/>
        <v>0</v>
      </c>
      <c r="B199" s="2055" t="str">
        <f t="shared" si="25"/>
        <v>Handling Equipment</v>
      </c>
      <c r="C199" s="1805"/>
      <c r="D199" s="1805"/>
      <c r="E199" s="1475"/>
      <c r="F199" s="1473"/>
      <c r="G199" s="1473"/>
      <c r="H199" s="1473"/>
      <c r="I199" s="1473"/>
      <c r="J199" s="1473"/>
      <c r="K199" s="1473"/>
      <c r="L199" s="1473"/>
      <c r="M199" s="1473"/>
      <c r="N199" s="1474"/>
      <c r="O199" s="328">
        <f t="shared" si="26"/>
        <v>0</v>
      </c>
    </row>
    <row r="200" spans="1:15">
      <c r="A200">
        <f t="shared" si="24"/>
        <v>0</v>
      </c>
      <c r="B200" s="2055" t="str">
        <f t="shared" si="25"/>
        <v>Drill Pipe/Collars</v>
      </c>
      <c r="C200" s="1805"/>
      <c r="D200" s="1805"/>
      <c r="E200" s="1475"/>
      <c r="F200" s="1473"/>
      <c r="G200" s="1473"/>
      <c r="H200" s="1473"/>
      <c r="I200" s="1473"/>
      <c r="J200" s="1473"/>
      <c r="K200" s="1473"/>
      <c r="L200" s="1473"/>
      <c r="M200" s="1473"/>
      <c r="N200" s="1474"/>
      <c r="O200" s="328">
        <f t="shared" si="26"/>
        <v>0</v>
      </c>
    </row>
    <row r="201" spans="1:15">
      <c r="A201">
        <f t="shared" si="24"/>
        <v>0</v>
      </c>
      <c r="B201" s="2055" t="str">
        <f t="shared" si="25"/>
        <v>Casing Scraper</v>
      </c>
      <c r="C201" s="1805"/>
      <c r="D201" s="1805"/>
      <c r="E201" s="1475"/>
      <c r="F201" s="1473"/>
      <c r="G201" s="1473"/>
      <c r="H201" s="1473"/>
      <c r="I201" s="1473"/>
      <c r="J201" s="1473"/>
      <c r="K201" s="1473"/>
      <c r="L201" s="1473"/>
      <c r="M201" s="1473"/>
      <c r="N201" s="1474"/>
      <c r="O201" s="328">
        <f t="shared" si="26"/>
        <v>0</v>
      </c>
    </row>
    <row r="202" spans="1:15">
      <c r="A202">
        <f t="shared" si="24"/>
        <v>0</v>
      </c>
      <c r="B202" s="2055" t="str">
        <f t="shared" si="25"/>
        <v>Tree Saver</v>
      </c>
      <c r="C202" s="1805"/>
      <c r="D202" s="1805"/>
      <c r="E202" s="1475"/>
      <c r="F202" s="1473"/>
      <c r="G202" s="1473"/>
      <c r="H202" s="1473"/>
      <c r="I202" s="1473"/>
      <c r="J202" s="1473"/>
      <c r="K202" s="1473"/>
      <c r="L202" s="1473"/>
      <c r="M202" s="1473"/>
      <c r="N202" s="1474"/>
      <c r="O202" s="328">
        <f t="shared" si="26"/>
        <v>0</v>
      </c>
    </row>
    <row r="203" spans="1:15">
      <c r="A203">
        <f t="shared" si="24"/>
        <v>0</v>
      </c>
      <c r="B203" s="2055" t="str">
        <f t="shared" si="25"/>
        <v>Recycle Bin</v>
      </c>
      <c r="C203" s="1805"/>
      <c r="D203" s="1805"/>
      <c r="E203" s="1475"/>
      <c r="F203" s="1473"/>
      <c r="G203" s="1473"/>
      <c r="H203" s="1473"/>
      <c r="I203" s="1473"/>
      <c r="J203" s="1473"/>
      <c r="K203" s="1473"/>
      <c r="L203" s="1473"/>
      <c r="M203" s="1473"/>
      <c r="N203" s="1474"/>
      <c r="O203" s="328">
        <f t="shared" si="26"/>
        <v>0</v>
      </c>
    </row>
    <row r="204" spans="1:15">
      <c r="A204">
        <f t="shared" si="24"/>
        <v>0</v>
      </c>
      <c r="B204" s="2055" t="str">
        <f t="shared" si="25"/>
        <v>Light Towers</v>
      </c>
      <c r="C204" s="1805"/>
      <c r="D204" s="1805"/>
      <c r="E204" s="1475"/>
      <c r="F204" s="1473"/>
      <c r="G204" s="1473"/>
      <c r="H204" s="1473"/>
      <c r="I204" s="1473"/>
      <c r="J204" s="1473"/>
      <c r="K204" s="1473"/>
      <c r="L204" s="1473"/>
      <c r="M204" s="1473"/>
      <c r="N204" s="1474"/>
      <c r="O204" s="328">
        <f t="shared" si="26"/>
        <v>0</v>
      </c>
    </row>
    <row r="205" spans="1:15">
      <c r="A205">
        <f t="shared" si="24"/>
        <v>0</v>
      </c>
      <c r="B205" s="2055" t="str">
        <f t="shared" si="25"/>
        <v>Wellsite Unit</v>
      </c>
      <c r="C205" s="1805"/>
      <c r="D205" s="1805"/>
      <c r="E205" s="1475"/>
      <c r="F205" s="1473"/>
      <c r="G205" s="1473"/>
      <c r="H205" s="1473"/>
      <c r="I205" s="1473"/>
      <c r="J205" s="1473"/>
      <c r="K205" s="1473"/>
      <c r="L205" s="1473"/>
      <c r="M205" s="1473"/>
      <c r="N205" s="1474"/>
      <c r="O205" s="328">
        <f t="shared" si="26"/>
        <v>0</v>
      </c>
    </row>
    <row r="206" spans="1:15">
      <c r="A206">
        <f t="shared" si="24"/>
        <v>0</v>
      </c>
      <c r="B206" s="2055">
        <f t="shared" si="25"/>
        <v>0</v>
      </c>
      <c r="C206" s="1805"/>
      <c r="D206" s="1805"/>
      <c r="E206" s="1475"/>
      <c r="F206" s="1473"/>
      <c r="G206" s="1473"/>
      <c r="H206" s="1473"/>
      <c r="I206" s="1473"/>
      <c r="J206" s="1473"/>
      <c r="K206" s="1473"/>
      <c r="L206" s="1473"/>
      <c r="M206" s="1473"/>
      <c r="N206" s="1474"/>
      <c r="O206" s="328">
        <f t="shared" si="26"/>
        <v>0</v>
      </c>
    </row>
    <row r="207" spans="1:15" ht="13.5" thickBot="1">
      <c r="A207">
        <f t="shared" si="24"/>
        <v>0</v>
      </c>
      <c r="B207" s="2058">
        <f t="shared" si="25"/>
        <v>0</v>
      </c>
      <c r="C207" s="2059"/>
      <c r="D207" s="2059"/>
      <c r="E207" s="1475"/>
      <c r="F207" s="1473"/>
      <c r="G207" s="1473"/>
      <c r="H207" s="1473"/>
      <c r="I207" s="1473"/>
      <c r="J207" s="1473"/>
      <c r="K207" s="1473"/>
      <c r="L207" s="1473"/>
      <c r="M207" s="1473"/>
      <c r="N207" s="1474"/>
      <c r="O207" s="328">
        <f t="shared" si="26"/>
        <v>0</v>
      </c>
    </row>
    <row r="208" spans="1:15" ht="13.5" thickBot="1">
      <c r="A208">
        <f t="shared" si="24"/>
        <v>0</v>
      </c>
      <c r="B208" s="2048" t="s">
        <v>676</v>
      </c>
      <c r="C208" s="2049"/>
      <c r="D208" s="2049"/>
      <c r="E208" s="1468">
        <v>0</v>
      </c>
      <c r="F208" s="1469"/>
      <c r="G208" s="1469">
        <v>0</v>
      </c>
      <c r="H208" s="1469"/>
      <c r="I208" s="1469"/>
      <c r="J208" s="1469"/>
      <c r="K208" s="1469"/>
      <c r="L208" s="1469"/>
      <c r="M208" s="1469"/>
      <c r="N208" s="1470"/>
      <c r="O208" s="1471">
        <f>SUM(E208:N208)</f>
        <v>0</v>
      </c>
    </row>
    <row r="209" spans="1:15">
      <c r="A209">
        <f t="shared" si="24"/>
        <v>0</v>
      </c>
      <c r="B209" s="2044" t="str">
        <f t="shared" ref="B209:B214" si="27">B131</f>
        <v>Water</v>
      </c>
      <c r="C209" s="1769"/>
      <c r="D209" s="1769"/>
      <c r="E209" s="1475"/>
      <c r="F209" s="1473"/>
      <c r="G209" s="1473"/>
      <c r="H209" s="1473"/>
      <c r="I209" s="1473"/>
      <c r="J209" s="1473"/>
      <c r="K209" s="1473"/>
      <c r="L209" s="1473"/>
      <c r="M209" s="1473"/>
      <c r="N209" s="1474"/>
      <c r="O209" s="328">
        <f t="shared" si="26"/>
        <v>0</v>
      </c>
    </row>
    <row r="210" spans="1:15">
      <c r="A210">
        <f t="shared" si="24"/>
        <v>0</v>
      </c>
      <c r="B210" s="2055" t="str">
        <f t="shared" si="27"/>
        <v>Load Oil</v>
      </c>
      <c r="C210" s="1805"/>
      <c r="D210" s="1805"/>
      <c r="E210" s="1475"/>
      <c r="F210" s="1473"/>
      <c r="G210" s="1473"/>
      <c r="H210" s="1473"/>
      <c r="I210" s="1473"/>
      <c r="J210" s="1473"/>
      <c r="K210" s="1473"/>
      <c r="L210" s="1473"/>
      <c r="M210" s="1473"/>
      <c r="N210" s="1474"/>
      <c r="O210" s="328">
        <f t="shared" si="26"/>
        <v>0</v>
      </c>
    </row>
    <row r="211" spans="1:15">
      <c r="A211">
        <f t="shared" si="24"/>
        <v>0</v>
      </c>
      <c r="B211" s="2055" t="str">
        <f t="shared" si="27"/>
        <v>Chemical</v>
      </c>
      <c r="C211" s="1805"/>
      <c r="D211" s="1805"/>
      <c r="E211" s="1475"/>
      <c r="F211" s="1473"/>
      <c r="G211" s="1473"/>
      <c r="H211" s="1473"/>
      <c r="I211" s="1473"/>
      <c r="J211" s="1473"/>
      <c r="K211" s="1473"/>
      <c r="L211" s="1473"/>
      <c r="M211" s="1473"/>
      <c r="N211" s="1474"/>
      <c r="O211" s="328">
        <f t="shared" si="26"/>
        <v>0</v>
      </c>
    </row>
    <row r="212" spans="1:15">
      <c r="A212">
        <f t="shared" si="24"/>
        <v>0</v>
      </c>
      <c r="B212" s="2055" t="str">
        <f t="shared" si="27"/>
        <v>Methanol</v>
      </c>
      <c r="C212" s="1805"/>
      <c r="D212" s="1805"/>
      <c r="E212" s="1475"/>
      <c r="F212" s="1473"/>
      <c r="G212" s="1473"/>
      <c r="H212" s="1473"/>
      <c r="I212" s="1473"/>
      <c r="J212" s="1473"/>
      <c r="K212" s="1473"/>
      <c r="L212" s="1473"/>
      <c r="M212" s="1473"/>
      <c r="N212" s="1474"/>
      <c r="O212" s="328">
        <f t="shared" si="26"/>
        <v>0</v>
      </c>
    </row>
    <row r="213" spans="1:15">
      <c r="A213">
        <f t="shared" si="24"/>
        <v>0</v>
      </c>
      <c r="B213" s="2055">
        <f t="shared" si="27"/>
        <v>0</v>
      </c>
      <c r="C213" s="1805"/>
      <c r="D213" s="1805"/>
      <c r="E213" s="1475"/>
      <c r="F213" s="1473"/>
      <c r="G213" s="1473"/>
      <c r="H213" s="1473"/>
      <c r="I213" s="1473"/>
      <c r="J213" s="1473"/>
      <c r="K213" s="1473"/>
      <c r="L213" s="1473"/>
      <c r="M213" s="1473"/>
      <c r="N213" s="1474"/>
      <c r="O213" s="328">
        <f t="shared" si="26"/>
        <v>0</v>
      </c>
    </row>
    <row r="214" spans="1:15" ht="13.5" thickBot="1">
      <c r="A214">
        <f t="shared" si="24"/>
        <v>0</v>
      </c>
      <c r="B214" s="2056">
        <f t="shared" si="27"/>
        <v>0</v>
      </c>
      <c r="C214" s="2057"/>
      <c r="D214" s="2057"/>
      <c r="E214" s="1475"/>
      <c r="F214" s="1473"/>
      <c r="G214" s="1473"/>
      <c r="H214" s="1473"/>
      <c r="I214" s="1473"/>
      <c r="J214" s="1473"/>
      <c r="K214" s="1473"/>
      <c r="L214" s="1473"/>
      <c r="M214" s="1473"/>
      <c r="N214" s="1474"/>
      <c r="O214" s="328">
        <f t="shared" si="26"/>
        <v>0</v>
      </c>
    </row>
    <row r="215" spans="1:15" ht="13.5" thickBot="1">
      <c r="A215">
        <f t="shared" si="24"/>
        <v>0</v>
      </c>
      <c r="B215" s="2048" t="s">
        <v>681</v>
      </c>
      <c r="C215" s="2049"/>
      <c r="D215" s="2049"/>
      <c r="E215" s="1468"/>
      <c r="F215" s="1469"/>
      <c r="G215" s="1469"/>
      <c r="H215" s="1469"/>
      <c r="I215" s="1469"/>
      <c r="J215" s="1469"/>
      <c r="K215" s="1469"/>
      <c r="L215" s="1469"/>
      <c r="M215" s="1469"/>
      <c r="N215" s="1470"/>
      <c r="O215" s="1471">
        <f>SUM(E215:N215)</f>
        <v>0</v>
      </c>
    </row>
    <row r="216" spans="1:15">
      <c r="A216">
        <f t="shared" si="24"/>
        <v>0</v>
      </c>
      <c r="B216" s="2044" t="str">
        <f>B60</f>
        <v>Wellsite Supervisor</v>
      </c>
      <c r="C216" s="1769"/>
      <c r="D216" s="1769"/>
      <c r="E216" s="1475"/>
      <c r="F216" s="1473"/>
      <c r="G216" s="1473"/>
      <c r="H216" s="1473"/>
      <c r="I216" s="1473"/>
      <c r="J216" s="1473"/>
      <c r="K216" s="1473"/>
      <c r="L216" s="1473"/>
      <c r="M216" s="1473"/>
      <c r="N216" s="1474"/>
      <c r="O216" s="328">
        <f t="shared" si="26"/>
        <v>0</v>
      </c>
    </row>
    <row r="217" spans="1:15">
      <c r="A217">
        <f t="shared" si="24"/>
        <v>0</v>
      </c>
      <c r="B217" s="2055" t="str">
        <f>B61</f>
        <v>Accommodation</v>
      </c>
      <c r="C217" s="1805"/>
      <c r="D217" s="1805"/>
      <c r="E217" s="1475"/>
      <c r="F217" s="1473"/>
      <c r="G217" s="1473"/>
      <c r="H217" s="1473"/>
      <c r="I217" s="1473"/>
      <c r="J217" s="1473"/>
      <c r="K217" s="1473"/>
      <c r="L217" s="1473"/>
      <c r="M217" s="1473"/>
      <c r="N217" s="1474"/>
      <c r="O217" s="328">
        <f t="shared" si="26"/>
        <v>0</v>
      </c>
    </row>
    <row r="218" spans="1:15">
      <c r="A218">
        <f t="shared" si="24"/>
        <v>0</v>
      </c>
      <c r="B218" s="2055" t="str">
        <f>B62</f>
        <v>Vehicle</v>
      </c>
      <c r="C218" s="1805"/>
      <c r="D218" s="1805"/>
      <c r="E218" s="1475"/>
      <c r="F218" s="1473"/>
      <c r="G218" s="1473"/>
      <c r="H218" s="1473"/>
      <c r="I218" s="1473"/>
      <c r="J218" s="1473"/>
      <c r="K218" s="1473"/>
      <c r="L218" s="1473"/>
      <c r="M218" s="1473"/>
      <c r="N218" s="1474"/>
      <c r="O218" s="328">
        <f t="shared" si="26"/>
        <v>0</v>
      </c>
    </row>
    <row r="219" spans="1:15">
      <c r="A219">
        <f t="shared" si="24"/>
        <v>0</v>
      </c>
      <c r="B219" s="2055" t="str">
        <f>B63</f>
        <v>Subsistence</v>
      </c>
      <c r="C219" s="1805"/>
      <c r="D219" s="1805"/>
      <c r="E219" s="1475"/>
      <c r="F219" s="1473"/>
      <c r="G219" s="1473"/>
      <c r="H219" s="1473"/>
      <c r="I219" s="1473"/>
      <c r="J219" s="1473"/>
      <c r="K219" s="1473"/>
      <c r="L219" s="1473"/>
      <c r="M219" s="1473"/>
      <c r="N219" s="1474"/>
      <c r="O219" s="328">
        <f t="shared" si="26"/>
        <v>0</v>
      </c>
    </row>
    <row r="220" spans="1:15">
      <c r="A220">
        <f t="shared" si="24"/>
        <v>0</v>
      </c>
      <c r="B220" s="2055" t="str">
        <f>B64</f>
        <v>Communication</v>
      </c>
      <c r="C220" s="1805"/>
      <c r="D220" s="1805"/>
      <c r="E220" s="1475"/>
      <c r="F220" s="1473"/>
      <c r="G220" s="1473"/>
      <c r="H220" s="1473"/>
      <c r="I220" s="1473"/>
      <c r="J220" s="1473"/>
      <c r="K220" s="1473"/>
      <c r="L220" s="1473"/>
      <c r="M220" s="1473"/>
      <c r="N220" s="1474"/>
      <c r="O220" s="328">
        <f t="shared" si="26"/>
        <v>0</v>
      </c>
    </row>
    <row r="221" spans="1:15">
      <c r="A221">
        <f t="shared" si="24"/>
        <v>0</v>
      </c>
      <c r="B221" s="2055">
        <f>B143</f>
        <v>0</v>
      </c>
      <c r="C221" s="1805"/>
      <c r="D221" s="1805"/>
      <c r="E221" s="1475"/>
      <c r="F221" s="1473"/>
      <c r="G221" s="1473"/>
      <c r="H221" s="1473"/>
      <c r="I221" s="1473"/>
      <c r="J221" s="1473"/>
      <c r="K221" s="1473"/>
      <c r="L221" s="1473"/>
      <c r="M221" s="1473"/>
      <c r="N221" s="1474"/>
      <c r="O221" s="328">
        <f t="shared" si="26"/>
        <v>0</v>
      </c>
    </row>
    <row r="222" spans="1:15" ht="13.5" thickBot="1">
      <c r="A222">
        <f t="shared" si="24"/>
        <v>0</v>
      </c>
      <c r="B222" s="2056">
        <f>B144</f>
        <v>0</v>
      </c>
      <c r="C222" s="2057"/>
      <c r="D222" s="2057"/>
      <c r="E222" s="1475"/>
      <c r="F222" s="1473"/>
      <c r="G222" s="1473"/>
      <c r="H222" s="1473"/>
      <c r="I222" s="1473"/>
      <c r="J222" s="1473"/>
      <c r="K222" s="1473"/>
      <c r="L222" s="1473"/>
      <c r="M222" s="1473"/>
      <c r="N222" s="1474"/>
      <c r="O222" s="330">
        <f t="shared" si="26"/>
        <v>0</v>
      </c>
    </row>
    <row r="223" spans="1:15" ht="13.5" thickBot="1">
      <c r="A223">
        <f t="shared" si="24"/>
        <v>0</v>
      </c>
      <c r="B223" s="2048" t="s">
        <v>680</v>
      </c>
      <c r="C223" s="2049"/>
      <c r="D223" s="2049"/>
      <c r="E223" s="1468"/>
      <c r="F223" s="1469"/>
      <c r="G223" s="1469"/>
      <c r="H223" s="1469"/>
      <c r="I223" s="1469"/>
      <c r="J223" s="1469"/>
      <c r="K223" s="1469"/>
      <c r="L223" s="1469"/>
      <c r="M223" s="1469"/>
      <c r="N223" s="1470"/>
      <c r="O223" s="1471">
        <f t="shared" si="26"/>
        <v>0</v>
      </c>
    </row>
    <row r="224" spans="1:15">
      <c r="A224">
        <f t="shared" si="24"/>
        <v>0</v>
      </c>
      <c r="B224" s="2044" t="str">
        <f t="shared" ref="B224:B229" si="28">B146</f>
        <v>Welding</v>
      </c>
      <c r="C224" s="1769"/>
      <c r="D224" s="1769"/>
      <c r="E224" s="1475"/>
      <c r="F224" s="1473"/>
      <c r="G224" s="1473"/>
      <c r="H224" s="1473"/>
      <c r="I224" s="1473"/>
      <c r="J224" s="1473"/>
      <c r="K224" s="1473"/>
      <c r="L224" s="1473"/>
      <c r="M224" s="1473"/>
      <c r="N224" s="1474"/>
      <c r="O224" s="327">
        <f t="shared" si="26"/>
        <v>0</v>
      </c>
    </row>
    <row r="225" spans="1:15">
      <c r="A225">
        <f t="shared" si="24"/>
        <v>0</v>
      </c>
      <c r="B225" s="2055">
        <f t="shared" si="28"/>
        <v>0</v>
      </c>
      <c r="C225" s="1805"/>
      <c r="D225" s="1805"/>
      <c r="E225" s="1475"/>
      <c r="F225" s="1473"/>
      <c r="G225" s="1473"/>
      <c r="H225" s="1473"/>
      <c r="I225" s="1473"/>
      <c r="J225" s="1473"/>
      <c r="K225" s="1473"/>
      <c r="L225" s="1473"/>
      <c r="M225" s="1473"/>
      <c r="N225" s="1474"/>
      <c r="O225" s="328">
        <f t="shared" si="26"/>
        <v>0</v>
      </c>
    </row>
    <row r="226" spans="1:15">
      <c r="A226">
        <f t="shared" si="24"/>
        <v>0</v>
      </c>
      <c r="B226" s="2055">
        <f t="shared" si="28"/>
        <v>0</v>
      </c>
      <c r="C226" s="1805"/>
      <c r="D226" s="1805"/>
      <c r="E226" s="1475"/>
      <c r="F226" s="1473"/>
      <c r="G226" s="1473"/>
      <c r="H226" s="1473"/>
      <c r="I226" s="1473"/>
      <c r="J226" s="1473"/>
      <c r="K226" s="1473"/>
      <c r="L226" s="1473"/>
      <c r="M226" s="1473"/>
      <c r="N226" s="1474"/>
      <c r="O226" s="328">
        <f t="shared" si="26"/>
        <v>0</v>
      </c>
    </row>
    <row r="227" spans="1:15">
      <c r="A227">
        <f>A149</f>
        <v>0</v>
      </c>
      <c r="B227" s="2055">
        <f t="shared" si="28"/>
        <v>0</v>
      </c>
      <c r="C227" s="1805"/>
      <c r="D227" s="1805"/>
      <c r="E227" s="1475"/>
      <c r="F227" s="1473"/>
      <c r="G227" s="1473"/>
      <c r="H227" s="1473"/>
      <c r="I227" s="1473"/>
      <c r="J227" s="1473"/>
      <c r="K227" s="1473"/>
      <c r="L227" s="1473"/>
      <c r="M227" s="1473"/>
      <c r="N227" s="1474"/>
      <c r="O227" s="328">
        <f>SUM(E227:N227)</f>
        <v>0</v>
      </c>
    </row>
    <row r="228" spans="1:15">
      <c r="A228">
        <f>A150</f>
        <v>0</v>
      </c>
      <c r="B228" s="2055">
        <f t="shared" si="28"/>
        <v>0</v>
      </c>
      <c r="C228" s="1805"/>
      <c r="D228" s="1805"/>
      <c r="E228" s="1475"/>
      <c r="F228" s="1473"/>
      <c r="G228" s="1473"/>
      <c r="H228" s="1473"/>
      <c r="I228" s="1473"/>
      <c r="J228" s="1473"/>
      <c r="K228" s="1473"/>
      <c r="L228" s="1473"/>
      <c r="M228" s="1473"/>
      <c r="N228" s="1474"/>
      <c r="O228" s="328">
        <f>SUM(E228:N228)</f>
        <v>0</v>
      </c>
    </row>
    <row r="229" spans="1:15" ht="13.5" thickBot="1">
      <c r="B229" s="2055">
        <f t="shared" si="28"/>
        <v>0</v>
      </c>
      <c r="C229" s="1805"/>
      <c r="D229" s="1805"/>
      <c r="E229" s="1475"/>
      <c r="F229" s="1473"/>
      <c r="G229" s="1473"/>
      <c r="H229" s="1473"/>
      <c r="I229" s="1473"/>
      <c r="J229" s="1473"/>
      <c r="K229" s="1473"/>
      <c r="L229" s="1473"/>
      <c r="M229" s="1473"/>
      <c r="N229" s="1474"/>
      <c r="O229" s="328">
        <f>SUM(E229:N229)</f>
        <v>0</v>
      </c>
    </row>
    <row r="230" spans="1:15">
      <c r="B230" s="2060" t="s">
        <v>733</v>
      </c>
      <c r="C230" s="1792"/>
      <c r="D230" s="2061"/>
      <c r="E230" s="321">
        <f t="shared" ref="E230:O230" si="29">SUM(E163:E229)</f>
        <v>0</v>
      </c>
      <c r="F230" s="322">
        <f t="shared" si="29"/>
        <v>0</v>
      </c>
      <c r="G230" s="322">
        <f t="shared" si="29"/>
        <v>0</v>
      </c>
      <c r="H230" s="322">
        <f t="shared" si="29"/>
        <v>0</v>
      </c>
      <c r="I230" s="322">
        <f t="shared" si="29"/>
        <v>0</v>
      </c>
      <c r="J230" s="322">
        <f t="shared" si="29"/>
        <v>0</v>
      </c>
      <c r="K230" s="322">
        <f t="shared" si="29"/>
        <v>0</v>
      </c>
      <c r="L230" s="322">
        <f t="shared" si="29"/>
        <v>0</v>
      </c>
      <c r="M230" s="322">
        <f t="shared" si="29"/>
        <v>0</v>
      </c>
      <c r="N230" s="322">
        <f t="shared" si="29"/>
        <v>0</v>
      </c>
      <c r="O230" s="323">
        <f t="shared" si="29"/>
        <v>0</v>
      </c>
    </row>
    <row r="231" spans="1:15" ht="13.5" thickBot="1">
      <c r="B231" s="319"/>
      <c r="C231" s="1742" t="s">
        <v>693</v>
      </c>
      <c r="D231" s="1742"/>
      <c r="E231" s="324">
        <f>N154</f>
        <v>0</v>
      </c>
      <c r="F231" s="325">
        <f t="shared" ref="F231:N231" si="30">E232</f>
        <v>0</v>
      </c>
      <c r="G231" s="325">
        <f t="shared" si="30"/>
        <v>0</v>
      </c>
      <c r="H231" s="325">
        <f t="shared" si="30"/>
        <v>0</v>
      </c>
      <c r="I231" s="325">
        <f t="shared" si="30"/>
        <v>0</v>
      </c>
      <c r="J231" s="325">
        <f t="shared" si="30"/>
        <v>0</v>
      </c>
      <c r="K231" s="325">
        <f t="shared" si="30"/>
        <v>0</v>
      </c>
      <c r="L231" s="325">
        <f t="shared" si="30"/>
        <v>0</v>
      </c>
      <c r="M231" s="325">
        <f t="shared" si="30"/>
        <v>0</v>
      </c>
      <c r="N231" s="325">
        <f t="shared" si="30"/>
        <v>0</v>
      </c>
      <c r="O231" s="326">
        <f>E231</f>
        <v>0</v>
      </c>
    </row>
    <row r="232" spans="1:15" ht="13.5" thickBot="1">
      <c r="B232" s="2041" t="s">
        <v>735</v>
      </c>
      <c r="C232" s="2042"/>
      <c r="D232" s="2043"/>
      <c r="E232" s="331">
        <f t="shared" ref="E232:O232" si="31">E230+E231</f>
        <v>0</v>
      </c>
      <c r="F232" s="332">
        <f t="shared" si="31"/>
        <v>0</v>
      </c>
      <c r="G232" s="332">
        <f t="shared" si="31"/>
        <v>0</v>
      </c>
      <c r="H232" s="332">
        <f t="shared" si="31"/>
        <v>0</v>
      </c>
      <c r="I232" s="332">
        <f t="shared" si="31"/>
        <v>0</v>
      </c>
      <c r="J232" s="332">
        <f t="shared" si="31"/>
        <v>0</v>
      </c>
      <c r="K232" s="332">
        <f t="shared" si="31"/>
        <v>0</v>
      </c>
      <c r="L232" s="332">
        <f t="shared" si="31"/>
        <v>0</v>
      </c>
      <c r="M232" s="332">
        <f t="shared" si="31"/>
        <v>0</v>
      </c>
      <c r="N232" s="332">
        <f t="shared" si="31"/>
        <v>0</v>
      </c>
      <c r="O232" s="333">
        <f t="shared" si="31"/>
        <v>0</v>
      </c>
    </row>
    <row r="233" spans="1:15" ht="13.5" thickTop="1"/>
  </sheetData>
  <sheetProtection sheet="1" formatCells="0" formatColumns="0" formatRows="0" insertColumns="0" insertRows="0" deleteColumns="0" deleteRows="0" selectLockedCells="1"/>
  <mergeCells count="252">
    <mergeCell ref="C231:D231"/>
    <mergeCell ref="C75:D75"/>
    <mergeCell ref="B74:D74"/>
    <mergeCell ref="B76:D76"/>
    <mergeCell ref="B152:D152"/>
    <mergeCell ref="B154:D154"/>
    <mergeCell ref="B230:D230"/>
    <mergeCell ref="C153:D153"/>
    <mergeCell ref="B227:D227"/>
    <mergeCell ref="B228:D228"/>
    <mergeCell ref="B222:D222"/>
    <mergeCell ref="B229:D229"/>
    <mergeCell ref="B223:D223"/>
    <mergeCell ref="B224:D224"/>
    <mergeCell ref="B225:D225"/>
    <mergeCell ref="B226:D226"/>
    <mergeCell ref="B216:D216"/>
    <mergeCell ref="B217:D217"/>
    <mergeCell ref="B218:D218"/>
    <mergeCell ref="B219:D219"/>
    <mergeCell ref="B220:D220"/>
    <mergeCell ref="B221:D221"/>
    <mergeCell ref="B210:D210"/>
    <mergeCell ref="B211:D211"/>
    <mergeCell ref="B212:D212"/>
    <mergeCell ref="B213:D213"/>
    <mergeCell ref="B214:D214"/>
    <mergeCell ref="B215:D215"/>
    <mergeCell ref="B204:D204"/>
    <mergeCell ref="B205:D205"/>
    <mergeCell ref="B206:D206"/>
    <mergeCell ref="B207:D207"/>
    <mergeCell ref="B208:D208"/>
    <mergeCell ref="B209:D209"/>
    <mergeCell ref="B198:D198"/>
    <mergeCell ref="B199:D199"/>
    <mergeCell ref="B200:D200"/>
    <mergeCell ref="B201:D201"/>
    <mergeCell ref="B202:D202"/>
    <mergeCell ref="B203:D203"/>
    <mergeCell ref="B192:D192"/>
    <mergeCell ref="B193:D193"/>
    <mergeCell ref="B194:D194"/>
    <mergeCell ref="B195:D195"/>
    <mergeCell ref="B196:D196"/>
    <mergeCell ref="B197:D197"/>
    <mergeCell ref="B186:D186"/>
    <mergeCell ref="B187:D187"/>
    <mergeCell ref="B188:D188"/>
    <mergeCell ref="B189:D189"/>
    <mergeCell ref="B190:D190"/>
    <mergeCell ref="B191:D191"/>
    <mergeCell ref="B180:D180"/>
    <mergeCell ref="B181:D181"/>
    <mergeCell ref="B182:D182"/>
    <mergeCell ref="B183:D183"/>
    <mergeCell ref="B184:D184"/>
    <mergeCell ref="B185:D185"/>
    <mergeCell ref="B174:D174"/>
    <mergeCell ref="B175:D175"/>
    <mergeCell ref="B176:D176"/>
    <mergeCell ref="B177:D177"/>
    <mergeCell ref="B178:D178"/>
    <mergeCell ref="B179:D179"/>
    <mergeCell ref="B168:D168"/>
    <mergeCell ref="B169:D169"/>
    <mergeCell ref="B170:D170"/>
    <mergeCell ref="B171:D171"/>
    <mergeCell ref="B172:D172"/>
    <mergeCell ref="B173:D173"/>
    <mergeCell ref="O161:O162"/>
    <mergeCell ref="B163:D163"/>
    <mergeCell ref="B164:D164"/>
    <mergeCell ref="B165:D165"/>
    <mergeCell ref="B166:D166"/>
    <mergeCell ref="B167:D167"/>
    <mergeCell ref="I161:I162"/>
    <mergeCell ref="J161:J162"/>
    <mergeCell ref="K161:K162"/>
    <mergeCell ref="L161:L162"/>
    <mergeCell ref="M161:M162"/>
    <mergeCell ref="N161:N162"/>
    <mergeCell ref="B161:D161"/>
    <mergeCell ref="E161:E162"/>
    <mergeCell ref="F161:F162"/>
    <mergeCell ref="G161:G162"/>
    <mergeCell ref="B162:D162"/>
    <mergeCell ref="H161:H162"/>
    <mergeCell ref="B147:D147"/>
    <mergeCell ref="B148:D148"/>
    <mergeCell ref="B149:D149"/>
    <mergeCell ref="B150:D150"/>
    <mergeCell ref="B151:D151"/>
    <mergeCell ref="E157:L157"/>
    <mergeCell ref="B141:D141"/>
    <mergeCell ref="B142:D142"/>
    <mergeCell ref="B143:D143"/>
    <mergeCell ref="B144:D144"/>
    <mergeCell ref="B145:D145"/>
    <mergeCell ref="B146:D146"/>
    <mergeCell ref="B135:D135"/>
    <mergeCell ref="B136:D136"/>
    <mergeCell ref="B137:D137"/>
    <mergeCell ref="B138:D138"/>
    <mergeCell ref="B139:D139"/>
    <mergeCell ref="B140:D140"/>
    <mergeCell ref="B129:D129"/>
    <mergeCell ref="B130:D130"/>
    <mergeCell ref="B131:D131"/>
    <mergeCell ref="B132:D132"/>
    <mergeCell ref="B133:D133"/>
    <mergeCell ref="B134:D134"/>
    <mergeCell ref="B123:D123"/>
    <mergeCell ref="B124:D124"/>
    <mergeCell ref="B125:D125"/>
    <mergeCell ref="B126:D126"/>
    <mergeCell ref="B127:D127"/>
    <mergeCell ref="B128:D128"/>
    <mergeCell ref="B117:D117"/>
    <mergeCell ref="B118:D118"/>
    <mergeCell ref="B119:D119"/>
    <mergeCell ref="B120:D120"/>
    <mergeCell ref="B121:D121"/>
    <mergeCell ref="B122:D122"/>
    <mergeCell ref="B111:D111"/>
    <mergeCell ref="B112:D112"/>
    <mergeCell ref="B113:D113"/>
    <mergeCell ref="B114:D114"/>
    <mergeCell ref="B115:D115"/>
    <mergeCell ref="B116:D116"/>
    <mergeCell ref="B105:D105"/>
    <mergeCell ref="B106:D106"/>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M83:M84"/>
    <mergeCell ref="N83:N84"/>
    <mergeCell ref="O83:O84"/>
    <mergeCell ref="B84:D84"/>
    <mergeCell ref="B85:D85"/>
    <mergeCell ref="B86:D86"/>
    <mergeCell ref="E79:L79"/>
    <mergeCell ref="B83:D83"/>
    <mergeCell ref="E83:E84"/>
    <mergeCell ref="F83:F84"/>
    <mergeCell ref="G83:G84"/>
    <mergeCell ref="H83:H84"/>
    <mergeCell ref="I83:I84"/>
    <mergeCell ref="J83:J84"/>
    <mergeCell ref="K83:K84"/>
    <mergeCell ref="L83:L84"/>
    <mergeCell ref="B73:D73"/>
    <mergeCell ref="N5:N6"/>
    <mergeCell ref="E2:L2"/>
    <mergeCell ref="B69:D69"/>
    <mergeCell ref="B70:D70"/>
    <mergeCell ref="B71:D71"/>
    <mergeCell ref="B72:D72"/>
    <mergeCell ref="B66:D66"/>
    <mergeCell ref="B64:D64"/>
    <mergeCell ref="B68:D68"/>
    <mergeCell ref="B56:D56"/>
    <mergeCell ref="B57:D57"/>
    <mergeCell ref="B58:D58"/>
    <mergeCell ref="B59:D59"/>
    <mergeCell ref="B60:D60"/>
    <mergeCell ref="B67:D67"/>
    <mergeCell ref="B61:D61"/>
    <mergeCell ref="B62:D62"/>
    <mergeCell ref="B63:D63"/>
    <mergeCell ref="B65:D65"/>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4:D34"/>
    <mergeCell ref="B35:D35"/>
    <mergeCell ref="B36:D36"/>
    <mergeCell ref="B37:D37"/>
    <mergeCell ref="B26:D26"/>
    <mergeCell ref="B27:D27"/>
    <mergeCell ref="B28:D28"/>
    <mergeCell ref="B29:D29"/>
    <mergeCell ref="B30:D30"/>
    <mergeCell ref="B31:D31"/>
    <mergeCell ref="B7:D7"/>
    <mergeCell ref="B8:D8"/>
    <mergeCell ref="B232:D232"/>
    <mergeCell ref="M5:M6"/>
    <mergeCell ref="H5:H6"/>
    <mergeCell ref="B9:D9"/>
    <mergeCell ref="B10:D10"/>
    <mergeCell ref="B11:D11"/>
    <mergeCell ref="B12:D12"/>
    <mergeCell ref="B13:D13"/>
    <mergeCell ref="B20:D20"/>
    <mergeCell ref="B21:D21"/>
    <mergeCell ref="B22:D22"/>
    <mergeCell ref="B23:D23"/>
    <mergeCell ref="B24:D24"/>
    <mergeCell ref="B25:D25"/>
    <mergeCell ref="B14:D14"/>
    <mergeCell ref="B15:D15"/>
    <mergeCell ref="B16:D16"/>
    <mergeCell ref="B17:D17"/>
    <mergeCell ref="B18:D18"/>
    <mergeCell ref="B19:D19"/>
    <mergeCell ref="B32:D32"/>
    <mergeCell ref="B33:D33"/>
    <mergeCell ref="O5:O6"/>
    <mergeCell ref="B5:D5"/>
    <mergeCell ref="B6:D6"/>
    <mergeCell ref="I5:I6"/>
    <mergeCell ref="J5:J6"/>
    <mergeCell ref="K5:K6"/>
    <mergeCell ref="L5:L6"/>
    <mergeCell ref="E5:E6"/>
    <mergeCell ref="F5:F6"/>
    <mergeCell ref="G5:G6"/>
  </mergeCells>
  <phoneticPr fontId="0" type="noConversion"/>
  <pageMargins left="0" right="0" top="0.25" bottom="0.25" header="0" footer="0"/>
  <pageSetup scale="75" orientation="portrait" horizont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20" r:id="rId4" name="Button 4">
              <controlPr defaultSize="0" print="0" autoFill="0" autoPict="0" macro="[0]!BACKTOMENU3">
                <anchor moveWithCells="1">
                  <from>
                    <xdr:col>1</xdr:col>
                    <xdr:colOff>0</xdr:colOff>
                    <xdr:row>0</xdr:row>
                    <xdr:rowOff>8164</xdr:rowOff>
                  </from>
                  <to>
                    <xdr:col>1</xdr:col>
                    <xdr:colOff>533400</xdr:colOff>
                    <xdr:row>1</xdr:row>
                    <xdr:rowOff>46264</xdr:rowOff>
                  </to>
                </anchor>
              </controlPr>
            </control>
          </mc:Choice>
        </mc:AlternateContent>
        <mc:AlternateContent xmlns:mc="http://schemas.openxmlformats.org/markup-compatibility/2006">
          <mc:Choice Requires="x14">
            <control shapeId="34821" r:id="rId5" name="Button 5">
              <controlPr defaultSize="0" print="0" autoFill="0" autoPict="0" macro="[0]!GOTOAFE">
                <anchor moveWithCells="1">
                  <from>
                    <xdr:col>3</xdr:col>
                    <xdr:colOff>225879</xdr:colOff>
                    <xdr:row>0</xdr:row>
                    <xdr:rowOff>57150</xdr:rowOff>
                  </from>
                  <to>
                    <xdr:col>4</xdr:col>
                    <xdr:colOff>127907</xdr:colOff>
                    <xdr:row>1</xdr:row>
                    <xdr:rowOff>95250</xdr:rowOff>
                  </to>
                </anchor>
              </controlPr>
            </control>
          </mc:Choice>
        </mc:AlternateContent>
        <mc:AlternateContent xmlns:mc="http://schemas.openxmlformats.org/markup-compatibility/2006">
          <mc:Choice Requires="x14">
            <control shapeId="34822" r:id="rId6" name="Button 6">
              <controlPr defaultSize="0" print="0" autoFill="0" autoPict="0" macro="[0]!GoToPurchord">
                <anchor moveWithCells="1">
                  <from>
                    <xdr:col>2</xdr:col>
                    <xdr:colOff>10886</xdr:colOff>
                    <xdr:row>0</xdr:row>
                    <xdr:rowOff>46264</xdr:rowOff>
                  </from>
                  <to>
                    <xdr:col>3</xdr:col>
                    <xdr:colOff>78921</xdr:colOff>
                    <xdr:row>1</xdr:row>
                    <xdr:rowOff>87086</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558D4-4C0E-420E-8C5F-4D1C6125C545}">
  <sheetPr codeName="Sheet21"/>
  <dimension ref="A6:F9"/>
  <sheetViews>
    <sheetView workbookViewId="0"/>
  </sheetViews>
  <sheetFormatPr defaultRowHeight="12.9"/>
  <sheetData>
    <row r="6" spans="1:6" ht="13.1">
      <c r="A6" s="1664" t="s">
        <v>823</v>
      </c>
      <c r="B6" s="1664"/>
      <c r="C6" s="1664"/>
      <c r="D6" s="1664"/>
    </row>
    <row r="7" spans="1:6" ht="13.5" thickBot="1"/>
    <row r="8" spans="1:6" ht="14.8" thickBot="1">
      <c r="A8" s="42"/>
      <c r="B8" s="2062">
        <f>(F8*'AFE Summary'!I67)+IF(F8&gt;0,'AFE Summary'!I66+IF(F8&gt;8,(F8-8)*'AFE Summary'!G74*'AFE Summary'!E74),0)</f>
        <v>0</v>
      </c>
      <c r="C8" s="2063"/>
      <c r="D8" s="43"/>
      <c r="F8" s="180">
        <v>0</v>
      </c>
    </row>
    <row r="9" spans="1:6" ht="13.75" thickBot="1">
      <c r="A9" s="2064" t="s">
        <v>824</v>
      </c>
      <c r="B9" s="2065"/>
      <c r="C9" s="2065"/>
      <c r="D9" s="2066"/>
    </row>
  </sheetData>
  <mergeCells count="3">
    <mergeCell ref="B8:C8"/>
    <mergeCell ref="A6:D6"/>
    <mergeCell ref="A9:D9"/>
  </mergeCells>
  <phoneticPr fontId="0" type="noConversion"/>
  <pageMargins left="0.75" right="0.75" top="1" bottom="1" header="0.5" footer="0.5"/>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41987" r:id="rId3" name="Button 3">
              <controlPr defaultSize="0" print="0" autoFill="0" autoPict="0" macro="[0]!BACKTOMENU">
                <anchor moveWithCells="1">
                  <from>
                    <xdr:col>0</xdr:col>
                    <xdr:colOff>19050</xdr:colOff>
                    <xdr:row>0</xdr:row>
                    <xdr:rowOff>38100</xdr:rowOff>
                  </from>
                  <to>
                    <xdr:col>0</xdr:col>
                    <xdr:colOff>552450</xdr:colOff>
                    <xdr:row>1</xdr:row>
                    <xdr:rowOff>87086</xdr:rowOff>
                  </to>
                </anchor>
              </controlPr>
            </control>
          </mc:Choice>
        </mc:AlternateContent>
        <mc:AlternateContent xmlns:mc="http://schemas.openxmlformats.org/markup-compatibility/2006">
          <mc:Choice Requires="x14">
            <control shapeId="41988" r:id="rId4" name="Button 4">
              <controlPr defaultSize="0" print="0" autoFill="0" autoPict="0" macro="[0]!GOTOAFE">
                <anchor moveWithCells="1">
                  <from>
                    <xdr:col>0</xdr:col>
                    <xdr:colOff>19050</xdr:colOff>
                    <xdr:row>1</xdr:row>
                    <xdr:rowOff>106136</xdr:rowOff>
                  </from>
                  <to>
                    <xdr:col>0</xdr:col>
                    <xdr:colOff>552450</xdr:colOff>
                    <xdr:row>2</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D1B37-6B1A-4117-AD34-921F71A34CF4}">
  <sheetPr codeName="Sheet22">
    <tabColor rgb="FFFF0000"/>
  </sheetPr>
  <dimension ref="A1:AC547"/>
  <sheetViews>
    <sheetView showGridLines="0" showZeros="0" workbookViewId="0">
      <pane xSplit="5" topLeftCell="F1" activePane="topRight" state="frozenSplit"/>
      <selection activeCell="A4" sqref="A4"/>
      <selection pane="topRight" activeCell="L12" sqref="L12:M12"/>
    </sheetView>
  </sheetViews>
  <sheetFormatPr defaultRowHeight="12.9"/>
  <cols>
    <col min="3" max="3" width="7.15234375" customWidth="1"/>
    <col min="4" max="4" width="1.421875" customWidth="1"/>
    <col min="5" max="5" width="0.69140625" customWidth="1"/>
    <col min="6" max="29" width="5.69140625" customWidth="1"/>
  </cols>
  <sheetData>
    <row r="1" spans="1:29" ht="13.1">
      <c r="A1" s="1644" t="s">
        <v>694</v>
      </c>
      <c r="B1" s="1644"/>
      <c r="C1" s="1644"/>
      <c r="D1" s="1644"/>
      <c r="E1" s="1644"/>
      <c r="F1" s="1644"/>
      <c r="G1" s="1644"/>
      <c r="H1" s="1644"/>
      <c r="I1" s="1644"/>
      <c r="J1" s="1644"/>
      <c r="K1" s="1644"/>
      <c r="L1" s="1644"/>
      <c r="M1" s="1644"/>
      <c r="N1" s="1644"/>
      <c r="O1" s="1644"/>
      <c r="P1" s="1644"/>
      <c r="Q1" s="1644"/>
      <c r="R1" s="1644"/>
      <c r="S1" s="1644"/>
      <c r="T1" s="1644"/>
      <c r="U1" s="1644"/>
      <c r="V1" s="1644"/>
      <c r="W1" s="1644"/>
      <c r="X1" s="1644"/>
      <c r="Y1" s="1644"/>
      <c r="Z1" s="1644"/>
      <c r="AA1" s="1644"/>
      <c r="AB1" s="1644"/>
      <c r="AC1" s="1644"/>
    </row>
    <row r="3" spans="1:29" ht="13.1">
      <c r="A3" s="1644" t="s">
        <v>221</v>
      </c>
      <c r="B3" s="1644"/>
      <c r="C3" s="2130">
        <f>Summary!C3</f>
        <v>0</v>
      </c>
      <c r="D3" s="2130"/>
      <c r="E3" s="2130"/>
      <c r="F3" s="2130"/>
      <c r="G3" s="2130"/>
      <c r="H3" s="2130"/>
      <c r="I3" s="2130"/>
      <c r="J3" s="2130"/>
    </row>
    <row r="8" spans="1:29" ht="13.5" thickBot="1"/>
    <row r="9" spans="1:29" ht="14.8" thickTop="1">
      <c r="A9" s="274" t="s">
        <v>190</v>
      </c>
      <c r="B9" s="275"/>
      <c r="C9" s="275"/>
      <c r="D9" s="275"/>
      <c r="E9" s="276"/>
      <c r="F9" s="277"/>
      <c r="G9" s="278"/>
      <c r="H9" s="271" t="s">
        <v>191</v>
      </c>
      <c r="I9" s="279"/>
      <c r="J9" s="279"/>
      <c r="K9" s="280"/>
      <c r="L9" s="279" t="s">
        <v>340</v>
      </c>
      <c r="M9" s="281"/>
      <c r="N9" s="279"/>
      <c r="O9" s="334">
        <f>Summary!C32</f>
        <v>0</v>
      </c>
      <c r="P9" s="271"/>
      <c r="Q9" s="282"/>
      <c r="R9" s="283" t="s">
        <v>412</v>
      </c>
      <c r="S9" s="281"/>
      <c r="T9" s="279"/>
      <c r="U9" s="334">
        <f>Summary!F32</f>
        <v>0</v>
      </c>
      <c r="V9" s="284"/>
      <c r="W9" s="272"/>
      <c r="X9" s="283" t="s">
        <v>412</v>
      </c>
      <c r="Y9" s="281"/>
      <c r="Z9" s="279"/>
      <c r="AA9" s="334">
        <f>Summary!H32</f>
        <v>0</v>
      </c>
      <c r="AB9" s="284"/>
      <c r="AC9" s="272"/>
    </row>
    <row r="10" spans="1:29" ht="14.8" thickBot="1">
      <c r="A10" s="285" t="s">
        <v>192</v>
      </c>
      <c r="B10" s="286"/>
      <c r="C10" s="286"/>
      <c r="D10" s="286"/>
      <c r="E10" s="287"/>
      <c r="F10" s="2067" t="s">
        <v>193</v>
      </c>
      <c r="G10" s="2068"/>
      <c r="H10" s="2069" t="s">
        <v>194</v>
      </c>
      <c r="I10" s="2070"/>
      <c r="J10" s="2069" t="s">
        <v>526</v>
      </c>
      <c r="K10" s="2091"/>
      <c r="L10" s="2092" t="s">
        <v>195</v>
      </c>
      <c r="M10" s="2070"/>
      <c r="N10" s="2069" t="s">
        <v>196</v>
      </c>
      <c r="O10" s="2070"/>
      <c r="P10" s="2069" t="str">
        <f>IF(P20="Yes",J10," ")</f>
        <v>Other (1)</v>
      </c>
      <c r="Q10" s="2091"/>
      <c r="R10" s="2092" t="s">
        <v>193</v>
      </c>
      <c r="S10" s="2070"/>
      <c r="T10" s="2069" t="s">
        <v>194</v>
      </c>
      <c r="U10" s="2070"/>
      <c r="V10" s="2082" t="str">
        <f>IF(V20="Yes",J10," ")</f>
        <v xml:space="preserve"> </v>
      </c>
      <c r="W10" s="2083"/>
      <c r="X10" s="2092" t="s">
        <v>193</v>
      </c>
      <c r="Y10" s="2070"/>
      <c r="Z10" s="2069" t="s">
        <v>194</v>
      </c>
      <c r="AA10" s="2070"/>
      <c r="AB10" s="2082" t="str">
        <f>IF(AB20="Yes",J10," ")</f>
        <v xml:space="preserve"> </v>
      </c>
      <c r="AC10" s="2083"/>
    </row>
    <row r="11" spans="1:29" ht="16.100000000000001" thickTop="1">
      <c r="A11" s="288" t="s">
        <v>197</v>
      </c>
      <c r="B11" s="289"/>
      <c r="C11" s="289"/>
      <c r="D11" s="289"/>
      <c r="E11" s="289"/>
      <c r="F11" s="259"/>
      <c r="G11" s="260"/>
      <c r="H11" s="261"/>
      <c r="I11" s="260"/>
      <c r="J11" s="261"/>
      <c r="K11" s="262"/>
      <c r="L11" s="2084">
        <v>0</v>
      </c>
      <c r="M11" s="2084"/>
      <c r="N11" s="2085"/>
      <c r="O11" s="2086"/>
      <c r="P11" s="2085">
        <v>0</v>
      </c>
      <c r="Q11" s="2087"/>
      <c r="R11" s="2088">
        <v>0</v>
      </c>
      <c r="S11" s="2089"/>
      <c r="T11" s="2089">
        <v>0</v>
      </c>
      <c r="U11" s="2089"/>
      <c r="V11" s="2089">
        <v>0</v>
      </c>
      <c r="W11" s="2090"/>
      <c r="X11" s="2088">
        <v>0</v>
      </c>
      <c r="Y11" s="2089"/>
      <c r="Z11" s="2089">
        <v>0</v>
      </c>
      <c r="AA11" s="2089"/>
      <c r="AB11" s="2089">
        <v>0</v>
      </c>
      <c r="AC11" s="2090"/>
    </row>
    <row r="12" spans="1:29" ht="15.45">
      <c r="A12" s="288" t="s">
        <v>198</v>
      </c>
      <c r="B12" s="273"/>
      <c r="C12" s="273"/>
      <c r="D12" s="273"/>
      <c r="E12" s="273"/>
      <c r="F12" s="2073"/>
      <c r="G12" s="2074"/>
      <c r="H12" s="2075"/>
      <c r="I12" s="2074"/>
      <c r="J12" s="2075"/>
      <c r="K12" s="2076"/>
      <c r="L12" s="2077">
        <f>IF(P20="No",0,F12)</f>
        <v>0</v>
      </c>
      <c r="M12" s="2078"/>
      <c r="N12" s="2079">
        <f>IF(P20="No",0,H12)</f>
        <v>0</v>
      </c>
      <c r="O12" s="2078"/>
      <c r="P12" s="2079">
        <f>IF(P20="No",0,J12)</f>
        <v>0</v>
      </c>
      <c r="Q12" s="2080"/>
      <c r="R12" s="2081">
        <f>IF(V20="Yes",F12,IF(R22="Water",IF(R21="Yes",V21,0),0))</f>
        <v>0</v>
      </c>
      <c r="S12" s="2071"/>
      <c r="T12" s="2071">
        <f>IF(V20="Yes",H12,IF(R22="Oil",IF(R21="Yes",V21,0),0))</f>
        <v>0</v>
      </c>
      <c r="U12" s="2071"/>
      <c r="V12" s="2071">
        <f>IF(V20="Yes",J12,IF(R22=V10,IF(R21="Yes",V21,0),0))</f>
        <v>0</v>
      </c>
      <c r="W12" s="2072"/>
      <c r="X12" s="2081">
        <f>IF(AB20="Yes",F12,IF(R24=X10,IF(R23="Yes",AB21,0),0))</f>
        <v>0</v>
      </c>
      <c r="Y12" s="2071"/>
      <c r="Z12" s="2071">
        <f>IF(AB20="Yes",H12,IF(R24="Oil",IF(R23="Yes",AB21,0),0))</f>
        <v>0</v>
      </c>
      <c r="AA12" s="2071"/>
      <c r="AB12" s="2071">
        <f>IF(AB20="Yes",J12,IF(R24=AB10,IF(R23="Yes",AB21,0),0))</f>
        <v>0</v>
      </c>
      <c r="AC12" s="2072"/>
    </row>
    <row r="13" spans="1:29" ht="15.45">
      <c r="A13" s="288" t="s">
        <v>199</v>
      </c>
      <c r="B13" s="273"/>
      <c r="C13" s="273"/>
      <c r="D13" s="273"/>
      <c r="E13" s="273"/>
      <c r="F13" s="2073"/>
      <c r="G13" s="2074"/>
      <c r="H13" s="2075"/>
      <c r="I13" s="2074"/>
      <c r="J13" s="2075"/>
      <c r="K13" s="2076"/>
      <c r="L13" s="2077">
        <f>IF(P20="No",0,F13)</f>
        <v>0</v>
      </c>
      <c r="M13" s="2078"/>
      <c r="N13" s="2079">
        <f>IF(P20="No",0,H13)</f>
        <v>0</v>
      </c>
      <c r="O13" s="2078"/>
      <c r="P13" s="2079">
        <f>IF(P20="No",0,J13)</f>
        <v>0</v>
      </c>
      <c r="Q13" s="2080"/>
      <c r="R13" s="2081">
        <f>IF(V20="Yes",F13,0)</f>
        <v>0</v>
      </c>
      <c r="S13" s="2071"/>
      <c r="T13" s="2071">
        <f>IF(V20="Yes",H13,0)</f>
        <v>0</v>
      </c>
      <c r="U13" s="2071"/>
      <c r="V13" s="2071">
        <f>IF(V20="Yes",J13,0)</f>
        <v>0</v>
      </c>
      <c r="W13" s="2072"/>
      <c r="X13" s="2081">
        <f>IF(AB20="Yes",F13,0)</f>
        <v>0</v>
      </c>
      <c r="Y13" s="2071"/>
      <c r="Z13" s="2071">
        <f>IF(AB20="Yes",H13,0)</f>
        <v>0</v>
      </c>
      <c r="AA13" s="2071"/>
      <c r="AB13" s="2071">
        <f>IF(AB20="Yes",J13,0)</f>
        <v>0</v>
      </c>
      <c r="AC13" s="2072"/>
    </row>
    <row r="14" spans="1:29" ht="15.45">
      <c r="A14" s="288" t="s">
        <v>200</v>
      </c>
      <c r="B14" s="273"/>
      <c r="C14" s="273"/>
      <c r="D14" s="273"/>
      <c r="E14" s="273"/>
      <c r="F14" s="259"/>
      <c r="G14" s="260"/>
      <c r="H14" s="261"/>
      <c r="I14" s="263"/>
      <c r="J14" s="264"/>
      <c r="K14" s="265"/>
      <c r="L14" s="2077">
        <f>SUM(L11,L12,-L13)</f>
        <v>0</v>
      </c>
      <c r="M14" s="2078"/>
      <c r="N14" s="2079">
        <f>SUM(N11,N12,-N13)</f>
        <v>0</v>
      </c>
      <c r="O14" s="2078"/>
      <c r="P14" s="2079">
        <f>SUM(P11,P12,-P13)</f>
        <v>0</v>
      </c>
      <c r="Q14" s="2080"/>
      <c r="R14" s="2081">
        <f>R11+R12-R13</f>
        <v>0</v>
      </c>
      <c r="S14" s="2071"/>
      <c r="T14" s="2071">
        <f>T11+T12-T13</f>
        <v>0</v>
      </c>
      <c r="U14" s="2071"/>
      <c r="V14" s="2071">
        <f>V11+V12-V13</f>
        <v>0</v>
      </c>
      <c r="W14" s="2072"/>
      <c r="X14" s="2081">
        <f>X11+X12-X13</f>
        <v>0</v>
      </c>
      <c r="Y14" s="2071"/>
      <c r="Z14" s="2071">
        <f>Z11+Z12-Z13</f>
        <v>0</v>
      </c>
      <c r="AA14" s="2071"/>
      <c r="AB14" s="2071">
        <f>AB11+AB12-AB13</f>
        <v>0</v>
      </c>
      <c r="AC14" s="2072"/>
    </row>
    <row r="15" spans="1:29" ht="15.45">
      <c r="A15" s="288" t="s">
        <v>201</v>
      </c>
      <c r="B15" s="273"/>
      <c r="C15" s="273"/>
      <c r="D15" s="273"/>
      <c r="E15" s="273"/>
      <c r="F15" s="259"/>
      <c r="G15" s="260"/>
      <c r="H15" s="261"/>
      <c r="I15" s="263"/>
      <c r="J15" s="264"/>
      <c r="K15" s="265"/>
      <c r="L15" s="2099">
        <v>0</v>
      </c>
      <c r="M15" s="2100"/>
      <c r="N15" s="2101"/>
      <c r="O15" s="2100"/>
      <c r="P15" s="2101"/>
      <c r="Q15" s="2102"/>
      <c r="R15" s="2081"/>
      <c r="S15" s="2071"/>
      <c r="T15" s="2071"/>
      <c r="U15" s="2071"/>
      <c r="V15" s="2071"/>
      <c r="W15" s="2072"/>
      <c r="X15" s="2081"/>
      <c r="Y15" s="2071"/>
      <c r="Z15" s="2071"/>
      <c r="AA15" s="2071"/>
      <c r="AB15" s="2071"/>
      <c r="AC15" s="2072"/>
    </row>
    <row r="16" spans="1:29" ht="15.45">
      <c r="A16" s="288" t="s">
        <v>202</v>
      </c>
      <c r="B16" s="273"/>
      <c r="C16" s="273"/>
      <c r="D16" s="273"/>
      <c r="E16" s="273"/>
      <c r="F16" s="259"/>
      <c r="G16" s="260"/>
      <c r="H16" s="261"/>
      <c r="I16" s="263"/>
      <c r="J16" s="264"/>
      <c r="K16" s="265"/>
      <c r="L16" s="2077">
        <f>IF(P20="Yes",SUM(F12,-F13,F19-F20),(0))</f>
        <v>0</v>
      </c>
      <c r="M16" s="2078"/>
      <c r="N16" s="2079">
        <f>IF(P20="Yes",SUM(H12,-H13,H19,-H20),0)</f>
        <v>0</v>
      </c>
      <c r="O16" s="2078"/>
      <c r="P16" s="2079">
        <f>IF(P20="Yes",SUM(J12,-J13,J19,-J20),0)</f>
        <v>0</v>
      </c>
      <c r="Q16" s="2080"/>
      <c r="R16" s="2081">
        <f>IF(V20="Yes",R12-R13+F19-F20,0)</f>
        <v>0</v>
      </c>
      <c r="S16" s="2071"/>
      <c r="T16" s="2071">
        <f>IF(V20="Yes",T12-T13+H19-H20,0)</f>
        <v>0</v>
      </c>
      <c r="U16" s="2071"/>
      <c r="V16" s="2071">
        <f>IF(V20="Yes",V12-V13+J19-J20,0)</f>
        <v>0</v>
      </c>
      <c r="W16" s="2072"/>
      <c r="X16" s="2081">
        <f>IF(AB20="Yes",X12-X13+F19-F20,0)</f>
        <v>0</v>
      </c>
      <c r="Y16" s="2071"/>
      <c r="Z16" s="2071">
        <f>IF(AB20="Yes",Z12-Z13+H19-H20,0)</f>
        <v>0</v>
      </c>
      <c r="AA16" s="2071"/>
      <c r="AB16" s="2071">
        <f>IF(AB20="Yes",AB12-AB13+J19-J20,0)</f>
        <v>0</v>
      </c>
      <c r="AC16" s="2072"/>
    </row>
    <row r="17" spans="1:29" ht="15.45">
      <c r="A17" s="288" t="s">
        <v>203</v>
      </c>
      <c r="B17" s="273"/>
      <c r="C17" s="273"/>
      <c r="D17" s="273"/>
      <c r="E17" s="273"/>
      <c r="F17" s="2110"/>
      <c r="G17" s="2111"/>
      <c r="H17" s="2111"/>
      <c r="I17" s="2111"/>
      <c r="J17" s="2111"/>
      <c r="K17" s="2112"/>
      <c r="L17" s="2113">
        <f>IF(P20="No",0,IF(L14-L15-L16&lt;0,0,SUM(L14,-L15,-L16)))</f>
        <v>0</v>
      </c>
      <c r="M17" s="2114"/>
      <c r="N17" s="2113">
        <f>IF(P20="No",0,IF(N14-N15-N16&lt;0,0,SUM(N14,-N15,-N16)))</f>
        <v>0</v>
      </c>
      <c r="O17" s="2114"/>
      <c r="P17" s="2079">
        <f>IF(P20="No",0,IF(P14-P15-P16&lt;0,0,SUM(P14,-P15,-P16)))</f>
        <v>0</v>
      </c>
      <c r="Q17" s="2080"/>
      <c r="R17" s="2113">
        <f>IF(V20="No",0,IF(R14-R15-R16&lt;0,0,SUM(R14,-R15,-R16)))</f>
        <v>0</v>
      </c>
      <c r="S17" s="2114"/>
      <c r="T17" s="2113">
        <f>IF(V20="No",0,IF(T14-T15-T16&lt;0,0,SUM(T14,-T15,-T16)))</f>
        <v>0</v>
      </c>
      <c r="U17" s="2114"/>
      <c r="V17" s="2079">
        <f>IF(V20="No",0,IF(V14-V15-V16&lt;0,0,SUM(V14,-V15,-V16)))</f>
        <v>0</v>
      </c>
      <c r="W17" s="2080"/>
      <c r="X17" s="2113">
        <f>IF(AB20="No",0,IF(X14-X15-X16&lt;0,0,SUM(X14,-X15,-X16)))</f>
        <v>0</v>
      </c>
      <c r="Y17" s="2114"/>
      <c r="Z17" s="2113">
        <f>IF(AB20="No",0,IF(Z14-Z15-Z16&lt;0,0,SUM(Z14,-Z15,-Z16)))</f>
        <v>0</v>
      </c>
      <c r="AA17" s="2114"/>
      <c r="AB17" s="2079">
        <f>IF(AB20="No",0,IF(AB14-AB15-AB16&lt;0,0,SUM(AB14,-AB15,-AB16)))</f>
        <v>0</v>
      </c>
      <c r="AC17" s="2080"/>
    </row>
    <row r="18" spans="1:29" ht="15.45">
      <c r="A18" s="1177" t="s">
        <v>929</v>
      </c>
      <c r="B18" s="273"/>
      <c r="C18" s="273"/>
      <c r="D18" s="273"/>
      <c r="E18" s="1176"/>
      <c r="F18" s="1166"/>
      <c r="G18" s="1167"/>
      <c r="H18" s="1167"/>
      <c r="I18" s="1167"/>
      <c r="J18" s="1167"/>
      <c r="K18" s="1167"/>
      <c r="L18" s="2131">
        <f>IF(P20="No",0,IF((L14+L15-L16)&lt;0,(L14+L15-L16)*-1,0))</f>
        <v>0</v>
      </c>
      <c r="M18" s="2131"/>
      <c r="N18" s="2131">
        <f>IF(R20="No",0,IF((N14+N15-N16)&lt;0,(N14+N15-N16)*-1,0))</f>
        <v>0</v>
      </c>
      <c r="O18" s="2131"/>
      <c r="P18" s="2131">
        <f>IF(T20="No",0,IF((P14+P15-P16)&lt;0,(P14+P15-P16)*-1,0))</f>
        <v>0</v>
      </c>
      <c r="Q18" s="2132"/>
      <c r="R18" s="2078">
        <f>IF(V20="No",0,IF((R14+R15-R16)&lt;0,(R14+R15-R16)*-1,0))</f>
        <v>0</v>
      </c>
      <c r="S18" s="2131"/>
      <c r="T18" s="2131">
        <f>IF(V20="No",0,IF((T14+T15-T16)&lt;0,(T14+T15-T16)*-1,0))</f>
        <v>0</v>
      </c>
      <c r="U18" s="2131"/>
      <c r="V18" s="2131">
        <f>IF(V20="No",0,IF((V14+V15-V16)&lt;0,(V14+V15-V16)*-1,0))</f>
        <v>0</v>
      </c>
      <c r="W18" s="2132"/>
      <c r="X18" s="2134">
        <f>IF(AB20="No",0,IF((X14-X15-X16)&lt;0,(X14-X15-X16)*-1,0))</f>
        <v>0</v>
      </c>
      <c r="Y18" s="2131"/>
      <c r="Z18" s="2131">
        <f>IF(AB20="No",0,IF((Z14-Z15-Z16)&lt;0,(Z14-Z15-Z16)*-1,0))</f>
        <v>0</v>
      </c>
      <c r="AA18" s="2131"/>
      <c r="AB18" s="2131">
        <f>IF(AB20="No",0,IF((AB14-AB15-AB16)&lt;0,(AB14-AB15-AB16)*-1,0))</f>
        <v>0</v>
      </c>
      <c r="AC18" s="2132"/>
    </row>
    <row r="19" spans="1:29" ht="16.100000000000001" thickBot="1">
      <c r="A19" s="505" t="s">
        <v>991</v>
      </c>
      <c r="B19" s="506"/>
      <c r="C19" s="506"/>
      <c r="D19" s="506"/>
      <c r="E19" s="291"/>
      <c r="F19" s="2073"/>
      <c r="G19" s="2074"/>
      <c r="H19" s="2075"/>
      <c r="I19" s="2074"/>
      <c r="J19" s="2101"/>
      <c r="K19" s="2105"/>
      <c r="L19" s="2108"/>
      <c r="M19" s="2109"/>
      <c r="N19" s="2108"/>
      <c r="O19" s="2109"/>
      <c r="P19" s="2108"/>
      <c r="Q19" s="2133"/>
      <c r="R19" s="266"/>
      <c r="S19" s="267"/>
      <c r="T19" s="269"/>
      <c r="U19" s="267"/>
      <c r="V19" s="266"/>
      <c r="W19" s="270"/>
      <c r="X19" s="268"/>
      <c r="Y19" s="267"/>
      <c r="Z19" s="269"/>
      <c r="AA19" s="267"/>
      <c r="AB19" s="266"/>
      <c r="AC19" s="270"/>
    </row>
    <row r="20" spans="1:29" ht="16.100000000000001" thickBot="1">
      <c r="A20" s="290" t="s">
        <v>992</v>
      </c>
      <c r="B20" s="21"/>
      <c r="C20" s="21"/>
      <c r="D20" s="21"/>
      <c r="F20" s="2096"/>
      <c r="G20" s="2097"/>
      <c r="H20" s="2098"/>
      <c r="I20" s="2097"/>
      <c r="J20" s="2103"/>
      <c r="K20" s="2104"/>
      <c r="L20" s="2093" t="s">
        <v>417</v>
      </c>
      <c r="M20" s="2094"/>
      <c r="N20" s="2094"/>
      <c r="O20" s="2095"/>
      <c r="P20" s="2106" t="s">
        <v>410</v>
      </c>
      <c r="Q20" s="2107"/>
      <c r="R20" s="2093" t="s">
        <v>417</v>
      </c>
      <c r="S20" s="2094"/>
      <c r="T20" s="2094"/>
      <c r="U20" s="2095"/>
      <c r="V20" s="2106" t="str">
        <f>IF(P20="Yes","No","Yes")</f>
        <v>No</v>
      </c>
      <c r="W20" s="2107"/>
      <c r="X20" s="2093" t="s">
        <v>417</v>
      </c>
      <c r="Y20" s="2094"/>
      <c r="Z20" s="2094"/>
      <c r="AA20" s="2095"/>
      <c r="AB20" s="2106" t="str">
        <f>IF(P20="Yes","No",IF(V20="Yes","No","Yes"))</f>
        <v>No</v>
      </c>
      <c r="AC20" s="2107"/>
    </row>
    <row r="21" spans="1:29" ht="13.75" thickBot="1">
      <c r="L21" s="2093" t="s">
        <v>419</v>
      </c>
      <c r="M21" s="2094"/>
      <c r="N21" s="2094"/>
      <c r="O21" s="2094"/>
      <c r="P21" s="2094"/>
      <c r="Q21" s="2095"/>
      <c r="R21" s="2106" t="s">
        <v>418</v>
      </c>
      <c r="S21" s="2107"/>
      <c r="T21" s="2093" t="s">
        <v>420</v>
      </c>
      <c r="U21" s="2095"/>
      <c r="V21" s="2121">
        <v>0</v>
      </c>
      <c r="W21" s="2122"/>
    </row>
    <row r="22" spans="1:29" ht="13.5" thickBot="1">
      <c r="L22" s="2093" t="s">
        <v>421</v>
      </c>
      <c r="M22" s="2094"/>
      <c r="N22" s="2094"/>
      <c r="O22" s="2094"/>
      <c r="P22" s="2094"/>
      <c r="Q22" s="2095"/>
      <c r="R22" s="2119">
        <v>0</v>
      </c>
      <c r="S22" s="2120"/>
      <c r="T22" s="2123" t="s">
        <v>422</v>
      </c>
      <c r="U22" s="2124"/>
      <c r="V22" s="2125">
        <v>0</v>
      </c>
      <c r="W22" s="2126"/>
    </row>
    <row r="23" spans="1:29" ht="13.75" thickBot="1">
      <c r="L23" s="2093" t="s">
        <v>921</v>
      </c>
      <c r="M23" s="2094"/>
      <c r="N23" s="2094"/>
      <c r="O23" s="2094"/>
      <c r="P23" s="2094"/>
      <c r="Q23" s="2095"/>
      <c r="R23" s="2106" t="s">
        <v>418</v>
      </c>
      <c r="S23" s="2107"/>
      <c r="T23" s="2093" t="s">
        <v>420</v>
      </c>
      <c r="U23" s="2095"/>
      <c r="V23" s="2121">
        <v>0</v>
      </c>
      <c r="W23" s="2122"/>
    </row>
    <row r="24" spans="1:29" ht="13.5" thickBot="1">
      <c r="L24" s="2093" t="s">
        <v>421</v>
      </c>
      <c r="M24" s="2094"/>
      <c r="N24" s="2094"/>
      <c r="O24" s="2094"/>
      <c r="P24" s="2094"/>
      <c r="Q24" s="2095"/>
      <c r="R24" s="2119">
        <v>0</v>
      </c>
      <c r="S24" s="2120"/>
      <c r="T24" s="2123" t="s">
        <v>422</v>
      </c>
      <c r="U24" s="2124"/>
      <c r="V24" s="2125">
        <v>0</v>
      </c>
      <c r="W24" s="2126"/>
    </row>
    <row r="25" spans="1:29" ht="13.1">
      <c r="A25" s="1644" t="s">
        <v>221</v>
      </c>
      <c r="B25" s="1644"/>
      <c r="C25" s="2130">
        <f>'Cost Control'!F5</f>
        <v>1</v>
      </c>
      <c r="D25" s="2130"/>
      <c r="E25" s="2130"/>
      <c r="F25" s="2130"/>
      <c r="G25" s="2130"/>
      <c r="H25" s="2130"/>
      <c r="I25" s="2130"/>
      <c r="L25" t="str">
        <f>IF(SUM(L17:Q17)=0," ","LTR SUMMARY:")</f>
        <v xml:space="preserve"> </v>
      </c>
      <c r="O25" s="1422">
        <f>SUM(L17:Q17)</f>
        <v>0</v>
      </c>
      <c r="P25" t="str">
        <f>IF(O25=0," ","m³")</f>
        <v xml:space="preserve"> </v>
      </c>
      <c r="R25" t="str">
        <f>IF(SUM(R17:W17)=0," ","LTR SUMMARY:")</f>
        <v xml:space="preserve"> </v>
      </c>
      <c r="U25" s="1422">
        <f>SUM(R17:W17)</f>
        <v>0</v>
      </c>
      <c r="V25" t="str">
        <f>IF(U25=0," ","m³")</f>
        <v xml:space="preserve"> </v>
      </c>
      <c r="X25" t="str">
        <f>IF(SUM(X17:AC17)=0," ","LTR SUMMARY:")</f>
        <v xml:space="preserve"> </v>
      </c>
      <c r="AA25" s="1422">
        <f>SUM(X17:AC17)</f>
        <v>0</v>
      </c>
      <c r="AB25" t="str">
        <f>IF(AA25=0," ","m³")</f>
        <v xml:space="preserve"> </v>
      </c>
    </row>
    <row r="26" spans="1:29" ht="13.5" thickBot="1"/>
    <row r="27" spans="1:29" ht="14.8" thickTop="1">
      <c r="A27" s="274" t="s">
        <v>190</v>
      </c>
      <c r="B27" s="275"/>
      <c r="C27" s="275"/>
      <c r="D27" s="275"/>
      <c r="E27" s="276"/>
      <c r="F27" s="277"/>
      <c r="G27" s="278"/>
      <c r="H27" s="271" t="s">
        <v>191</v>
      </c>
      <c r="I27" s="279"/>
      <c r="J27" s="279"/>
      <c r="K27" s="280"/>
      <c r="L27" s="279" t="str">
        <f>L9</f>
        <v xml:space="preserve">    Cum. to Date </v>
      </c>
      <c r="M27" s="281"/>
      <c r="N27" s="279"/>
      <c r="O27" s="334">
        <f>O9</f>
        <v>0</v>
      </c>
      <c r="P27" s="271"/>
      <c r="Q27" s="282"/>
      <c r="R27" s="283" t="str">
        <f>R9</f>
        <v xml:space="preserve">Cum. to Date </v>
      </c>
      <c r="S27" s="281"/>
      <c r="T27" s="279"/>
      <c r="U27" s="334">
        <f>U9</f>
        <v>0</v>
      </c>
      <c r="V27" s="284"/>
      <c r="W27" s="272"/>
      <c r="X27" s="283" t="str">
        <f>X9</f>
        <v xml:space="preserve">Cum. to Date </v>
      </c>
      <c r="Y27" s="281"/>
      <c r="Z27" s="279"/>
      <c r="AA27" s="334">
        <f>AA9</f>
        <v>0</v>
      </c>
      <c r="AB27" s="284"/>
      <c r="AC27" s="272"/>
    </row>
    <row r="28" spans="1:29" ht="14.8" thickBot="1">
      <c r="A28" s="285" t="s">
        <v>192</v>
      </c>
      <c r="B28" s="286"/>
      <c r="C28" s="286"/>
      <c r="D28" s="286"/>
      <c r="E28" s="287"/>
      <c r="F28" s="2067" t="s">
        <v>193</v>
      </c>
      <c r="G28" s="2068"/>
      <c r="H28" s="2069" t="s">
        <v>194</v>
      </c>
      <c r="I28" s="2070"/>
      <c r="J28" s="2069" t="str">
        <f>J10</f>
        <v>Other (1)</v>
      </c>
      <c r="K28" s="2091"/>
      <c r="L28" s="2092" t="s">
        <v>195</v>
      </c>
      <c r="M28" s="2070"/>
      <c r="N28" s="2069" t="s">
        <v>196</v>
      </c>
      <c r="O28" s="2070"/>
      <c r="P28" s="2069" t="str">
        <f>IF(P38="Yes",J28," ")</f>
        <v>Other (1)</v>
      </c>
      <c r="Q28" s="2091"/>
      <c r="R28" s="2092" t="str">
        <f>R10</f>
        <v>Water</v>
      </c>
      <c r="S28" s="2070"/>
      <c r="T28" s="2069" t="str">
        <f>T10</f>
        <v>Oil</v>
      </c>
      <c r="U28" s="2070"/>
      <c r="V28" s="2082" t="str">
        <f>IF(V38="Yes",J28," ")</f>
        <v xml:space="preserve"> </v>
      </c>
      <c r="W28" s="2083"/>
      <c r="X28" s="2092" t="str">
        <f>X10</f>
        <v>Water</v>
      </c>
      <c r="Y28" s="2070"/>
      <c r="Z28" s="2069" t="str">
        <f>Z10</f>
        <v>Oil</v>
      </c>
      <c r="AA28" s="2070"/>
      <c r="AB28" s="2082" t="str">
        <f>IF(AB38="Yes",J28," ")</f>
        <v xml:space="preserve"> </v>
      </c>
      <c r="AC28" s="2083"/>
    </row>
    <row r="29" spans="1:29" ht="16.100000000000001" thickTop="1">
      <c r="A29" s="288" t="s">
        <v>197</v>
      </c>
      <c r="B29" s="289"/>
      <c r="C29" s="289"/>
      <c r="D29" s="289"/>
      <c r="E29" s="289"/>
      <c r="F29" s="259"/>
      <c r="G29" s="260"/>
      <c r="H29" s="261"/>
      <c r="I29" s="260"/>
      <c r="J29" s="261"/>
      <c r="K29" s="262"/>
      <c r="L29" s="2084">
        <f>L11</f>
        <v>0</v>
      </c>
      <c r="M29" s="2084"/>
      <c r="N29" s="2085">
        <f>N11</f>
        <v>0</v>
      </c>
      <c r="O29" s="2086"/>
      <c r="P29" s="2085">
        <f>P11</f>
        <v>0</v>
      </c>
      <c r="Q29" s="2087"/>
      <c r="R29" s="2115">
        <f>R11</f>
        <v>0</v>
      </c>
      <c r="S29" s="2116"/>
      <c r="T29" s="2117">
        <f>T11</f>
        <v>0</v>
      </c>
      <c r="U29" s="2116"/>
      <c r="V29" s="2117">
        <f>V11</f>
        <v>0</v>
      </c>
      <c r="W29" s="2118"/>
      <c r="X29" s="2115">
        <f>X11</f>
        <v>0</v>
      </c>
      <c r="Y29" s="2116"/>
      <c r="Z29" s="2117">
        <f>Z11</f>
        <v>0</v>
      </c>
      <c r="AA29" s="2116"/>
      <c r="AB29" s="2117">
        <f>AB11</f>
        <v>0</v>
      </c>
      <c r="AC29" s="2118"/>
    </row>
    <row r="30" spans="1:29" ht="15.45">
      <c r="A30" s="288" t="s">
        <v>198</v>
      </c>
      <c r="B30" s="273"/>
      <c r="C30" s="273"/>
      <c r="D30" s="273"/>
      <c r="E30" s="273"/>
      <c r="F30" s="2073">
        <v>0</v>
      </c>
      <c r="G30" s="2074"/>
      <c r="H30" s="2075">
        <v>0</v>
      </c>
      <c r="I30" s="2074"/>
      <c r="J30" s="2075">
        <v>0</v>
      </c>
      <c r="K30" s="2076"/>
      <c r="L30" s="2077">
        <f>IF(P38="No",L12,F30+L12)</f>
        <v>0</v>
      </c>
      <c r="M30" s="2078"/>
      <c r="N30" s="2079">
        <f>IF(P38="No",N12,H30+N12)</f>
        <v>0</v>
      </c>
      <c r="O30" s="2078"/>
      <c r="P30" s="2079">
        <f>IF(P38="No",P12,J30+P12)</f>
        <v>0</v>
      </c>
      <c r="Q30" s="2080"/>
      <c r="R30" s="2081">
        <f>IF(V38="Yes",F30+R12,IF(R40="Water",IF(R39="Yes",V39,0),R12))</f>
        <v>0</v>
      </c>
      <c r="S30" s="2071"/>
      <c r="T30" s="2071">
        <f>IF(V38="Yes",H30+T12,IF(T40=T28,IF(R39="Yes",V39,0),T12))</f>
        <v>0</v>
      </c>
      <c r="U30" s="2071"/>
      <c r="V30" s="2071">
        <f>IF(V38="Yes",J30+V12,IF(V40=V28,IF(R39="Yes",V39,0),V12))</f>
        <v>0</v>
      </c>
      <c r="W30" s="2072"/>
      <c r="X30" s="2081">
        <f>IF(AB38="Yes",F30+X12,IF(X40="Water",IF(X39="Yes",AB39,0),X12))</f>
        <v>0</v>
      </c>
      <c r="Y30" s="2071"/>
      <c r="Z30" s="2071">
        <f>IF(AB38="Yes",H30+Z12,IF(Z40=Z28,IF(X39="Yes",AB39,0),Z12))</f>
        <v>0</v>
      </c>
      <c r="AA30" s="2071"/>
      <c r="AB30" s="2071">
        <f>IF(AB38="Yes",J30+AB12,IF(AB40=AB28,IF(X39="Yes",AB39,0),AB12))</f>
        <v>0</v>
      </c>
      <c r="AC30" s="2072"/>
    </row>
    <row r="31" spans="1:29" ht="15.45">
      <c r="A31" s="288" t="s">
        <v>199</v>
      </c>
      <c r="B31" s="273"/>
      <c r="C31" s="273"/>
      <c r="D31" s="273"/>
      <c r="E31" s="273"/>
      <c r="F31" s="2073">
        <v>0</v>
      </c>
      <c r="G31" s="2074"/>
      <c r="H31" s="2075">
        <v>0</v>
      </c>
      <c r="I31" s="2074"/>
      <c r="J31" s="2075">
        <v>0</v>
      </c>
      <c r="K31" s="2076"/>
      <c r="L31" s="2077">
        <f>IF(P38="No",L13,F31+L13)</f>
        <v>0</v>
      </c>
      <c r="M31" s="2078"/>
      <c r="N31" s="2079">
        <f>IF(P38="No",N13,H31+N13)</f>
        <v>0</v>
      </c>
      <c r="O31" s="2078"/>
      <c r="P31" s="2079">
        <f>IF(P38="No",P13,J31+P13)</f>
        <v>0</v>
      </c>
      <c r="Q31" s="2080"/>
      <c r="R31" s="2081">
        <f>IF(V38="Yes",R13+F31+R13,R13)</f>
        <v>0</v>
      </c>
      <c r="S31" s="2071"/>
      <c r="T31" s="2071">
        <f>IF(V38="Yes",T13+H31+T13,T13)</f>
        <v>0</v>
      </c>
      <c r="U31" s="2071"/>
      <c r="V31" s="2071">
        <f>IF(V38="Yes",V13+J31+V13,V13)</f>
        <v>0</v>
      </c>
      <c r="W31" s="2072"/>
      <c r="X31" s="2081">
        <f>IF(AB38="Yes",X13+F31,X13)</f>
        <v>0</v>
      </c>
      <c r="Y31" s="2071"/>
      <c r="Z31" s="2071">
        <f>IF(AB38="Yes",Z13+H31,Z13)</f>
        <v>0</v>
      </c>
      <c r="AA31" s="2071"/>
      <c r="AB31" s="2071">
        <f>IF(AB38="Yes",AB13+J31,AB13)</f>
        <v>0</v>
      </c>
      <c r="AC31" s="2072"/>
    </row>
    <row r="32" spans="1:29" ht="15.45">
      <c r="A32" s="288" t="s">
        <v>200</v>
      </c>
      <c r="B32" s="273"/>
      <c r="C32" s="273"/>
      <c r="D32" s="273"/>
      <c r="E32" s="273"/>
      <c r="F32" s="259"/>
      <c r="G32" s="260"/>
      <c r="H32" s="261"/>
      <c r="I32" s="263"/>
      <c r="J32" s="264"/>
      <c r="K32" s="265"/>
      <c r="L32" s="2077">
        <f>L29+L30-L31</f>
        <v>0</v>
      </c>
      <c r="M32" s="2078"/>
      <c r="N32" s="2079">
        <f>SUM(N29,N30,-N31)</f>
        <v>0</v>
      </c>
      <c r="O32" s="2078"/>
      <c r="P32" s="2079">
        <f>SUM(P29,P30,-P31)</f>
        <v>0</v>
      </c>
      <c r="Q32" s="2080"/>
      <c r="R32" s="2081">
        <f>SUM(R29,R30,-R31)</f>
        <v>0</v>
      </c>
      <c r="S32" s="2075"/>
      <c r="T32" s="2071">
        <f>SUM(T29,T30,-T31)</f>
        <v>0</v>
      </c>
      <c r="U32" s="2071"/>
      <c r="V32" s="2074">
        <f>SUM(V29,V30,-V31)</f>
        <v>0</v>
      </c>
      <c r="W32" s="2072"/>
      <c r="X32" s="2081">
        <f>SUM(X29,X30,-X31)</f>
        <v>0</v>
      </c>
      <c r="Y32" s="2071"/>
      <c r="Z32" s="2071">
        <f>SUM(Z29,Z30,-Z31)</f>
        <v>0</v>
      </c>
      <c r="AA32" s="2071"/>
      <c r="AB32" s="2071">
        <f>SUM(AB29,AB30,-AB31)</f>
        <v>0</v>
      </c>
      <c r="AC32" s="2072"/>
    </row>
    <row r="33" spans="1:29" ht="15.45">
      <c r="A33" s="288" t="s">
        <v>201</v>
      </c>
      <c r="B33" s="273"/>
      <c r="C33" s="273"/>
      <c r="D33" s="273"/>
      <c r="E33" s="273"/>
      <c r="F33" s="259"/>
      <c r="G33" s="260"/>
      <c r="H33" s="261"/>
      <c r="I33" s="263"/>
      <c r="J33" s="264"/>
      <c r="K33" s="265"/>
      <c r="L33" s="2073">
        <f>L15</f>
        <v>0</v>
      </c>
      <c r="M33" s="2074"/>
      <c r="N33" s="2075">
        <f>N15</f>
        <v>0</v>
      </c>
      <c r="O33" s="2074"/>
      <c r="P33" s="2075">
        <f>P15</f>
        <v>0</v>
      </c>
      <c r="Q33" s="2076"/>
      <c r="R33" s="2081">
        <f>R15</f>
        <v>0</v>
      </c>
      <c r="S33" s="2075"/>
      <c r="T33" s="2071">
        <f>T15</f>
        <v>0</v>
      </c>
      <c r="U33" s="2071"/>
      <c r="V33" s="2074">
        <f>V15</f>
        <v>0</v>
      </c>
      <c r="W33" s="2071"/>
      <c r="X33" s="2081">
        <f>X15</f>
        <v>0</v>
      </c>
      <c r="Y33" s="2071"/>
      <c r="Z33" s="2071">
        <f>Z15</f>
        <v>0</v>
      </c>
      <c r="AA33" s="2071"/>
      <c r="AB33" s="2128">
        <f>AB15</f>
        <v>0</v>
      </c>
      <c r="AC33" s="2129"/>
    </row>
    <row r="34" spans="1:29" ht="15.45">
      <c r="A34" s="288" t="s">
        <v>202</v>
      </c>
      <c r="B34" s="273"/>
      <c r="C34" s="273"/>
      <c r="D34" s="273"/>
      <c r="E34" s="273"/>
      <c r="F34" s="259"/>
      <c r="G34" s="260"/>
      <c r="H34" s="261"/>
      <c r="I34" s="263"/>
      <c r="J34" s="264"/>
      <c r="K34" s="265"/>
      <c r="L34" s="2077">
        <f>IF(P38="No",L16,L16+F30-F31+F37-F38)</f>
        <v>0</v>
      </c>
      <c r="M34" s="2078"/>
      <c r="N34" s="2079">
        <f>IF(P38="No",N16,N16+H30-H31+H37-H38)</f>
        <v>0</v>
      </c>
      <c r="O34" s="2078"/>
      <c r="P34" s="2079">
        <f>IF(P38="No",P16,P16+J30-J31+J37-J38)</f>
        <v>0</v>
      </c>
      <c r="Q34" s="2080"/>
      <c r="R34" s="2071">
        <f>IF(V38="Yes",R16+F30-F31+F37-F38,IF(P39="Yes",IF(R40=R28,R30-R31-V40,0),R16))</f>
        <v>0</v>
      </c>
      <c r="S34" s="2075"/>
      <c r="T34" s="2071">
        <f>IF(V38="Yes",T16+H30-H31+H37-H38,IF(R39="Yes",IF(R40=T28,T30-T31-V40,0),T16))</f>
        <v>0</v>
      </c>
      <c r="U34" s="2071"/>
      <c r="V34" s="2074">
        <f>IF(V38="Yes",V16+J30-J31+J37-J38,IF(T39="Yes",IF(R40=V28,V30-V31-V40,0),V16))</f>
        <v>0</v>
      </c>
      <c r="W34" s="2072"/>
      <c r="X34" s="2071">
        <f>IF(AB38="Yes",X16+F30-F31+F37-F38,IF(V39="Yes",IF(X40=X28,X30-X31-AB40,0),X16))</f>
        <v>0</v>
      </c>
      <c r="Y34" s="2071"/>
      <c r="Z34" s="2071">
        <f>IF(AB38="Yes",Z16+H30-H31+H37-H38,IF(X39="Yes",IF(X40=Z28,Z30-Z31-AB40,0),Z16))</f>
        <v>0</v>
      </c>
      <c r="AA34" s="2071"/>
      <c r="AB34" s="2071">
        <f>IF(AB38="Yes",AB16+J30-J31+J37-J38,IF(Z39="Yes",IF(X40=AB28,AB30-AB31-AB40,0),AB16))</f>
        <v>0</v>
      </c>
      <c r="AC34" s="2072"/>
    </row>
    <row r="35" spans="1:29" ht="15.45">
      <c r="A35" s="288" t="s">
        <v>203</v>
      </c>
      <c r="B35" s="273"/>
      <c r="C35" s="273"/>
      <c r="D35" s="273"/>
      <c r="E35" s="273"/>
      <c r="F35" s="2110"/>
      <c r="G35" s="2111"/>
      <c r="H35" s="2111"/>
      <c r="I35" s="2111"/>
      <c r="J35" s="2111"/>
      <c r="K35" s="2112"/>
      <c r="L35" s="2113">
        <f>IF(P38="No",0,IF(L32-L33-L34&lt;0,0,SUM(L32,-L33,-L34)))</f>
        <v>0</v>
      </c>
      <c r="M35" s="2114"/>
      <c r="N35" s="2113">
        <f>IF(P38="No",0,IF(N32-N33-N34&lt;0,0,SUM(N32,-N33,-N34)))</f>
        <v>0</v>
      </c>
      <c r="O35" s="2114"/>
      <c r="P35" s="2079">
        <f>IF(P38="No",0,IF(P32-P33-P34&lt;0,0,SUM(P32,-P33,-P34)))</f>
        <v>0</v>
      </c>
      <c r="Q35" s="2080"/>
      <c r="R35" s="2127">
        <f>IF(V38="No",0,IF(R32-R33-R34&lt;0,0,SUM(R32,-R33,-R34)))</f>
        <v>0</v>
      </c>
      <c r="S35" s="2114"/>
      <c r="T35" s="2113">
        <f>IF(V38="No",0,IF(T32-T33-T34&lt;0,0,SUM(T32,-T33,-T34)))</f>
        <v>0</v>
      </c>
      <c r="U35" s="2114"/>
      <c r="V35" s="2079">
        <f>IF(V38="No",0,IF(V32-V33-V34&lt;0,0,SUM(V32,-V33,-V34)))</f>
        <v>0</v>
      </c>
      <c r="W35" s="2080"/>
      <c r="X35" s="2113">
        <f>IF(AB38="No",0,IF(X32-X33-X34&lt;0,0,SUM(X32,-X33,-X34)))</f>
        <v>0</v>
      </c>
      <c r="Y35" s="2114"/>
      <c r="Z35" s="2113">
        <f>IF(AB38="No",0,IF(Z32-Z33-Z34&lt;0,0,SUM(Z32,-Z33,-Z34)))</f>
        <v>0</v>
      </c>
      <c r="AA35" s="2114"/>
      <c r="AB35" s="2079">
        <f>IF(AB38="No",0,IF(AB32-AB33-AB34&lt;0,0,SUM(AB32,-AB33,-AB34)))</f>
        <v>0</v>
      </c>
      <c r="AC35" s="2080"/>
    </row>
    <row r="36" spans="1:29" ht="15.45">
      <c r="A36" s="1177" t="s">
        <v>929</v>
      </c>
      <c r="B36" s="273"/>
      <c r="C36" s="273"/>
      <c r="D36" s="273"/>
      <c r="E36" s="1176"/>
      <c r="F36" s="1166"/>
      <c r="G36" s="1167"/>
      <c r="H36" s="1167"/>
      <c r="I36" s="1167"/>
      <c r="J36" s="1167"/>
      <c r="K36" s="1168"/>
      <c r="L36" s="2131">
        <f>IF(P38="No",0,IF((L32-L33-L34)&lt;0,(L32-L33-L34)*-1,0))</f>
        <v>0</v>
      </c>
      <c r="M36" s="2131"/>
      <c r="N36" s="2131">
        <f>IF(R38="No",0,IF((N32-N33-N34)&lt;0,(N32-N33-N34)*-1,0))</f>
        <v>0</v>
      </c>
      <c r="O36" s="2131"/>
      <c r="P36" s="2131">
        <f>IF(T38="No",0,IF((P32-P33-P34)&lt;0,(P32-P33-P34)*-1,0))</f>
        <v>0</v>
      </c>
      <c r="Q36" s="2132"/>
      <c r="R36" s="2078">
        <f>IF(V38="No",0,IF((R32-R33-R34)&lt;0,(R32-R33-R34)*-1,0))</f>
        <v>0</v>
      </c>
      <c r="S36" s="2131"/>
      <c r="T36" s="2131">
        <f>IF(V38="No",0,IF((T32-T33-T34)&lt;0,(T32-T33-T34)*-1,0))</f>
        <v>0</v>
      </c>
      <c r="U36" s="2131"/>
      <c r="V36" s="2131">
        <f>IF(V38="No",0,IF((V32-V33-V34)&lt;0,(V32-V33-V34)*-1,0))</f>
        <v>0</v>
      </c>
      <c r="W36" s="2132"/>
      <c r="X36" s="2134">
        <f>IF(AB38="No",0,IF((X32-X33-X34)&lt;0,(X32-X33-X34)*-1,0))</f>
        <v>0</v>
      </c>
      <c r="Y36" s="2131"/>
      <c r="Z36" s="2131">
        <f>IF(AB38="No",0,IF((Z32-Z33-Z34)&lt;0,(Z32-Z33-Z34)*-1,0))</f>
        <v>0</v>
      </c>
      <c r="AA36" s="2131"/>
      <c r="AB36" s="2131">
        <f>IF(AB38="No",0,IF((AB32-AB33-AB34)&lt;0,(AB32-AB33-AB34)*-1,0))</f>
        <v>0</v>
      </c>
      <c r="AC36" s="2132"/>
    </row>
    <row r="37" spans="1:29" ht="16.100000000000001" thickBot="1">
      <c r="A37" s="505" t="s">
        <v>991</v>
      </c>
      <c r="B37" s="506"/>
      <c r="C37" s="506"/>
      <c r="D37" s="506"/>
      <c r="E37" s="291"/>
      <c r="F37" s="2073">
        <v>0</v>
      </c>
      <c r="G37" s="2074"/>
      <c r="H37" s="2075">
        <v>0</v>
      </c>
      <c r="I37" s="2074"/>
      <c r="J37" s="2101">
        <v>0</v>
      </c>
      <c r="K37" s="2102"/>
      <c r="L37" s="292"/>
      <c r="M37" s="293"/>
      <c r="N37" s="292"/>
      <c r="O37" s="293"/>
      <c r="P37" s="294"/>
      <c r="Q37" s="295"/>
      <c r="R37" s="296"/>
      <c r="S37" s="293"/>
      <c r="T37" s="292"/>
      <c r="U37" s="293"/>
      <c r="V37" s="292"/>
      <c r="W37" s="297"/>
      <c r="X37" s="296"/>
      <c r="Y37" s="293"/>
      <c r="Z37" s="292"/>
      <c r="AA37" s="293"/>
      <c r="AB37" s="292"/>
      <c r="AC37" s="297"/>
    </row>
    <row r="38" spans="1:29" ht="16.100000000000001" thickBot="1">
      <c r="A38" s="290" t="s">
        <v>992</v>
      </c>
      <c r="B38" s="21"/>
      <c r="C38" s="21"/>
      <c r="D38" s="21"/>
      <c r="F38" s="2096">
        <v>0</v>
      </c>
      <c r="G38" s="2097"/>
      <c r="H38" s="2098">
        <v>0</v>
      </c>
      <c r="I38" s="2097"/>
      <c r="J38" s="2103">
        <v>0</v>
      </c>
      <c r="K38" s="2104"/>
      <c r="L38" s="2093" t="s">
        <v>417</v>
      </c>
      <c r="M38" s="2094"/>
      <c r="N38" s="2094"/>
      <c r="O38" s="2095"/>
      <c r="P38" s="2106" t="str">
        <f>P20</f>
        <v>Yes</v>
      </c>
      <c r="Q38" s="2107"/>
      <c r="R38" s="2093" t="s">
        <v>417</v>
      </c>
      <c r="S38" s="2094"/>
      <c r="T38" s="2094"/>
      <c r="U38" s="2095"/>
      <c r="V38" s="2106" t="str">
        <f>V20</f>
        <v>No</v>
      </c>
      <c r="W38" s="2107"/>
      <c r="X38" s="2093" t="s">
        <v>417</v>
      </c>
      <c r="Y38" s="2094"/>
      <c r="Z38" s="2094"/>
      <c r="AA38" s="2095"/>
      <c r="AB38" s="2106" t="str">
        <f>AB20</f>
        <v>No</v>
      </c>
      <c r="AC38" s="2107"/>
    </row>
    <row r="39" spans="1:29" ht="13.75" thickBot="1">
      <c r="L39" s="2093" t="s">
        <v>419</v>
      </c>
      <c r="M39" s="2094"/>
      <c r="N39" s="2094"/>
      <c r="O39" s="2094"/>
      <c r="P39" s="2094"/>
      <c r="Q39" s="2095"/>
      <c r="R39" s="2106" t="str">
        <f>R21</f>
        <v>No</v>
      </c>
      <c r="S39" s="2107"/>
      <c r="T39" s="2093" t="s">
        <v>420</v>
      </c>
      <c r="U39" s="2095"/>
      <c r="V39" s="2121">
        <v>0</v>
      </c>
      <c r="W39" s="2122"/>
    </row>
    <row r="40" spans="1:29" ht="13.5" thickBot="1">
      <c r="L40" s="2093" t="s">
        <v>421</v>
      </c>
      <c r="M40" s="2094"/>
      <c r="N40" s="2094"/>
      <c r="O40" s="2094"/>
      <c r="P40" s="2094"/>
      <c r="Q40" s="2095"/>
      <c r="R40" s="2119">
        <v>0</v>
      </c>
      <c r="S40" s="2120"/>
      <c r="T40" s="2123" t="s">
        <v>422</v>
      </c>
      <c r="U40" s="2124"/>
      <c r="V40" s="2125">
        <v>0</v>
      </c>
      <c r="W40" s="2126"/>
    </row>
    <row r="41" spans="1:29" ht="13.75" thickBot="1">
      <c r="L41" s="2093" t="s">
        <v>921</v>
      </c>
      <c r="M41" s="2094"/>
      <c r="N41" s="2094"/>
      <c r="O41" s="2094"/>
      <c r="P41" s="2094"/>
      <c r="Q41" s="2095"/>
      <c r="R41" s="2106" t="str">
        <f>R23</f>
        <v>No</v>
      </c>
      <c r="S41" s="2107"/>
      <c r="T41" s="2093" t="s">
        <v>420</v>
      </c>
      <c r="U41" s="2095"/>
      <c r="V41" s="2121">
        <v>0</v>
      </c>
      <c r="W41" s="2122"/>
    </row>
    <row r="42" spans="1:29" ht="13.5" thickBot="1">
      <c r="L42" s="2093" t="s">
        <v>421</v>
      </c>
      <c r="M42" s="2094"/>
      <c r="N42" s="2094"/>
      <c r="O42" s="2094"/>
      <c r="P42" s="2094"/>
      <c r="Q42" s="2095"/>
      <c r="R42" s="2119">
        <v>0</v>
      </c>
      <c r="S42" s="2120"/>
      <c r="T42" s="2123" t="s">
        <v>422</v>
      </c>
      <c r="U42" s="2124"/>
      <c r="V42" s="2125">
        <v>0</v>
      </c>
      <c r="W42" s="2126"/>
    </row>
    <row r="43" spans="1:29" ht="13.1">
      <c r="A43" s="1644" t="s">
        <v>221</v>
      </c>
      <c r="B43" s="1644"/>
      <c r="C43" s="2130">
        <f>'Cost Control'!G5</f>
        <v>2</v>
      </c>
      <c r="D43" s="2130"/>
      <c r="E43" s="2130"/>
      <c r="F43" s="2130"/>
      <c r="G43" s="2130"/>
      <c r="H43" s="2130"/>
      <c r="I43" s="2130"/>
      <c r="L43" t="str">
        <f>IF(SUM(L35:Q35)=0," ","LTR SUMMARY:")</f>
        <v xml:space="preserve"> </v>
      </c>
      <c r="O43" s="1422">
        <f>SUM(L35:Q35)</f>
        <v>0</v>
      </c>
      <c r="P43" t="str">
        <f>IF(O43=0," ","m³")</f>
        <v xml:space="preserve"> </v>
      </c>
      <c r="R43" t="str">
        <f>IF(SUM(R35:W35)=0," ","LTR SUMMARY:")</f>
        <v xml:space="preserve"> </v>
      </c>
      <c r="U43" s="1422">
        <f>SUM(R35:W35)</f>
        <v>0</v>
      </c>
      <c r="V43" t="str">
        <f>IF(U43=0," ","m³")</f>
        <v xml:space="preserve"> </v>
      </c>
      <c r="X43" t="str">
        <f>IF(SUM(X35:AC35)=0," ","LTR SUMMARY:")</f>
        <v xml:space="preserve"> </v>
      </c>
      <c r="AA43" s="1422">
        <f>SUM(X35:AC35)</f>
        <v>0</v>
      </c>
      <c r="AB43" t="str">
        <f>IF(AA43=0," ","m³")</f>
        <v xml:space="preserve"> </v>
      </c>
    </row>
    <row r="44" spans="1:29" ht="13.5" thickBot="1"/>
    <row r="45" spans="1:29" ht="14.8" thickTop="1">
      <c r="A45" s="274" t="s">
        <v>190</v>
      </c>
      <c r="B45" s="275"/>
      <c r="C45" s="275"/>
      <c r="D45" s="275"/>
      <c r="E45" s="276"/>
      <c r="F45" s="277"/>
      <c r="G45" s="278"/>
      <c r="H45" s="271" t="s">
        <v>191</v>
      </c>
      <c r="I45" s="279"/>
      <c r="J45" s="279"/>
      <c r="K45" s="280"/>
      <c r="L45" s="279" t="str">
        <f>L27</f>
        <v xml:space="preserve">    Cum. to Date </v>
      </c>
      <c r="M45" s="281"/>
      <c r="N45" s="279"/>
      <c r="O45" s="334">
        <f>O27</f>
        <v>0</v>
      </c>
      <c r="P45" s="271"/>
      <c r="Q45" s="282"/>
      <c r="R45" s="283" t="str">
        <f>R27</f>
        <v xml:space="preserve">Cum. to Date </v>
      </c>
      <c r="S45" s="281"/>
      <c r="T45" s="279"/>
      <c r="U45" s="334">
        <f>U27</f>
        <v>0</v>
      </c>
      <c r="V45" s="284"/>
      <c r="W45" s="272"/>
      <c r="X45" s="283" t="str">
        <f>X27</f>
        <v xml:space="preserve">Cum. to Date </v>
      </c>
      <c r="Y45" s="281"/>
      <c r="Z45" s="279"/>
      <c r="AA45" s="334">
        <f>AA27</f>
        <v>0</v>
      </c>
      <c r="AB45" s="284"/>
      <c r="AC45" s="272"/>
    </row>
    <row r="46" spans="1:29" ht="14.8" thickBot="1">
      <c r="A46" s="285" t="s">
        <v>192</v>
      </c>
      <c r="B46" s="286"/>
      <c r="C46" s="286"/>
      <c r="D46" s="286"/>
      <c r="E46" s="287"/>
      <c r="F46" s="2067" t="s">
        <v>193</v>
      </c>
      <c r="G46" s="2068"/>
      <c r="H46" s="2069" t="s">
        <v>194</v>
      </c>
      <c r="I46" s="2070"/>
      <c r="J46" s="2069" t="str">
        <f>J28</f>
        <v>Other (1)</v>
      </c>
      <c r="K46" s="2091"/>
      <c r="L46" s="2092" t="s">
        <v>195</v>
      </c>
      <c r="M46" s="2070"/>
      <c r="N46" s="2069" t="s">
        <v>196</v>
      </c>
      <c r="O46" s="2070"/>
      <c r="P46" s="2069" t="str">
        <f>IF(P56="Yes",J46," ")</f>
        <v>Other (1)</v>
      </c>
      <c r="Q46" s="2091"/>
      <c r="R46" s="2092" t="str">
        <f>R28</f>
        <v>Water</v>
      </c>
      <c r="S46" s="2070"/>
      <c r="T46" s="2069" t="str">
        <f>T28</f>
        <v>Oil</v>
      </c>
      <c r="U46" s="2070"/>
      <c r="V46" s="2082" t="str">
        <f>IF(V56="Yes",J46," ")</f>
        <v xml:space="preserve"> </v>
      </c>
      <c r="W46" s="2083"/>
      <c r="X46" s="2092" t="str">
        <f>X28</f>
        <v>Water</v>
      </c>
      <c r="Y46" s="2070"/>
      <c r="Z46" s="2069" t="str">
        <f>Z28</f>
        <v>Oil</v>
      </c>
      <c r="AA46" s="2070"/>
      <c r="AB46" s="2082" t="str">
        <f>IF(AB56="Yes",J46," ")</f>
        <v xml:space="preserve"> </v>
      </c>
      <c r="AC46" s="2083"/>
    </row>
    <row r="47" spans="1:29" ht="16.100000000000001" thickTop="1">
      <c r="A47" s="288" t="s">
        <v>197</v>
      </c>
      <c r="B47" s="289"/>
      <c r="C47" s="289"/>
      <c r="D47" s="289"/>
      <c r="E47" s="289"/>
      <c r="F47" s="259"/>
      <c r="G47" s="260"/>
      <c r="H47" s="261"/>
      <c r="I47" s="260"/>
      <c r="J47" s="261"/>
      <c r="K47" s="262"/>
      <c r="L47" s="2084">
        <f>L29</f>
        <v>0</v>
      </c>
      <c r="M47" s="2084"/>
      <c r="N47" s="2085">
        <f>N29</f>
        <v>0</v>
      </c>
      <c r="O47" s="2086"/>
      <c r="P47" s="2085">
        <f>P29</f>
        <v>0</v>
      </c>
      <c r="Q47" s="2087"/>
      <c r="R47" s="2115">
        <f>R29</f>
        <v>0</v>
      </c>
      <c r="S47" s="2116"/>
      <c r="T47" s="2117">
        <f>T29</f>
        <v>0</v>
      </c>
      <c r="U47" s="2116"/>
      <c r="V47" s="2117">
        <f>V29</f>
        <v>0</v>
      </c>
      <c r="W47" s="2118"/>
      <c r="X47" s="2115">
        <f>X29</f>
        <v>0</v>
      </c>
      <c r="Y47" s="2116"/>
      <c r="Z47" s="2117">
        <f>Z29</f>
        <v>0</v>
      </c>
      <c r="AA47" s="2116"/>
      <c r="AB47" s="2117">
        <f>AB29</f>
        <v>0</v>
      </c>
      <c r="AC47" s="2118"/>
    </row>
    <row r="48" spans="1:29" ht="15.45">
      <c r="A48" s="288" t="s">
        <v>198</v>
      </c>
      <c r="B48" s="273"/>
      <c r="C48" s="273"/>
      <c r="D48" s="273"/>
      <c r="E48" s="273"/>
      <c r="F48" s="2073">
        <v>0</v>
      </c>
      <c r="G48" s="2074"/>
      <c r="H48" s="2075">
        <v>0</v>
      </c>
      <c r="I48" s="2074"/>
      <c r="J48" s="2075">
        <v>0</v>
      </c>
      <c r="K48" s="2076"/>
      <c r="L48" s="2077">
        <f>IF(P56="No",L30,F48+L30)</f>
        <v>0</v>
      </c>
      <c r="M48" s="2078"/>
      <c r="N48" s="2079">
        <f>IF(P56="No",N30,H48+N30)</f>
        <v>0</v>
      </c>
      <c r="O48" s="2078"/>
      <c r="P48" s="2079">
        <f>IF(P56="No",P30,J48+P30)</f>
        <v>0</v>
      </c>
      <c r="Q48" s="2080"/>
      <c r="R48" s="2081">
        <f>IF(V56="Yes",F48+R30,IF(R58="Water",IF(R57="Yes",V57,0),R30))</f>
        <v>0</v>
      </c>
      <c r="S48" s="2071"/>
      <c r="T48" s="2071">
        <f>IF(V56="Yes",H48+T30,IF(T58=T46,IF(R57="Yes",V57,0),T30))</f>
        <v>0</v>
      </c>
      <c r="U48" s="2071"/>
      <c r="V48" s="2071">
        <f>IF(V56="Yes",J48+V30,IF(V58=V46,IF(R57="Yes",V57,0),V30))</f>
        <v>0</v>
      </c>
      <c r="W48" s="2072"/>
      <c r="X48" s="2081">
        <f>IF(AB56="Yes",F48+X30,IF(X58="Water",IF(X57="Yes",AB57,0),X30))</f>
        <v>0</v>
      </c>
      <c r="Y48" s="2071"/>
      <c r="Z48" s="2071">
        <f>IF(AB56="Yes",H48+Z30,IF(Z58=Z46,IF(X57="Yes",AB57,0),Z30))</f>
        <v>0</v>
      </c>
      <c r="AA48" s="2071"/>
      <c r="AB48" s="2071">
        <f>IF(AB56="Yes",J48+AB30,IF(AB58=AB46,IF(X57="Yes",AB57,0),AB30))</f>
        <v>0</v>
      </c>
      <c r="AC48" s="2072"/>
    </row>
    <row r="49" spans="1:29" ht="15.45">
      <c r="A49" s="288" t="s">
        <v>199</v>
      </c>
      <c r="B49" s="273"/>
      <c r="C49" s="273"/>
      <c r="D49" s="273"/>
      <c r="E49" s="273"/>
      <c r="F49" s="2073">
        <v>0</v>
      </c>
      <c r="G49" s="2074"/>
      <c r="H49" s="2075">
        <v>0</v>
      </c>
      <c r="I49" s="2074"/>
      <c r="J49" s="2075">
        <v>0</v>
      </c>
      <c r="K49" s="2076"/>
      <c r="L49" s="2077">
        <f>IF(P56="No",L31,F49+L31)</f>
        <v>0</v>
      </c>
      <c r="M49" s="2078"/>
      <c r="N49" s="2079">
        <f>IF(P56="No",N31,H49+N31)</f>
        <v>0</v>
      </c>
      <c r="O49" s="2078"/>
      <c r="P49" s="2079">
        <f>IF(P56="No",P31,J49+P31)</f>
        <v>0</v>
      </c>
      <c r="Q49" s="2080"/>
      <c r="R49" s="2081">
        <f>IF(V56="Yes",R31+F49,R31)</f>
        <v>0</v>
      </c>
      <c r="S49" s="2071"/>
      <c r="T49" s="2071">
        <f>IF(V56="Yes",T31+H49,T31)</f>
        <v>0</v>
      </c>
      <c r="U49" s="2071"/>
      <c r="V49" s="2071">
        <f>IF(V56="Yes",V31+J49,V31)</f>
        <v>0</v>
      </c>
      <c r="W49" s="2072"/>
      <c r="X49" s="2081">
        <f>IF(AB56="Yes",X31+F49,X31)</f>
        <v>0</v>
      </c>
      <c r="Y49" s="2071"/>
      <c r="Z49" s="2071">
        <f>IF(AB56="Yes",Z31+H49,Z31)</f>
        <v>0</v>
      </c>
      <c r="AA49" s="2071"/>
      <c r="AB49" s="2071">
        <f>IF(AB56="Yes",AB31+J49,AB31)</f>
        <v>0</v>
      </c>
      <c r="AC49" s="2072"/>
    </row>
    <row r="50" spans="1:29" ht="15.45">
      <c r="A50" s="288" t="s">
        <v>200</v>
      </c>
      <c r="B50" s="273"/>
      <c r="C50" s="273"/>
      <c r="D50" s="273"/>
      <c r="E50" s="273"/>
      <c r="F50" s="259"/>
      <c r="G50" s="260"/>
      <c r="H50" s="261"/>
      <c r="I50" s="263"/>
      <c r="J50" s="264"/>
      <c r="K50" s="265"/>
      <c r="L50" s="2077">
        <f>L47+L48-L49</f>
        <v>0</v>
      </c>
      <c r="M50" s="2078"/>
      <c r="N50" s="2079">
        <f>SUM(N47,N48,-N49)</f>
        <v>0</v>
      </c>
      <c r="O50" s="2078"/>
      <c r="P50" s="2079">
        <f>SUM(P47,P48,-P49)</f>
        <v>0</v>
      </c>
      <c r="Q50" s="2080"/>
      <c r="R50" s="2081">
        <f>SUM(R47,R48,-R49)</f>
        <v>0</v>
      </c>
      <c r="S50" s="2071"/>
      <c r="T50" s="2071">
        <f>SUM(T47,T48,-T49)</f>
        <v>0</v>
      </c>
      <c r="U50" s="2071"/>
      <c r="V50" s="2071">
        <f>SUM(V47,V48,-V49)</f>
        <v>0</v>
      </c>
      <c r="W50" s="2072"/>
      <c r="X50" s="2081">
        <f>SUM(X47,X48,-X49)</f>
        <v>0</v>
      </c>
      <c r="Y50" s="2071"/>
      <c r="Z50" s="2071">
        <f>SUM(Z47,Z48,-Z49)</f>
        <v>0</v>
      </c>
      <c r="AA50" s="2071"/>
      <c r="AB50" s="2071">
        <f>SUM(AB47,AB48,-AB49)</f>
        <v>0</v>
      </c>
      <c r="AC50" s="2072"/>
    </row>
    <row r="51" spans="1:29" ht="15.45">
      <c r="A51" s="288" t="s">
        <v>201</v>
      </c>
      <c r="B51" s="273"/>
      <c r="C51" s="273"/>
      <c r="D51" s="273"/>
      <c r="E51" s="273"/>
      <c r="F51" s="259"/>
      <c r="G51" s="260"/>
      <c r="H51" s="261"/>
      <c r="I51" s="263"/>
      <c r="J51" s="264"/>
      <c r="K51" s="265"/>
      <c r="L51" s="2073">
        <f>L33</f>
        <v>0</v>
      </c>
      <c r="M51" s="2074"/>
      <c r="N51" s="2075">
        <f>N33</f>
        <v>0</v>
      </c>
      <c r="O51" s="2074"/>
      <c r="P51" s="2075">
        <f>P33</f>
        <v>0</v>
      </c>
      <c r="Q51" s="2076"/>
      <c r="R51" s="2081">
        <f>R33</f>
        <v>0</v>
      </c>
      <c r="S51" s="2071"/>
      <c r="T51" s="2071">
        <f>T33</f>
        <v>0</v>
      </c>
      <c r="U51" s="2071"/>
      <c r="V51" s="2128">
        <f>V33</f>
        <v>0</v>
      </c>
      <c r="W51" s="2129"/>
      <c r="X51" s="2081">
        <f>X33</f>
        <v>0</v>
      </c>
      <c r="Y51" s="2071"/>
      <c r="Z51" s="2071">
        <f>Z33</f>
        <v>0</v>
      </c>
      <c r="AA51" s="2071"/>
      <c r="AB51" s="2128">
        <f>AB33</f>
        <v>0</v>
      </c>
      <c r="AC51" s="2129"/>
    </row>
    <row r="52" spans="1:29" ht="15.45">
      <c r="A52" s="288" t="s">
        <v>202</v>
      </c>
      <c r="B52" s="273"/>
      <c r="C52" s="273"/>
      <c r="D52" s="273"/>
      <c r="E52" s="273"/>
      <c r="F52" s="259"/>
      <c r="G52" s="260"/>
      <c r="H52" s="261"/>
      <c r="I52" s="263"/>
      <c r="J52" s="264"/>
      <c r="K52" s="265"/>
      <c r="L52" s="2077">
        <f>IF(P56="No",L34,L34+F48-F49+F55-F56)</f>
        <v>0</v>
      </c>
      <c r="M52" s="2078"/>
      <c r="N52" s="2079">
        <f>IF(P56="No",N34,N34+H48-H49+H55-H56)</f>
        <v>0</v>
      </c>
      <c r="O52" s="2078"/>
      <c r="P52" s="2079">
        <f>IF(P56="No",P34,P34+J48-J49+J55-J56)</f>
        <v>0</v>
      </c>
      <c r="Q52" s="2080"/>
      <c r="R52" s="2071">
        <f>IF(V56="Yes",R34+F48-F49+F55-F56,IF(P57="Yes",IF(R58=R46,R48-R49-V58,0),R34))</f>
        <v>0</v>
      </c>
      <c r="S52" s="2071"/>
      <c r="T52" s="2071">
        <f>IF(V56="Yes",T34+H48-H49+H55-H56,IF(R57="Yes",IF(R58=T46,T48-T49-V58,0),T34))</f>
        <v>0</v>
      </c>
      <c r="U52" s="2071"/>
      <c r="V52" s="2071">
        <f>IF(V56="Yes",V34+J48-J49+J55-J56,IF(T57="Yes",IF(R58=V46,V48-V49-V58,0),V34))</f>
        <v>0</v>
      </c>
      <c r="W52" s="2072"/>
      <c r="X52" s="2071">
        <f>IF(AB56="Yes",X34+F48-F49+F55-F56,IF(V57="Yes",IF(X58=X46,X48-X49-AB58,0),X34))</f>
        <v>0</v>
      </c>
      <c r="Y52" s="2071"/>
      <c r="Z52" s="2071">
        <f>IF(AB56="Yes",Z34+H48-H49+H55-H56,IF(X57="Yes",IF(X58=Z46,Z48-Z49-AB58,0),Z34))</f>
        <v>0</v>
      </c>
      <c r="AA52" s="2071"/>
      <c r="AB52" s="2071">
        <f>IF(AB56="Yes",AB34+J48-J49+J55-J56,IF(Z57="Yes",IF(X58=AB46,AB48-AB49-AB58,0),AB34))</f>
        <v>0</v>
      </c>
      <c r="AC52" s="2072"/>
    </row>
    <row r="53" spans="1:29" ht="15.45">
      <c r="A53" s="288" t="s">
        <v>203</v>
      </c>
      <c r="B53" s="273"/>
      <c r="C53" s="273"/>
      <c r="D53" s="273"/>
      <c r="E53" s="273"/>
      <c r="F53" s="2110"/>
      <c r="G53" s="2111"/>
      <c r="H53" s="2111"/>
      <c r="I53" s="2111"/>
      <c r="J53" s="2111"/>
      <c r="K53" s="2112"/>
      <c r="L53" s="2113">
        <f>IF(P56="No",0,IF(L50-L51-L52&lt;0,0,SUM(L50,-L51,-L52)))</f>
        <v>0</v>
      </c>
      <c r="M53" s="2114"/>
      <c r="N53" s="2113">
        <f>IF(P56="No",0,IF(N50-N51-N52&lt;0,0,SUM(N50,-N51,-N52)))</f>
        <v>0</v>
      </c>
      <c r="O53" s="2114"/>
      <c r="P53" s="2079">
        <f>IF(P56="No",0,IF(P50-P51-P52&lt;0,0,SUM(P50,-P51,-P52)))</f>
        <v>0</v>
      </c>
      <c r="Q53" s="2080"/>
      <c r="R53" s="2127">
        <f>IF(V56="No",0,IF(R50-R51-R52&lt;0,0,SUM(R50,-R51,-R52)))</f>
        <v>0</v>
      </c>
      <c r="S53" s="2114"/>
      <c r="T53" s="2113">
        <f>IF(V56="No",0,IF(T50-T51-T52&lt;0,0,SUM(T50,-T51,-T52)))</f>
        <v>0</v>
      </c>
      <c r="U53" s="2114"/>
      <c r="V53" s="2079">
        <f>IF(V56="No",0,IF(V50-V51-V52&lt;0,0,SUM(V50,-V51,-V52)))</f>
        <v>0</v>
      </c>
      <c r="W53" s="2080"/>
      <c r="X53" s="2113">
        <f>IF(AB56="No",0,IF(X50-X51-X52&lt;0,0,SUM(X50,-X51,-X52)))</f>
        <v>0</v>
      </c>
      <c r="Y53" s="2114"/>
      <c r="Z53" s="2113">
        <f>IF(AB56="No",0,IF(Z50-Z51-Z52&lt;0,0,SUM(Z50,-Z51,-Z52)))</f>
        <v>0</v>
      </c>
      <c r="AA53" s="2114"/>
      <c r="AB53" s="2079">
        <f>IF(AB56="No",0,IF(AB50-AB51-AB52&lt;0,0,SUM(AB50,-AB51,-AB52)))</f>
        <v>0</v>
      </c>
      <c r="AC53" s="2080"/>
    </row>
    <row r="54" spans="1:29" ht="15.45">
      <c r="A54" s="1177" t="s">
        <v>929</v>
      </c>
      <c r="B54" s="273"/>
      <c r="C54" s="273"/>
      <c r="D54" s="273"/>
      <c r="E54" s="1176"/>
      <c r="F54" s="1166"/>
      <c r="G54" s="1167"/>
      <c r="H54" s="1167"/>
      <c r="I54" s="1167"/>
      <c r="J54" s="1167"/>
      <c r="K54" s="1168"/>
      <c r="L54" s="2131">
        <f>IF(P56="No",0,IF((L50-L51-L52)&lt;0,(L50-L51-L52)*-1,0))</f>
        <v>0</v>
      </c>
      <c r="M54" s="2131"/>
      <c r="N54" s="2131">
        <f>IF(R56="No",0,IF((N50-N51-N52)&lt;0,(N50-N51-N52)*-1,0))</f>
        <v>0</v>
      </c>
      <c r="O54" s="2131"/>
      <c r="P54" s="2131">
        <f>IF(T56="No",0,IF((P50-P51-P52)&lt;0,(P50-P51-P52)*-1,0))</f>
        <v>0</v>
      </c>
      <c r="Q54" s="2132"/>
      <c r="R54" s="2078">
        <f>IF(V56="No",0,IF((R50-R51-R52)&lt;0,(R50-R51-R52)*-1,0))</f>
        <v>0</v>
      </c>
      <c r="S54" s="2131"/>
      <c r="T54" s="2131">
        <f>IF(V56="No",0,IF((T50-T51-T52)&lt;0,(T50-T51-T52)*-1,0))</f>
        <v>0</v>
      </c>
      <c r="U54" s="2131"/>
      <c r="V54" s="2131">
        <f>IF(V56="No",0,IF((V50-V51-V52)&lt;0,(V50-V51-V52)*-1,0))</f>
        <v>0</v>
      </c>
      <c r="W54" s="2132"/>
      <c r="X54" s="2134">
        <f>IF(AB56="No",0,IF((X50-X51-X52)&lt;0,(X50-X51-X52)*-1,0))</f>
        <v>0</v>
      </c>
      <c r="Y54" s="2131"/>
      <c r="Z54" s="2131">
        <f>IF(AB56="No",0,IF((Z50-Z51-Z52)&lt;0,(Z50-Z51-Z52)*-1,0))</f>
        <v>0</v>
      </c>
      <c r="AA54" s="2131"/>
      <c r="AB54" s="2131">
        <f>IF(AB56="No",0,IF((AB50-AB51-AB52)&lt;0,(AB50-AB51-AB52)*-1,0))</f>
        <v>0</v>
      </c>
      <c r="AC54" s="2132"/>
    </row>
    <row r="55" spans="1:29" ht="16.100000000000001" thickBot="1">
      <c r="A55" s="505" t="s">
        <v>991</v>
      </c>
      <c r="B55" s="506"/>
      <c r="C55" s="506"/>
      <c r="D55" s="506"/>
      <c r="E55" s="291"/>
      <c r="F55" s="2073"/>
      <c r="G55" s="2074"/>
      <c r="H55" s="2075">
        <v>0</v>
      </c>
      <c r="I55" s="2074"/>
      <c r="J55" s="2101">
        <v>0</v>
      </c>
      <c r="K55" s="2102"/>
      <c r="L55" s="292"/>
      <c r="M55" s="293"/>
      <c r="N55" s="292"/>
      <c r="O55" s="293"/>
      <c r="P55" s="294"/>
      <c r="Q55" s="295"/>
      <c r="R55" s="296"/>
      <c r="S55" s="293"/>
      <c r="T55" s="292"/>
      <c r="U55" s="293"/>
      <c r="V55" s="292"/>
      <c r="W55" s="297"/>
      <c r="X55" s="296"/>
      <c r="Y55" s="293"/>
      <c r="Z55" s="292"/>
      <c r="AA55" s="293"/>
      <c r="AB55" s="292"/>
      <c r="AC55" s="297"/>
    </row>
    <row r="56" spans="1:29" ht="16.100000000000001" thickBot="1">
      <c r="A56" s="290" t="s">
        <v>992</v>
      </c>
      <c r="B56" s="21"/>
      <c r="C56" s="21"/>
      <c r="D56" s="21"/>
      <c r="F56" s="2096">
        <v>0</v>
      </c>
      <c r="G56" s="2097"/>
      <c r="H56" s="2098">
        <v>0</v>
      </c>
      <c r="I56" s="2097"/>
      <c r="J56" s="2103">
        <v>0</v>
      </c>
      <c r="K56" s="2104"/>
      <c r="L56" s="2093" t="s">
        <v>417</v>
      </c>
      <c r="M56" s="2094"/>
      <c r="N56" s="2094"/>
      <c r="O56" s="2095"/>
      <c r="P56" s="2106" t="str">
        <f>P38</f>
        <v>Yes</v>
      </c>
      <c r="Q56" s="2107"/>
      <c r="R56" s="2093" t="s">
        <v>417</v>
      </c>
      <c r="S56" s="2094"/>
      <c r="T56" s="2094"/>
      <c r="U56" s="2095"/>
      <c r="V56" s="2106" t="str">
        <f>V38</f>
        <v>No</v>
      </c>
      <c r="W56" s="2107"/>
      <c r="X56" s="2093" t="s">
        <v>417</v>
      </c>
      <c r="Y56" s="2094"/>
      <c r="Z56" s="2094"/>
      <c r="AA56" s="2095"/>
      <c r="AB56" s="2106" t="str">
        <f>AB38</f>
        <v>No</v>
      </c>
      <c r="AC56" s="2107"/>
    </row>
    <row r="57" spans="1:29" ht="13.75" thickBot="1">
      <c r="L57" s="2093" t="s">
        <v>419</v>
      </c>
      <c r="M57" s="2094"/>
      <c r="N57" s="2094"/>
      <c r="O57" s="2094"/>
      <c r="P57" s="2094"/>
      <c r="Q57" s="2095"/>
      <c r="R57" s="2106" t="str">
        <f>R39</f>
        <v>No</v>
      </c>
      <c r="S57" s="2107"/>
      <c r="T57" s="2093" t="s">
        <v>420</v>
      </c>
      <c r="U57" s="2095"/>
      <c r="V57" s="2121">
        <v>0</v>
      </c>
      <c r="W57" s="2122"/>
    </row>
    <row r="58" spans="1:29" ht="13.5" thickBot="1">
      <c r="L58" s="2093" t="s">
        <v>421</v>
      </c>
      <c r="M58" s="2094"/>
      <c r="N58" s="2094"/>
      <c r="O58" s="2094"/>
      <c r="P58" s="2094"/>
      <c r="Q58" s="2095"/>
      <c r="R58" s="2119">
        <v>0</v>
      </c>
      <c r="S58" s="2120"/>
      <c r="T58" s="2123" t="s">
        <v>422</v>
      </c>
      <c r="U58" s="2124"/>
      <c r="V58" s="2125">
        <v>0</v>
      </c>
      <c r="W58" s="2126"/>
    </row>
    <row r="59" spans="1:29" ht="13.75" thickBot="1">
      <c r="L59" s="2093" t="s">
        <v>921</v>
      </c>
      <c r="M59" s="2094"/>
      <c r="N59" s="2094"/>
      <c r="O59" s="2094"/>
      <c r="P59" s="2094"/>
      <c r="Q59" s="2095"/>
      <c r="R59" s="2106" t="str">
        <f>R41</f>
        <v>No</v>
      </c>
      <c r="S59" s="2107"/>
      <c r="T59" s="2093" t="s">
        <v>420</v>
      </c>
      <c r="U59" s="2095"/>
      <c r="V59" s="2121">
        <v>0</v>
      </c>
      <c r="W59" s="2122"/>
    </row>
    <row r="60" spans="1:29" ht="13.5" thickBot="1">
      <c r="L60" s="2093" t="s">
        <v>421</v>
      </c>
      <c r="M60" s="2094"/>
      <c r="N60" s="2094"/>
      <c r="O60" s="2094"/>
      <c r="P60" s="2094"/>
      <c r="Q60" s="2095"/>
      <c r="R60" s="2119">
        <v>0</v>
      </c>
      <c r="S60" s="2120"/>
      <c r="T60" s="2123" t="s">
        <v>422</v>
      </c>
      <c r="U60" s="2124"/>
      <c r="V60" s="2125">
        <v>0</v>
      </c>
      <c r="W60" s="2126"/>
    </row>
    <row r="61" spans="1:29" ht="13.1">
      <c r="A61" s="1644" t="s">
        <v>221</v>
      </c>
      <c r="B61" s="1644"/>
      <c r="C61" s="2130">
        <f>'Cost Control'!H5</f>
        <v>3</v>
      </c>
      <c r="D61" s="2130"/>
      <c r="E61" s="2130"/>
      <c r="F61" s="2130"/>
      <c r="G61" s="2130"/>
      <c r="H61" s="2130"/>
      <c r="I61" s="2130"/>
      <c r="L61" t="str">
        <f>IF(SUM(L53:Q53)=0," ","LTR SUMMARY:")</f>
        <v xml:space="preserve"> </v>
      </c>
      <c r="O61" s="1422">
        <f>SUM(L53:Q53)</f>
        <v>0</v>
      </c>
      <c r="P61" t="str">
        <f>IF(O61=0," ","m³")</f>
        <v xml:space="preserve"> </v>
      </c>
      <c r="R61" t="str">
        <f>IF(SUM(R53:W53)=0," ","LTR SUMMARY:")</f>
        <v xml:space="preserve"> </v>
      </c>
      <c r="U61" s="1422">
        <f>SUM(R53:W53)</f>
        <v>0</v>
      </c>
      <c r="V61" t="str">
        <f>IF(U61=0," ","m³")</f>
        <v xml:space="preserve"> </v>
      </c>
      <c r="X61" t="str">
        <f>IF(SUM(X53:AC53)=0," ","LTR SUMMARY:")</f>
        <v xml:space="preserve"> </v>
      </c>
      <c r="AA61" s="1422">
        <f>SUM(X53:AC53)</f>
        <v>0</v>
      </c>
      <c r="AB61" t="str">
        <f>IF(AA61=0," ","m³")</f>
        <v xml:space="preserve"> </v>
      </c>
    </row>
    <row r="62" spans="1:29" ht="13.5" thickBot="1"/>
    <row r="63" spans="1:29" ht="14.8" thickTop="1">
      <c r="A63" s="274" t="s">
        <v>190</v>
      </c>
      <c r="B63" s="275"/>
      <c r="C63" s="275"/>
      <c r="D63" s="275"/>
      <c r="E63" s="276"/>
      <c r="F63" s="277"/>
      <c r="G63" s="278"/>
      <c r="H63" s="271" t="s">
        <v>191</v>
      </c>
      <c r="I63" s="279"/>
      <c r="J63" s="279"/>
      <c r="K63" s="280"/>
      <c r="L63" s="279" t="str">
        <f>L45</f>
        <v xml:space="preserve">    Cum. to Date </v>
      </c>
      <c r="M63" s="281"/>
      <c r="N63" s="279"/>
      <c r="O63" s="334">
        <f>O45</f>
        <v>0</v>
      </c>
      <c r="P63" s="271"/>
      <c r="Q63" s="282"/>
      <c r="R63" s="283" t="str">
        <f>R45</f>
        <v xml:space="preserve">Cum. to Date </v>
      </c>
      <c r="S63" s="281"/>
      <c r="T63" s="279"/>
      <c r="U63" s="334">
        <f>U45</f>
        <v>0</v>
      </c>
      <c r="V63" s="284"/>
      <c r="W63" s="272"/>
      <c r="X63" s="283" t="str">
        <f>X45</f>
        <v xml:space="preserve">Cum. to Date </v>
      </c>
      <c r="Y63" s="281"/>
      <c r="Z63" s="279"/>
      <c r="AA63" s="334">
        <f>AA45</f>
        <v>0</v>
      </c>
      <c r="AB63" s="284"/>
      <c r="AC63" s="272"/>
    </row>
    <row r="64" spans="1:29" ht="14.8" thickBot="1">
      <c r="A64" s="285" t="s">
        <v>192</v>
      </c>
      <c r="B64" s="286"/>
      <c r="C64" s="286"/>
      <c r="D64" s="286"/>
      <c r="E64" s="287"/>
      <c r="F64" s="2067" t="s">
        <v>193</v>
      </c>
      <c r="G64" s="2068"/>
      <c r="H64" s="2069" t="s">
        <v>194</v>
      </c>
      <c r="I64" s="2070"/>
      <c r="J64" s="2069" t="str">
        <f>J46</f>
        <v>Other (1)</v>
      </c>
      <c r="K64" s="2091"/>
      <c r="L64" s="2092" t="s">
        <v>195</v>
      </c>
      <c r="M64" s="2070"/>
      <c r="N64" s="2069" t="s">
        <v>196</v>
      </c>
      <c r="O64" s="2070"/>
      <c r="P64" s="2069" t="str">
        <f>IF(P74="Yes",J64," ")</f>
        <v>Other (1)</v>
      </c>
      <c r="Q64" s="2091"/>
      <c r="R64" s="2092" t="str">
        <f>R46</f>
        <v>Water</v>
      </c>
      <c r="S64" s="2070"/>
      <c r="T64" s="2069" t="str">
        <f>T46</f>
        <v>Oil</v>
      </c>
      <c r="U64" s="2070"/>
      <c r="V64" s="2082" t="str">
        <f>IF(V74="Yes",J64," ")</f>
        <v xml:space="preserve"> </v>
      </c>
      <c r="W64" s="2083"/>
      <c r="X64" s="2092" t="str">
        <f>X46</f>
        <v>Water</v>
      </c>
      <c r="Y64" s="2070"/>
      <c r="Z64" s="2069" t="str">
        <f>Z46</f>
        <v>Oil</v>
      </c>
      <c r="AA64" s="2070"/>
      <c r="AB64" s="2082" t="str">
        <f>IF(AB74="Yes",J64," ")</f>
        <v xml:space="preserve"> </v>
      </c>
      <c r="AC64" s="2083"/>
    </row>
    <row r="65" spans="1:29" ht="16.100000000000001" thickTop="1">
      <c r="A65" s="288" t="s">
        <v>197</v>
      </c>
      <c r="B65" s="289"/>
      <c r="C65" s="289"/>
      <c r="D65" s="289"/>
      <c r="E65" s="289"/>
      <c r="F65" s="259"/>
      <c r="G65" s="260"/>
      <c r="H65" s="261"/>
      <c r="I65" s="260"/>
      <c r="J65" s="261"/>
      <c r="K65" s="262"/>
      <c r="L65" s="2084">
        <f>L47</f>
        <v>0</v>
      </c>
      <c r="M65" s="2084"/>
      <c r="N65" s="2085">
        <f>N47</f>
        <v>0</v>
      </c>
      <c r="O65" s="2086"/>
      <c r="P65" s="2085">
        <f>P47</f>
        <v>0</v>
      </c>
      <c r="Q65" s="2087"/>
      <c r="R65" s="2115">
        <f>R47</f>
        <v>0</v>
      </c>
      <c r="S65" s="2116"/>
      <c r="T65" s="2117">
        <f>T47</f>
        <v>0</v>
      </c>
      <c r="U65" s="2116"/>
      <c r="V65" s="2117">
        <f>V47</f>
        <v>0</v>
      </c>
      <c r="W65" s="2118"/>
      <c r="X65" s="2115">
        <f>X47</f>
        <v>0</v>
      </c>
      <c r="Y65" s="2116"/>
      <c r="Z65" s="2117">
        <f>Z47</f>
        <v>0</v>
      </c>
      <c r="AA65" s="2116"/>
      <c r="AB65" s="2117">
        <f>AB47</f>
        <v>0</v>
      </c>
      <c r="AC65" s="2118"/>
    </row>
    <row r="66" spans="1:29" ht="15.45">
      <c r="A66" s="288" t="s">
        <v>198</v>
      </c>
      <c r="B66" s="273"/>
      <c r="C66" s="273"/>
      <c r="D66" s="273"/>
      <c r="E66" s="273"/>
      <c r="F66" s="2073">
        <v>0</v>
      </c>
      <c r="G66" s="2074"/>
      <c r="H66" s="2075">
        <v>0</v>
      </c>
      <c r="I66" s="2074"/>
      <c r="J66" s="2075">
        <v>0</v>
      </c>
      <c r="K66" s="2076"/>
      <c r="L66" s="2077">
        <f>IF(P74="No",L48,F66+L48)</f>
        <v>0</v>
      </c>
      <c r="M66" s="2078"/>
      <c r="N66" s="2079">
        <f>IF(P74="No",N48,H66+N48)</f>
        <v>0</v>
      </c>
      <c r="O66" s="2078"/>
      <c r="P66" s="2079">
        <f>IF(P74="No",P48,J66+P48)</f>
        <v>0</v>
      </c>
      <c r="Q66" s="2080"/>
      <c r="R66" s="2081">
        <f>IF(V74="Yes",F66+R48,IF(R76="Water",IF(R75="Yes",V75,0),R48))</f>
        <v>0</v>
      </c>
      <c r="S66" s="2071"/>
      <c r="T66" s="2071">
        <f>IF(X74="Yes",H66+T48,IF(T76=T64,IF(R75="Yes",V75,0),T48))</f>
        <v>0</v>
      </c>
      <c r="U66" s="2071"/>
      <c r="V66" s="2071">
        <f>IF(V74="Yes",J66+V48,IF(V76=V64,IF(R75="Yes",V75,0),V48))</f>
        <v>0</v>
      </c>
      <c r="W66" s="2072"/>
      <c r="X66" s="2081">
        <f>IF(AB74="Yes",F66+X48,IF(X76="Water",IF(X75="Yes",AB75,0),X48))</f>
        <v>0</v>
      </c>
      <c r="Y66" s="2071"/>
      <c r="Z66" s="2071">
        <f>IF(AB74="Yes",H66+Z48,IF(Z76=Z64,IF(X75="Yes",AB75,0),Z48))</f>
        <v>0</v>
      </c>
      <c r="AA66" s="2071"/>
      <c r="AB66" s="2071">
        <f>IF(AB74="Yes",J66+AB48,IF(AB76=AB64,IF(X75="Yes",AB75,0),AB48))</f>
        <v>0</v>
      </c>
      <c r="AC66" s="2072"/>
    </row>
    <row r="67" spans="1:29" ht="15.45">
      <c r="A67" s="288" t="s">
        <v>199</v>
      </c>
      <c r="B67" s="273"/>
      <c r="C67" s="273"/>
      <c r="D67" s="273"/>
      <c r="E67" s="273"/>
      <c r="F67" s="2073">
        <v>0</v>
      </c>
      <c r="G67" s="2074"/>
      <c r="H67" s="2075">
        <v>0</v>
      </c>
      <c r="I67" s="2074"/>
      <c r="J67" s="2075">
        <v>0</v>
      </c>
      <c r="K67" s="2076"/>
      <c r="L67" s="2077">
        <f>IF(P74="No",L49,F67+L49)</f>
        <v>0</v>
      </c>
      <c r="M67" s="2078"/>
      <c r="N67" s="2079">
        <f>IF(P74="No",N49,H67+N49)</f>
        <v>0</v>
      </c>
      <c r="O67" s="2078"/>
      <c r="P67" s="2079">
        <f>IF(P74="No",P49,J67+P49)</f>
        <v>0</v>
      </c>
      <c r="Q67" s="2080"/>
      <c r="R67" s="2081">
        <f>IF(V74="Yes",R49+F67,R49)</f>
        <v>0</v>
      </c>
      <c r="S67" s="2071"/>
      <c r="T67" s="2071">
        <f>IF(V74="Yes",T49+H67,T49)</f>
        <v>0</v>
      </c>
      <c r="U67" s="2071"/>
      <c r="V67" s="2071">
        <f>IF(V74="Yes",V49+J67,V49)</f>
        <v>0</v>
      </c>
      <c r="W67" s="2072"/>
      <c r="X67" s="2081">
        <f>IF(AB74="Yes",X49+F67,X49)</f>
        <v>0</v>
      </c>
      <c r="Y67" s="2071"/>
      <c r="Z67" s="2071">
        <f>IF(AB74="Yes",Z49+H67,Z49)</f>
        <v>0</v>
      </c>
      <c r="AA67" s="2071"/>
      <c r="AB67" s="2071">
        <f>IF(AB74="Yes",AB49+J67,AB49)</f>
        <v>0</v>
      </c>
      <c r="AC67" s="2072"/>
    </row>
    <row r="68" spans="1:29" ht="15.45">
      <c r="A68" s="288" t="s">
        <v>200</v>
      </c>
      <c r="B68" s="273"/>
      <c r="C68" s="273"/>
      <c r="D68" s="273"/>
      <c r="E68" s="273"/>
      <c r="F68" s="259"/>
      <c r="G68" s="260"/>
      <c r="H68" s="261"/>
      <c r="I68" s="263"/>
      <c r="J68" s="264"/>
      <c r="K68" s="265"/>
      <c r="L68" s="2077">
        <f>L65+L66-L67</f>
        <v>0</v>
      </c>
      <c r="M68" s="2078"/>
      <c r="N68" s="2079">
        <f>SUM(N65,N66,-N67)</f>
        <v>0</v>
      </c>
      <c r="O68" s="2078"/>
      <c r="P68" s="2079">
        <f>SUM(P65,P66,-P67)</f>
        <v>0</v>
      </c>
      <c r="Q68" s="2080"/>
      <c r="R68" s="2081">
        <f>SUM(R65,R66,-R67)</f>
        <v>0</v>
      </c>
      <c r="S68" s="2071"/>
      <c r="T68" s="2071">
        <f>SUM(T65,T66,-T67)</f>
        <v>0</v>
      </c>
      <c r="U68" s="2071"/>
      <c r="V68" s="2071">
        <f>SUM(V65,V66,-V67)</f>
        <v>0</v>
      </c>
      <c r="W68" s="2072"/>
      <c r="X68" s="2081">
        <f>SUM(X65,X66,-X67)</f>
        <v>0</v>
      </c>
      <c r="Y68" s="2071"/>
      <c r="Z68" s="2071">
        <f>SUM(Z65,Z66,-Z67)</f>
        <v>0</v>
      </c>
      <c r="AA68" s="2071"/>
      <c r="AB68" s="2071">
        <f>SUM(AB65,AB66,-AB67)</f>
        <v>0</v>
      </c>
      <c r="AC68" s="2072"/>
    </row>
    <row r="69" spans="1:29" ht="15.45">
      <c r="A69" s="288" t="s">
        <v>201</v>
      </c>
      <c r="B69" s="273"/>
      <c r="C69" s="273"/>
      <c r="D69" s="273"/>
      <c r="E69" s="273"/>
      <c r="F69" s="259"/>
      <c r="G69" s="260"/>
      <c r="H69" s="261"/>
      <c r="I69" s="263"/>
      <c r="J69" s="264"/>
      <c r="K69" s="265"/>
      <c r="L69" s="2073">
        <f>L51</f>
        <v>0</v>
      </c>
      <c r="M69" s="2074"/>
      <c r="N69" s="2075">
        <f>N51</f>
        <v>0</v>
      </c>
      <c r="O69" s="2074"/>
      <c r="P69" s="2075">
        <f>P51</f>
        <v>0</v>
      </c>
      <c r="Q69" s="2076"/>
      <c r="R69" s="2081">
        <f>R51</f>
        <v>0</v>
      </c>
      <c r="S69" s="2071"/>
      <c r="T69" s="2071">
        <f>T51</f>
        <v>0</v>
      </c>
      <c r="U69" s="2071"/>
      <c r="V69" s="2128">
        <f>V51</f>
        <v>0</v>
      </c>
      <c r="W69" s="2129"/>
      <c r="X69" s="2081">
        <f>X51</f>
        <v>0</v>
      </c>
      <c r="Y69" s="2071"/>
      <c r="Z69" s="2071">
        <f>Z51</f>
        <v>0</v>
      </c>
      <c r="AA69" s="2071"/>
      <c r="AB69" s="2128">
        <f>AB51</f>
        <v>0</v>
      </c>
      <c r="AC69" s="2129"/>
    </row>
    <row r="70" spans="1:29" ht="15.45">
      <c r="A70" s="288" t="s">
        <v>202</v>
      </c>
      <c r="B70" s="273"/>
      <c r="C70" s="273"/>
      <c r="D70" s="273"/>
      <c r="E70" s="273"/>
      <c r="F70" s="259"/>
      <c r="G70" s="260"/>
      <c r="H70" s="261"/>
      <c r="I70" s="263"/>
      <c r="J70" s="264"/>
      <c r="K70" s="265"/>
      <c r="L70" s="2077">
        <f>IF(P74="No",L52,L52+F66-F67+F73-F74)</f>
        <v>0</v>
      </c>
      <c r="M70" s="2078"/>
      <c r="N70" s="2079">
        <f>IF(P74="No",N52,N52+H66-H67+H73-H74)</f>
        <v>0</v>
      </c>
      <c r="O70" s="2078"/>
      <c r="P70" s="2079">
        <f>IF(P74="No",P52,P52+J66-J67+J73-J74)</f>
        <v>0</v>
      </c>
      <c r="Q70" s="2080"/>
      <c r="R70" s="2071">
        <f>IF(V74="Yes",R52+F66-F67+F73-F74,IF(P75="Yes",IF(R76=R64,R66-R67-V76,0),R52))</f>
        <v>0</v>
      </c>
      <c r="S70" s="2071"/>
      <c r="T70" s="2071">
        <f>IF(V74="Yes",T52+H66-H67+H73-H74,IF(R75="Yes",IF(T76=T64,T66-T67-V76,0),T52))</f>
        <v>0</v>
      </c>
      <c r="U70" s="2071"/>
      <c r="V70" s="2071">
        <f>IF(V74="Yes",V52+J66-J67+J73-J74,IF(T75="Yes",IF(V76=V64,V66-V67-V76,0),V52))</f>
        <v>0</v>
      </c>
      <c r="W70" s="2072"/>
      <c r="X70" s="2071">
        <f>IF(AB74="Yes",X52+F66-F67+F73-F74,IF(V75="Yes",IF(X76=X64,X66-X67-AB76,0),X52))</f>
        <v>0</v>
      </c>
      <c r="Y70" s="2071"/>
      <c r="Z70" s="2071">
        <f>IF(AB74="Yes",Z52+H66-H67+H73-H74,IF(X75="Yes",IF(X76=Z64,Z66-Z67-AB76,0),Z52))</f>
        <v>0</v>
      </c>
      <c r="AA70" s="2071"/>
      <c r="AB70" s="2071">
        <f>IF(AB74="Yes",AB52+J66-J67+J73-J74,IF(Z75="Yes",IF(X76=AB64,AB66-AB67-AB76,0),AB52))</f>
        <v>0</v>
      </c>
      <c r="AC70" s="2072"/>
    </row>
    <row r="71" spans="1:29" ht="15.45">
      <c r="A71" s="288" t="s">
        <v>203</v>
      </c>
      <c r="B71" s="273"/>
      <c r="C71" s="273"/>
      <c r="D71" s="273"/>
      <c r="E71" s="273"/>
      <c r="F71" s="2110"/>
      <c r="G71" s="2111"/>
      <c r="H71" s="2111"/>
      <c r="I71" s="2111"/>
      <c r="J71" s="2111"/>
      <c r="K71" s="2112"/>
      <c r="L71" s="2113">
        <f>IF(P74="No",0,IF(L68-L69-L70&lt;0,0,SUM(L68,-L69,-L70)))</f>
        <v>0</v>
      </c>
      <c r="M71" s="2114"/>
      <c r="N71" s="2113">
        <f>IF(P74="No",0,IF(N68-N69-N70&lt;0,0,SUM(N68,-N69,-N70)))</f>
        <v>0</v>
      </c>
      <c r="O71" s="2114"/>
      <c r="P71" s="2079">
        <f>IF(P74="No",0,IF(P68-P69-P70&lt;0,0,SUM(P68,-P69,-P70)))</f>
        <v>0</v>
      </c>
      <c r="Q71" s="2080"/>
      <c r="R71" s="2127">
        <f>IF(V74="No",0,IF(R68-R69-R70&lt;0,0,SUM(R68,-R69,-R70)))</f>
        <v>0</v>
      </c>
      <c r="S71" s="2114"/>
      <c r="T71" s="2113">
        <f>IF(V74="No",0,IF(T68-T69-T70&lt;0,0,SUM(T68,-T69,-T70)))</f>
        <v>0</v>
      </c>
      <c r="U71" s="2114"/>
      <c r="V71" s="2079">
        <f>IF(V74="No",0,IF(V68-V69-V70&lt;0,0,SUM(V68,-V69,-V70)))</f>
        <v>0</v>
      </c>
      <c r="W71" s="2080"/>
      <c r="X71" s="2113">
        <f>IF(AB74="No",0,IF(X68-X69-X70&lt;0,0,SUM(X68,-X69,-X70)))</f>
        <v>0</v>
      </c>
      <c r="Y71" s="2114"/>
      <c r="Z71" s="2113">
        <f>IF(AB74="No",0,IF(Z68-Z69-Z70&lt;0,0,SUM(Z68,-Z69,-Z70)))</f>
        <v>0</v>
      </c>
      <c r="AA71" s="2114"/>
      <c r="AB71" s="2079">
        <f>IF(AB74="No",0,IF(AB68-AB69-AB70&lt;0,0,SUM(AB68,-AB69,-AB70)))</f>
        <v>0</v>
      </c>
      <c r="AC71" s="2080"/>
    </row>
    <row r="72" spans="1:29" ht="15.45">
      <c r="A72" s="1177" t="s">
        <v>929</v>
      </c>
      <c r="B72" s="273"/>
      <c r="C72" s="273"/>
      <c r="D72" s="273"/>
      <c r="E72" s="1176"/>
      <c r="F72" s="1166"/>
      <c r="G72" s="1167"/>
      <c r="H72" s="1167"/>
      <c r="I72" s="1167"/>
      <c r="J72" s="1167"/>
      <c r="K72" s="1168"/>
      <c r="L72" s="2131">
        <f>IF(P74="No",0,IF((L68-L69-L70)&lt;0,(L68-L69-L70)*-1,0))</f>
        <v>0</v>
      </c>
      <c r="M72" s="2131"/>
      <c r="N72" s="2131">
        <f>IF(R74="No",0,IF((N68-N69-N70)&lt;0,(N68-N69-N70)*-1,0))</f>
        <v>0</v>
      </c>
      <c r="O72" s="2131"/>
      <c r="P72" s="2131">
        <f>IF(T74="No",0,IF((P68-P69-P70)&lt;0,(P68-P69-P70)*-1,0))</f>
        <v>0</v>
      </c>
      <c r="Q72" s="2132"/>
      <c r="R72" s="2078">
        <f>IF(V74="No",0,IF((R68-R69-R70)&lt;0,(R68-R69-R70)*-1,0))</f>
        <v>0</v>
      </c>
      <c r="S72" s="2131"/>
      <c r="T72" s="2131">
        <f>IF(V74="No",0,IF((T68-T69-T70)&lt;0,(T68-T69-T70)*-1,0))</f>
        <v>0</v>
      </c>
      <c r="U72" s="2131"/>
      <c r="V72" s="2131">
        <f>IF(V74="No",0,IF((V68-V69-V70)&lt;0,(V68-V69-V70)*-1,0))</f>
        <v>0</v>
      </c>
      <c r="W72" s="2132"/>
      <c r="X72" s="2134">
        <f>IF(AB74="No",0,IF((X68-X69-X70)&lt;0,(X68-X69-X70)*-1,0))</f>
        <v>0</v>
      </c>
      <c r="Y72" s="2131"/>
      <c r="Z72" s="2131">
        <f>IF(AB74="No",0,IF((Z68-Z69-Z70)&lt;0,(Z68-Z69-Z70)*-1,0))</f>
        <v>0</v>
      </c>
      <c r="AA72" s="2131"/>
      <c r="AB72" s="2131">
        <f>IF(AB74="No",0,IF((AB68-AB69-AB70)&lt;0,(AB68-AB69-AB70)*-1,0))</f>
        <v>0</v>
      </c>
      <c r="AC72" s="2132"/>
    </row>
    <row r="73" spans="1:29" ht="16.100000000000001" thickBot="1">
      <c r="A73" s="505" t="s">
        <v>991</v>
      </c>
      <c r="B73" s="506"/>
      <c r="C73" s="506"/>
      <c r="D73" s="506"/>
      <c r="E73" s="291"/>
      <c r="F73" s="2073">
        <v>0</v>
      </c>
      <c r="G73" s="2074"/>
      <c r="H73" s="2075">
        <v>0</v>
      </c>
      <c r="I73" s="2074"/>
      <c r="J73" s="2101">
        <v>0</v>
      </c>
      <c r="K73" s="2102"/>
      <c r="L73" s="292"/>
      <c r="M73" s="293"/>
      <c r="N73" s="292"/>
      <c r="O73" s="293"/>
      <c r="P73" s="294"/>
      <c r="Q73" s="295"/>
      <c r="R73" s="296"/>
      <c r="S73" s="293"/>
      <c r="T73" s="292"/>
      <c r="U73" s="293"/>
      <c r="V73" s="292"/>
      <c r="W73" s="297"/>
      <c r="X73" s="296"/>
      <c r="Y73" s="293"/>
      <c r="Z73" s="292"/>
      <c r="AA73" s="293"/>
      <c r="AB73" s="292"/>
      <c r="AC73" s="297"/>
    </row>
    <row r="74" spans="1:29" ht="16.100000000000001" thickBot="1">
      <c r="A74" s="290" t="s">
        <v>992</v>
      </c>
      <c r="B74" s="21"/>
      <c r="C74" s="21"/>
      <c r="D74" s="21"/>
      <c r="F74" s="2096">
        <v>0</v>
      </c>
      <c r="G74" s="2097"/>
      <c r="H74" s="2098">
        <v>0</v>
      </c>
      <c r="I74" s="2097"/>
      <c r="J74" s="2103">
        <v>0</v>
      </c>
      <c r="K74" s="2104"/>
      <c r="L74" s="2093" t="s">
        <v>417</v>
      </c>
      <c r="M74" s="2094"/>
      <c r="N74" s="2094"/>
      <c r="O74" s="2095"/>
      <c r="P74" s="2106" t="str">
        <f>P56</f>
        <v>Yes</v>
      </c>
      <c r="Q74" s="2107"/>
      <c r="R74" s="2093" t="s">
        <v>417</v>
      </c>
      <c r="S74" s="2094"/>
      <c r="T74" s="2094"/>
      <c r="U74" s="2095"/>
      <c r="V74" s="2106" t="str">
        <f>V56</f>
        <v>No</v>
      </c>
      <c r="W74" s="2107"/>
      <c r="X74" s="2093" t="s">
        <v>417</v>
      </c>
      <c r="Y74" s="2094"/>
      <c r="Z74" s="2094"/>
      <c r="AA74" s="2095"/>
      <c r="AB74" s="2106" t="str">
        <f>AB56</f>
        <v>No</v>
      </c>
      <c r="AC74" s="2107"/>
    </row>
    <row r="75" spans="1:29" ht="13.75" thickBot="1">
      <c r="L75" s="2093" t="s">
        <v>419</v>
      </c>
      <c r="M75" s="2094"/>
      <c r="N75" s="2094"/>
      <c r="O75" s="2094"/>
      <c r="P75" s="2094"/>
      <c r="Q75" s="2095"/>
      <c r="R75" s="2106" t="str">
        <f>R57</f>
        <v>No</v>
      </c>
      <c r="S75" s="2107"/>
      <c r="T75" s="2093" t="s">
        <v>420</v>
      </c>
      <c r="U75" s="2095"/>
      <c r="V75" s="2121">
        <v>0</v>
      </c>
      <c r="W75" s="2122"/>
    </row>
    <row r="76" spans="1:29" ht="13.5" thickBot="1">
      <c r="L76" s="2093" t="s">
        <v>421</v>
      </c>
      <c r="M76" s="2094"/>
      <c r="N76" s="2094"/>
      <c r="O76" s="2094"/>
      <c r="P76" s="2094"/>
      <c r="Q76" s="2095"/>
      <c r="R76" s="2119">
        <v>0</v>
      </c>
      <c r="S76" s="2120"/>
      <c r="T76" s="2123" t="s">
        <v>422</v>
      </c>
      <c r="U76" s="2124"/>
      <c r="V76" s="2125">
        <v>0</v>
      </c>
      <c r="W76" s="2126"/>
    </row>
    <row r="77" spans="1:29" ht="13.75" thickBot="1">
      <c r="L77" s="2093" t="s">
        <v>921</v>
      </c>
      <c r="M77" s="2094"/>
      <c r="N77" s="2094"/>
      <c r="O77" s="2094"/>
      <c r="P77" s="2094"/>
      <c r="Q77" s="2095"/>
      <c r="R77" s="2106" t="str">
        <f>R59</f>
        <v>No</v>
      </c>
      <c r="S77" s="2107"/>
      <c r="T77" s="2093" t="s">
        <v>420</v>
      </c>
      <c r="U77" s="2095"/>
      <c r="V77" s="2121">
        <v>0</v>
      </c>
      <c r="W77" s="2122"/>
    </row>
    <row r="78" spans="1:29" ht="13.5" thickBot="1">
      <c r="L78" s="2093" t="s">
        <v>421</v>
      </c>
      <c r="M78" s="2094"/>
      <c r="N78" s="2094"/>
      <c r="O78" s="2094"/>
      <c r="P78" s="2094"/>
      <c r="Q78" s="2095"/>
      <c r="R78" s="2119">
        <v>0</v>
      </c>
      <c r="S78" s="2120"/>
      <c r="T78" s="2123" t="s">
        <v>422</v>
      </c>
      <c r="U78" s="2124"/>
      <c r="V78" s="2125">
        <v>0</v>
      </c>
      <c r="W78" s="2126"/>
    </row>
    <row r="79" spans="1:29" ht="13.1">
      <c r="A79" s="1644" t="s">
        <v>221</v>
      </c>
      <c r="B79" s="1644"/>
      <c r="C79" s="2130">
        <f>'Cost Control'!I5</f>
        <v>4</v>
      </c>
      <c r="D79" s="2130"/>
      <c r="E79" s="2130"/>
      <c r="F79" s="2130"/>
      <c r="G79" s="2130"/>
      <c r="H79" s="2130"/>
      <c r="I79" s="2130"/>
      <c r="L79" t="str">
        <f>IF(SUM(L71:Q71)=0," ","LTR SUMMARY:")</f>
        <v xml:space="preserve"> </v>
      </c>
      <c r="O79" s="1422">
        <f>SUM(L71:Q71)</f>
        <v>0</v>
      </c>
      <c r="P79" t="str">
        <f>IF(O79=0," ","m³")</f>
        <v xml:space="preserve"> </v>
      </c>
      <c r="R79" t="str">
        <f>IF(SUM(R71:W71)=0," ","LTR SUMMARY:")</f>
        <v xml:space="preserve"> </v>
      </c>
      <c r="U79" s="1422">
        <f>SUM(R71:W71)</f>
        <v>0</v>
      </c>
      <c r="V79" t="str">
        <f>IF(U79=0," ","m³")</f>
        <v xml:space="preserve"> </v>
      </c>
      <c r="X79" t="str">
        <f>IF(SUM(X71:AC71)=0," ","LTR SUMMARY:")</f>
        <v xml:space="preserve"> </v>
      </c>
      <c r="AA79" s="1422">
        <f>SUM(X71:AC71)</f>
        <v>0</v>
      </c>
      <c r="AB79" t="str">
        <f>IF(AA79=0," ","m³")</f>
        <v xml:space="preserve"> </v>
      </c>
    </row>
    <row r="80" spans="1:29" ht="13.5" thickBot="1"/>
    <row r="81" spans="1:29" ht="14.8" thickTop="1">
      <c r="A81" s="274" t="s">
        <v>190</v>
      </c>
      <c r="B81" s="275"/>
      <c r="C81" s="275"/>
      <c r="D81" s="275"/>
      <c r="E81" s="276"/>
      <c r="F81" s="277"/>
      <c r="G81" s="278"/>
      <c r="H81" s="271" t="s">
        <v>191</v>
      </c>
      <c r="I81" s="279"/>
      <c r="J81" s="279"/>
      <c r="K81" s="280"/>
      <c r="L81" s="279" t="str">
        <f>L63</f>
        <v xml:space="preserve">    Cum. to Date </v>
      </c>
      <c r="M81" s="281"/>
      <c r="N81" s="279"/>
      <c r="O81" s="334">
        <f>O63</f>
        <v>0</v>
      </c>
      <c r="P81" s="271"/>
      <c r="Q81" s="282"/>
      <c r="R81" s="283" t="str">
        <f>R63</f>
        <v xml:space="preserve">Cum. to Date </v>
      </c>
      <c r="S81" s="281"/>
      <c r="T81" s="279"/>
      <c r="U81" s="334">
        <f>U63</f>
        <v>0</v>
      </c>
      <c r="V81" s="284"/>
      <c r="W81" s="272"/>
      <c r="X81" s="283" t="str">
        <f>X63</f>
        <v xml:space="preserve">Cum. to Date </v>
      </c>
      <c r="Y81" s="281"/>
      <c r="Z81" s="279"/>
      <c r="AA81" s="334">
        <f>AA63</f>
        <v>0</v>
      </c>
      <c r="AB81" s="284"/>
      <c r="AC81" s="272"/>
    </row>
    <row r="82" spans="1:29" ht="14.8" thickBot="1">
      <c r="A82" s="285" t="s">
        <v>192</v>
      </c>
      <c r="B82" s="286"/>
      <c r="C82" s="286"/>
      <c r="D82" s="286"/>
      <c r="E82" s="287"/>
      <c r="F82" s="2067" t="s">
        <v>193</v>
      </c>
      <c r="G82" s="2068"/>
      <c r="H82" s="2069" t="s">
        <v>194</v>
      </c>
      <c r="I82" s="2070"/>
      <c r="J82" s="2069" t="str">
        <f>J64</f>
        <v>Other (1)</v>
      </c>
      <c r="K82" s="2091"/>
      <c r="L82" s="2092" t="s">
        <v>195</v>
      </c>
      <c r="M82" s="2070"/>
      <c r="N82" s="2069" t="s">
        <v>196</v>
      </c>
      <c r="O82" s="2070"/>
      <c r="P82" s="2069" t="str">
        <f>IF(P92="Yes",J82," ")</f>
        <v>Other (1)</v>
      </c>
      <c r="Q82" s="2091"/>
      <c r="R82" s="2092" t="str">
        <f>R64</f>
        <v>Water</v>
      </c>
      <c r="S82" s="2070"/>
      <c r="T82" s="2069" t="str">
        <f>T64</f>
        <v>Oil</v>
      </c>
      <c r="U82" s="2070"/>
      <c r="V82" s="2082" t="str">
        <f>IF(V92="Yes",J82," ")</f>
        <v xml:space="preserve"> </v>
      </c>
      <c r="W82" s="2083"/>
      <c r="X82" s="2092" t="str">
        <f>X64</f>
        <v>Water</v>
      </c>
      <c r="Y82" s="2070"/>
      <c r="Z82" s="2069" t="str">
        <f>Z64</f>
        <v>Oil</v>
      </c>
      <c r="AA82" s="2070"/>
      <c r="AB82" s="2082" t="str">
        <f>IF(AB92="Yes",J82," ")</f>
        <v xml:space="preserve"> </v>
      </c>
      <c r="AC82" s="2083"/>
    </row>
    <row r="83" spans="1:29" ht="16.100000000000001" thickTop="1">
      <c r="A83" s="288" t="s">
        <v>197</v>
      </c>
      <c r="B83" s="289"/>
      <c r="C83" s="289"/>
      <c r="D83" s="289"/>
      <c r="E83" s="289"/>
      <c r="F83" s="259"/>
      <c r="G83" s="260"/>
      <c r="H83" s="261"/>
      <c r="I83" s="260"/>
      <c r="J83" s="261"/>
      <c r="K83" s="262"/>
      <c r="L83" s="2084">
        <f>L65</f>
        <v>0</v>
      </c>
      <c r="M83" s="2084"/>
      <c r="N83" s="2085">
        <f>N65</f>
        <v>0</v>
      </c>
      <c r="O83" s="2086"/>
      <c r="P83" s="2085">
        <f>P65</f>
        <v>0</v>
      </c>
      <c r="Q83" s="2087"/>
      <c r="R83" s="2115">
        <f>R65</f>
        <v>0</v>
      </c>
      <c r="S83" s="2116"/>
      <c r="T83" s="2117">
        <f>T65</f>
        <v>0</v>
      </c>
      <c r="U83" s="2116"/>
      <c r="V83" s="2117">
        <f>V65</f>
        <v>0</v>
      </c>
      <c r="W83" s="2118"/>
      <c r="X83" s="2115">
        <f>X65</f>
        <v>0</v>
      </c>
      <c r="Y83" s="2116"/>
      <c r="Z83" s="2117">
        <f>Z65</f>
        <v>0</v>
      </c>
      <c r="AA83" s="2116"/>
      <c r="AB83" s="2117">
        <f>AB65</f>
        <v>0</v>
      </c>
      <c r="AC83" s="2118"/>
    </row>
    <row r="84" spans="1:29" ht="15.45">
      <c r="A84" s="288" t="s">
        <v>198</v>
      </c>
      <c r="B84" s="273"/>
      <c r="C84" s="273"/>
      <c r="D84" s="273"/>
      <c r="E84" s="273"/>
      <c r="F84" s="2073">
        <v>0</v>
      </c>
      <c r="G84" s="2074"/>
      <c r="H84" s="2075">
        <v>0</v>
      </c>
      <c r="I84" s="2074"/>
      <c r="J84" s="2075">
        <v>0</v>
      </c>
      <c r="K84" s="2076"/>
      <c r="L84" s="2077">
        <f>IF(P92="No",L66,F84+L66)</f>
        <v>0</v>
      </c>
      <c r="M84" s="2078"/>
      <c r="N84" s="2079">
        <f>IF(P92="No",N66,H84+N66)</f>
        <v>0</v>
      </c>
      <c r="O84" s="2078"/>
      <c r="P84" s="2079">
        <f>IF(P92="No",P66,J84+P66)</f>
        <v>0</v>
      </c>
      <c r="Q84" s="2080"/>
      <c r="R84" s="2081">
        <f>IF(V92="Yes",F84+R66,IF(R94="Water",IF(R93="Yes",V93,0),R66))</f>
        <v>0</v>
      </c>
      <c r="S84" s="2071"/>
      <c r="T84" s="2071">
        <f>IF(X92="Yes",H84+T66,IF(T94=T82,IF(R93="Yes",V93,0),T66))</f>
        <v>0</v>
      </c>
      <c r="U84" s="2071"/>
      <c r="V84" s="2071">
        <f>IF(V92="Yes",J84+V66,IF(V94=V82,IF(R93="Yes",V93,0),V66))</f>
        <v>0</v>
      </c>
      <c r="W84" s="2072"/>
      <c r="X84" s="2081">
        <f>IF(AB92="Yes",F84+X66,IF(X94="Water",IF(X93="Yes",AB93,0),X66))</f>
        <v>0</v>
      </c>
      <c r="Y84" s="2071"/>
      <c r="Z84" s="2071">
        <f>IF(AB92="Yes",H84+Z66,IF(Z94=Z82,IF(X93="Yes",AB93,0),Z66))</f>
        <v>0</v>
      </c>
      <c r="AA84" s="2071"/>
      <c r="AB84" s="2071">
        <f>IF(AB92="Yes",J84+AB66,IF(AB94=AB82,IF(X93="Yes",AB93,0),AB66))</f>
        <v>0</v>
      </c>
      <c r="AC84" s="2072"/>
    </row>
    <row r="85" spans="1:29" ht="15.45">
      <c r="A85" s="288" t="s">
        <v>199</v>
      </c>
      <c r="B85" s="273"/>
      <c r="C85" s="273"/>
      <c r="D85" s="273"/>
      <c r="E85" s="273"/>
      <c r="F85" s="2073">
        <v>0</v>
      </c>
      <c r="G85" s="2074"/>
      <c r="H85" s="2075">
        <v>0</v>
      </c>
      <c r="I85" s="2074"/>
      <c r="J85" s="2075">
        <v>0</v>
      </c>
      <c r="K85" s="2076"/>
      <c r="L85" s="2077">
        <f>IF(P92="No",L67,F85+L67)</f>
        <v>0</v>
      </c>
      <c r="M85" s="2078"/>
      <c r="N85" s="2079">
        <f>IF(P92="No",N67,H85+N67)</f>
        <v>0</v>
      </c>
      <c r="O85" s="2078"/>
      <c r="P85" s="2079">
        <f>IF(P92="No",P67,J85+P67)</f>
        <v>0</v>
      </c>
      <c r="Q85" s="2080"/>
      <c r="R85" s="2081">
        <f>IF(V92="Yes",R67+F85,R67)</f>
        <v>0</v>
      </c>
      <c r="S85" s="2071"/>
      <c r="T85" s="2071">
        <f>IF(V92="Yes",T67+H85,T67)</f>
        <v>0</v>
      </c>
      <c r="U85" s="2071"/>
      <c r="V85" s="2071">
        <f>IF(V92="Yes",V67+J85,V67)</f>
        <v>0</v>
      </c>
      <c r="W85" s="2072"/>
      <c r="X85" s="2081">
        <f>IF(AB92="Yes",X67+F85,X67)</f>
        <v>0</v>
      </c>
      <c r="Y85" s="2071"/>
      <c r="Z85" s="2071">
        <f>IF(AB92="Yes",Z67+H85,Z67)</f>
        <v>0</v>
      </c>
      <c r="AA85" s="2071"/>
      <c r="AB85" s="2071">
        <f>IF(AB92="Yes",AB67+J85,AB67)</f>
        <v>0</v>
      </c>
      <c r="AC85" s="2072"/>
    </row>
    <row r="86" spans="1:29" ht="15.45">
      <c r="A86" s="288" t="s">
        <v>200</v>
      </c>
      <c r="B86" s="273"/>
      <c r="C86" s="273"/>
      <c r="D86" s="273"/>
      <c r="E86" s="273"/>
      <c r="F86" s="259"/>
      <c r="G86" s="260"/>
      <c r="H86" s="261"/>
      <c r="I86" s="263"/>
      <c r="J86" s="264"/>
      <c r="K86" s="265"/>
      <c r="L86" s="2077">
        <f>L83+L84-L85</f>
        <v>0</v>
      </c>
      <c r="M86" s="2078"/>
      <c r="N86" s="2079">
        <f>SUM(N83,N84,-N85)</f>
        <v>0</v>
      </c>
      <c r="O86" s="2078"/>
      <c r="P86" s="2079">
        <f>SUM(P83,P84,-P85)</f>
        <v>0</v>
      </c>
      <c r="Q86" s="2080"/>
      <c r="R86" s="2081">
        <f>SUM(R83,R84,-R85)</f>
        <v>0</v>
      </c>
      <c r="S86" s="2071"/>
      <c r="T86" s="2071">
        <f>SUM(T83,T84,-T85)</f>
        <v>0</v>
      </c>
      <c r="U86" s="2071"/>
      <c r="V86" s="2071">
        <f>SUM(V83,V84,-V85)</f>
        <v>0</v>
      </c>
      <c r="W86" s="2072"/>
      <c r="X86" s="2081">
        <f>SUM(X83,X84,-X85)</f>
        <v>0</v>
      </c>
      <c r="Y86" s="2071"/>
      <c r="Z86" s="2071">
        <f>SUM(Z83,Z84,-Z85)</f>
        <v>0</v>
      </c>
      <c r="AA86" s="2071"/>
      <c r="AB86" s="2071">
        <f>SUM(AB83,AB84,-AB85)</f>
        <v>0</v>
      </c>
      <c r="AC86" s="2072"/>
    </row>
    <row r="87" spans="1:29" ht="15.45">
      <c r="A87" s="288" t="s">
        <v>201</v>
      </c>
      <c r="B87" s="273"/>
      <c r="C87" s="273"/>
      <c r="D87" s="273"/>
      <c r="E87" s="273"/>
      <c r="F87" s="259"/>
      <c r="G87" s="260"/>
      <c r="H87" s="261"/>
      <c r="I87" s="263"/>
      <c r="J87" s="264"/>
      <c r="K87" s="265"/>
      <c r="L87" s="2073">
        <f>L69</f>
        <v>0</v>
      </c>
      <c r="M87" s="2074"/>
      <c r="N87" s="2075">
        <f>N69</f>
        <v>0</v>
      </c>
      <c r="O87" s="2074"/>
      <c r="P87" s="2075">
        <f>P69</f>
        <v>0</v>
      </c>
      <c r="Q87" s="2076"/>
      <c r="R87" s="2081">
        <f>R69</f>
        <v>0</v>
      </c>
      <c r="S87" s="2071"/>
      <c r="T87" s="2071">
        <f>T69</f>
        <v>0</v>
      </c>
      <c r="U87" s="2071"/>
      <c r="V87" s="2128">
        <f>V69</f>
        <v>0</v>
      </c>
      <c r="W87" s="2129"/>
      <c r="X87" s="2081">
        <f>X69</f>
        <v>0</v>
      </c>
      <c r="Y87" s="2071"/>
      <c r="Z87" s="2071">
        <f>Z69</f>
        <v>0</v>
      </c>
      <c r="AA87" s="2071"/>
      <c r="AB87" s="2128">
        <f>AB69</f>
        <v>0</v>
      </c>
      <c r="AC87" s="2129"/>
    </row>
    <row r="88" spans="1:29" ht="15.45">
      <c r="A88" s="288" t="s">
        <v>202</v>
      </c>
      <c r="B88" s="273"/>
      <c r="C88" s="273"/>
      <c r="D88" s="273"/>
      <c r="E88" s="273"/>
      <c r="F88" s="259"/>
      <c r="G88" s="260"/>
      <c r="H88" s="261"/>
      <c r="I88" s="263"/>
      <c r="J88" s="264"/>
      <c r="K88" s="265"/>
      <c r="L88" s="2077">
        <f>IF(P92="No",L70,L70+F84-F85+F91-F92)</f>
        <v>0</v>
      </c>
      <c r="M88" s="2078"/>
      <c r="N88" s="2079">
        <f>IF(P92="No",N70,N70+H84-H85+H91-H92)</f>
        <v>0</v>
      </c>
      <c r="O88" s="2078"/>
      <c r="P88" s="2079">
        <f>IF(P92="No",P70,P70+J84-J85+J91-J92)</f>
        <v>0</v>
      </c>
      <c r="Q88" s="2080"/>
      <c r="R88" s="2071">
        <f>IF(V92="Yes",R70+F84-F85+F91-F92,IF(P93="Yes",IF(R94=R82,R84-R85-V94,0),R70))</f>
        <v>0</v>
      </c>
      <c r="S88" s="2071"/>
      <c r="T88" s="2071">
        <f>IF(V92="Yes",T70+H84-H85+H91-H92,IF(R93="Yes",IF(R94=T82,T84-T85-V94,0),T70))</f>
        <v>0</v>
      </c>
      <c r="U88" s="2071"/>
      <c r="V88" s="2071">
        <f>IF(V92="Yes",V70+J84-J85+J91-J92,IF(T93="Yes",IF(R94=V82,V84-V85-V94,0),V70))</f>
        <v>0</v>
      </c>
      <c r="W88" s="2072"/>
      <c r="X88" s="2071">
        <f>IF(AB92="Yes",X70+F84-F85+F91-F92,IF(V93="Yes",IF(X94=X82,X84-X85-AB94,0),X70))</f>
        <v>0</v>
      </c>
      <c r="Y88" s="2071"/>
      <c r="Z88" s="2071">
        <f>IF(AB92="Yes",Z70+H84-H85+H91-H92,IF(X93="Yes",IF(X94=Z82,Z84-Z85-AB94,0),Z70))</f>
        <v>0</v>
      </c>
      <c r="AA88" s="2071"/>
      <c r="AB88" s="2071">
        <f>IF(AB92="Yes",AB70+J84-J85+J91-J92,IF(Z93="Yes",IF(X94=AB82,AB84-AB85-AB94,0),AB70))</f>
        <v>0</v>
      </c>
      <c r="AC88" s="2072"/>
    </row>
    <row r="89" spans="1:29" ht="15.45">
      <c r="A89" s="288" t="s">
        <v>203</v>
      </c>
      <c r="B89" s="273"/>
      <c r="C89" s="273"/>
      <c r="D89" s="273"/>
      <c r="E89" s="273"/>
      <c r="F89" s="2110"/>
      <c r="G89" s="2111"/>
      <c r="H89" s="2111"/>
      <c r="I89" s="2111"/>
      <c r="J89" s="2111"/>
      <c r="K89" s="2112"/>
      <c r="L89" s="2113">
        <f>IF(P92="No",0,IF(L86-L87-L88&lt;0,0,SUM(L86,-L87,-L88)))</f>
        <v>0</v>
      </c>
      <c r="M89" s="2114"/>
      <c r="N89" s="2113">
        <f>IF(P92="No",0,IF(N86-N87-N88&lt;0,0,SUM(N86,-N87,-N88)))</f>
        <v>0</v>
      </c>
      <c r="O89" s="2114"/>
      <c r="P89" s="2079">
        <f>IF(P92="No",0,IF(P86-P87-P88&lt;0,0,SUM(P86,-P87,-P88)))</f>
        <v>0</v>
      </c>
      <c r="Q89" s="2080"/>
      <c r="R89" s="2127">
        <f>IF(V92="No",0,IF(R86-R87-R88&lt;0,0,SUM(R86,-R87,-R88)))</f>
        <v>0</v>
      </c>
      <c r="S89" s="2114"/>
      <c r="T89" s="2113">
        <f>IF(V92="No",0,IF(T86-T87-T88&lt;0,0,SUM(T86,-T87,-T88)))</f>
        <v>0</v>
      </c>
      <c r="U89" s="2114"/>
      <c r="V89" s="2079">
        <f>IF(V92="No",0,IF(V86-V87-V88&lt;0,0,SUM(V86,-V87,-V88)))</f>
        <v>0</v>
      </c>
      <c r="W89" s="2080"/>
      <c r="X89" s="2113">
        <f>IF(AB92="No",0,IF(X86-X87-X88&lt;0,0,SUM(X86,-X87,-X88)))</f>
        <v>0</v>
      </c>
      <c r="Y89" s="2114"/>
      <c r="Z89" s="2113">
        <f>IF(AB92="No",0,IF(Z86-Z87-Z88&lt;0,0,SUM(Z86,-Z87,-Z88)))</f>
        <v>0</v>
      </c>
      <c r="AA89" s="2114"/>
      <c r="AB89" s="2079">
        <f>IF(AB92="No",0,IF(AB86-AB87-AB88&lt;0,0,SUM(AB86,-AB87,-AB88)))</f>
        <v>0</v>
      </c>
      <c r="AC89" s="2080"/>
    </row>
    <row r="90" spans="1:29" ht="15.45">
      <c r="A90" s="1177" t="s">
        <v>929</v>
      </c>
      <c r="B90" s="273"/>
      <c r="C90" s="273"/>
      <c r="D90" s="273"/>
      <c r="E90" s="1176"/>
      <c r="F90" s="1166"/>
      <c r="G90" s="1167"/>
      <c r="H90" s="1167"/>
      <c r="I90" s="1167"/>
      <c r="J90" s="1167"/>
      <c r="K90" s="1168"/>
      <c r="L90" s="2131">
        <f>IF(P92="No",0,IF((L86-L87-L88)&lt;0,(L86-L87-L88)*-1,0))</f>
        <v>0</v>
      </c>
      <c r="M90" s="2131"/>
      <c r="N90" s="2131">
        <f>IF(R92="No",0,IF((N86-N87-N88)&lt;0,(N86-N87-N88)*-1,0))</f>
        <v>0</v>
      </c>
      <c r="O90" s="2131"/>
      <c r="P90" s="2131">
        <f>IF(T92="No",0,IF((P86-P87-P88)&lt;0,(P86-P87-P88)*-1,0))</f>
        <v>0</v>
      </c>
      <c r="Q90" s="2132"/>
      <c r="R90" s="2078">
        <f>IF(V92="No",0,IF((R86-R87-R88)&lt;0,(R86-R87-R88)*-1,0))</f>
        <v>0</v>
      </c>
      <c r="S90" s="2131"/>
      <c r="T90" s="2131">
        <f>IF(V92="No",0,IF((T86-T87-T88)&lt;0,(T86-T87-T88)*-1,0))</f>
        <v>0</v>
      </c>
      <c r="U90" s="2131"/>
      <c r="V90" s="2131">
        <f>IF(V92="No",0,IF((V86-V87-V88)&lt;0,(V86-V87-V88)*-1,0))</f>
        <v>0</v>
      </c>
      <c r="W90" s="2132"/>
      <c r="X90" s="2134">
        <f>IF(AB92="No",0,IF((X86-X87-X88)&lt;0,(X86-X87-X88)*-1,0))</f>
        <v>0</v>
      </c>
      <c r="Y90" s="2131"/>
      <c r="Z90" s="2131">
        <f>IF(AB92="No",0,IF((Z86-Z87-Z88)&lt;0,(Z86-Z87-Z88)*-1,0))</f>
        <v>0</v>
      </c>
      <c r="AA90" s="2131"/>
      <c r="AB90" s="2131">
        <f>IF(AB92="No",0,IF((AB86-AB87-AB88)&lt;0,(AB86-AB87-AB88)*-1,0))</f>
        <v>0</v>
      </c>
      <c r="AC90" s="2132"/>
    </row>
    <row r="91" spans="1:29" ht="16.100000000000001" thickBot="1">
      <c r="A91" s="505" t="s">
        <v>991</v>
      </c>
      <c r="B91" s="506"/>
      <c r="C91" s="506"/>
      <c r="D91" s="506"/>
      <c r="E91" s="291"/>
      <c r="F91" s="2073">
        <v>0</v>
      </c>
      <c r="G91" s="2074"/>
      <c r="H91" s="2075">
        <v>0</v>
      </c>
      <c r="I91" s="2074"/>
      <c r="J91" s="2101">
        <v>0</v>
      </c>
      <c r="K91" s="2102"/>
      <c r="L91" s="292"/>
      <c r="M91" s="293"/>
      <c r="N91" s="292"/>
      <c r="O91" s="293"/>
      <c r="P91" s="294"/>
      <c r="Q91" s="295"/>
      <c r="R91" s="296"/>
      <c r="S91" s="293"/>
      <c r="T91" s="292"/>
      <c r="U91" s="293"/>
      <c r="V91" s="292"/>
      <c r="W91" s="297"/>
      <c r="X91" s="296"/>
      <c r="Y91" s="293"/>
      <c r="Z91" s="292"/>
      <c r="AA91" s="293"/>
      <c r="AB91" s="292"/>
      <c r="AC91" s="297"/>
    </row>
    <row r="92" spans="1:29" ht="16.100000000000001" thickBot="1">
      <c r="A92" s="290" t="s">
        <v>992</v>
      </c>
      <c r="B92" s="21"/>
      <c r="C92" s="21"/>
      <c r="D92" s="21"/>
      <c r="F92" s="2096">
        <v>0</v>
      </c>
      <c r="G92" s="2097"/>
      <c r="H92" s="2098">
        <v>0</v>
      </c>
      <c r="I92" s="2097"/>
      <c r="J92" s="2103">
        <v>0</v>
      </c>
      <c r="K92" s="2104"/>
      <c r="L92" s="2093" t="s">
        <v>417</v>
      </c>
      <c r="M92" s="2094"/>
      <c r="N92" s="2094"/>
      <c r="O92" s="2095"/>
      <c r="P92" s="2106" t="str">
        <f>P74</f>
        <v>Yes</v>
      </c>
      <c r="Q92" s="2107"/>
      <c r="R92" s="2093" t="s">
        <v>417</v>
      </c>
      <c r="S92" s="2094"/>
      <c r="T92" s="2094"/>
      <c r="U92" s="2095"/>
      <c r="V92" s="2106" t="str">
        <f>V74</f>
        <v>No</v>
      </c>
      <c r="W92" s="2107"/>
      <c r="X92" s="2093" t="s">
        <v>417</v>
      </c>
      <c r="Y92" s="2094"/>
      <c r="Z92" s="2094"/>
      <c r="AA92" s="2095"/>
      <c r="AB92" s="2106" t="str">
        <f>AB74</f>
        <v>No</v>
      </c>
      <c r="AC92" s="2107"/>
    </row>
    <row r="93" spans="1:29" ht="13.75" thickBot="1">
      <c r="L93" s="2093" t="s">
        <v>419</v>
      </c>
      <c r="M93" s="2094"/>
      <c r="N93" s="2094"/>
      <c r="O93" s="2094"/>
      <c r="P93" s="2094"/>
      <c r="Q93" s="2095"/>
      <c r="R93" s="2106" t="str">
        <f>R75</f>
        <v>No</v>
      </c>
      <c r="S93" s="2107"/>
      <c r="T93" s="2093" t="s">
        <v>420</v>
      </c>
      <c r="U93" s="2095"/>
      <c r="V93" s="2121">
        <v>0</v>
      </c>
      <c r="W93" s="2122"/>
    </row>
    <row r="94" spans="1:29" ht="13.5" thickBot="1">
      <c r="L94" s="2093" t="s">
        <v>421</v>
      </c>
      <c r="M94" s="2094"/>
      <c r="N94" s="2094"/>
      <c r="O94" s="2094"/>
      <c r="P94" s="2094"/>
      <c r="Q94" s="2095"/>
      <c r="R94" s="2119">
        <v>0</v>
      </c>
      <c r="S94" s="2120"/>
      <c r="T94" s="2123" t="s">
        <v>422</v>
      </c>
      <c r="U94" s="2124"/>
      <c r="V94" s="2125">
        <v>0</v>
      </c>
      <c r="W94" s="2126"/>
    </row>
    <row r="95" spans="1:29" ht="13.75" thickBot="1">
      <c r="L95" s="2093" t="s">
        <v>921</v>
      </c>
      <c r="M95" s="2094"/>
      <c r="N95" s="2094"/>
      <c r="O95" s="2094"/>
      <c r="P95" s="2094"/>
      <c r="Q95" s="2095"/>
      <c r="R95" s="2106" t="str">
        <f>R77</f>
        <v>No</v>
      </c>
      <c r="S95" s="2107"/>
      <c r="T95" s="2093" t="s">
        <v>420</v>
      </c>
      <c r="U95" s="2095"/>
      <c r="V95" s="2121">
        <v>0</v>
      </c>
      <c r="W95" s="2122"/>
    </row>
    <row r="96" spans="1:29" ht="13.5" thickBot="1">
      <c r="L96" s="2093" t="s">
        <v>421</v>
      </c>
      <c r="M96" s="2094"/>
      <c r="N96" s="2094"/>
      <c r="O96" s="2094"/>
      <c r="P96" s="2094"/>
      <c r="Q96" s="2095"/>
      <c r="R96" s="2119">
        <v>0</v>
      </c>
      <c r="S96" s="2120"/>
      <c r="T96" s="2123" t="s">
        <v>422</v>
      </c>
      <c r="U96" s="2124"/>
      <c r="V96" s="2125">
        <v>0</v>
      </c>
      <c r="W96" s="2126"/>
    </row>
    <row r="97" spans="1:29" ht="13.1">
      <c r="A97" s="1644" t="s">
        <v>221</v>
      </c>
      <c r="B97" s="1644"/>
      <c r="C97" s="2130">
        <f>'Cost Control'!J5</f>
        <v>5</v>
      </c>
      <c r="D97" s="2130"/>
      <c r="E97" s="2130"/>
      <c r="F97" s="2130"/>
      <c r="G97" s="2130"/>
      <c r="H97" s="2130"/>
      <c r="I97" s="2130"/>
      <c r="L97" t="str">
        <f>IF(SUM(L89:Q89)=0," ","LTR SUMMARY:")</f>
        <v xml:space="preserve"> </v>
      </c>
      <c r="O97" s="1422">
        <f>SUM(L89:Q89)</f>
        <v>0</v>
      </c>
      <c r="P97" t="str">
        <f>IF(O97=0," ","m³")</f>
        <v xml:space="preserve"> </v>
      </c>
      <c r="R97" t="str">
        <f>IF(SUM(R89:W89)=0," ","LTR SUMMARY:")</f>
        <v xml:space="preserve"> </v>
      </c>
      <c r="U97" s="1422">
        <f>SUM(R89:W89)</f>
        <v>0</v>
      </c>
      <c r="V97" t="str">
        <f>IF(U97=0," ","m³")</f>
        <v xml:space="preserve"> </v>
      </c>
      <c r="X97" t="str">
        <f>IF(SUM(X89:AC89)=0," ","LTR SUMMARY:")</f>
        <v xml:space="preserve"> </v>
      </c>
      <c r="AA97" s="1422">
        <f>SUM(X89:AC89)</f>
        <v>0</v>
      </c>
      <c r="AB97" t="str">
        <f>IF(AA97=0," ","m³")</f>
        <v xml:space="preserve"> </v>
      </c>
    </row>
    <row r="98" spans="1:29" ht="13.5" thickBot="1"/>
    <row r="99" spans="1:29" ht="14.8" thickTop="1">
      <c r="A99" s="274" t="s">
        <v>190</v>
      </c>
      <c r="B99" s="275"/>
      <c r="C99" s="275"/>
      <c r="D99" s="275"/>
      <c r="E99" s="276"/>
      <c r="F99" s="277"/>
      <c r="G99" s="278"/>
      <c r="H99" s="271" t="s">
        <v>191</v>
      </c>
      <c r="I99" s="279"/>
      <c r="J99" s="279"/>
      <c r="K99" s="280"/>
      <c r="L99" s="279" t="str">
        <f>L81</f>
        <v xml:space="preserve">    Cum. to Date </v>
      </c>
      <c r="M99" s="281"/>
      <c r="N99" s="279"/>
      <c r="O99" s="334">
        <f>O81</f>
        <v>0</v>
      </c>
      <c r="P99" s="271"/>
      <c r="Q99" s="282"/>
      <c r="R99" s="283" t="str">
        <f>R81</f>
        <v xml:space="preserve">Cum. to Date </v>
      </c>
      <c r="S99" s="281"/>
      <c r="T99" s="279"/>
      <c r="U99" s="334">
        <f>U81</f>
        <v>0</v>
      </c>
      <c r="V99" s="284"/>
      <c r="W99" s="272"/>
      <c r="X99" s="283" t="str">
        <f>X81</f>
        <v xml:space="preserve">Cum. to Date </v>
      </c>
      <c r="Y99" s="281"/>
      <c r="Z99" s="279"/>
      <c r="AA99" s="334">
        <f>AA81</f>
        <v>0</v>
      </c>
      <c r="AB99" s="284"/>
      <c r="AC99" s="272"/>
    </row>
    <row r="100" spans="1:29" ht="14.8" thickBot="1">
      <c r="A100" s="285" t="s">
        <v>192</v>
      </c>
      <c r="B100" s="286"/>
      <c r="C100" s="286"/>
      <c r="D100" s="286"/>
      <c r="E100" s="287"/>
      <c r="F100" s="2067" t="s">
        <v>193</v>
      </c>
      <c r="G100" s="2068"/>
      <c r="H100" s="2069" t="s">
        <v>194</v>
      </c>
      <c r="I100" s="2070"/>
      <c r="J100" s="2069" t="str">
        <f>J82</f>
        <v>Other (1)</v>
      </c>
      <c r="K100" s="2091"/>
      <c r="L100" s="2092" t="s">
        <v>195</v>
      </c>
      <c r="M100" s="2070"/>
      <c r="N100" s="2069" t="s">
        <v>196</v>
      </c>
      <c r="O100" s="2070"/>
      <c r="P100" s="2069" t="str">
        <f>IF(P110="Yes",J100," ")</f>
        <v>Other (1)</v>
      </c>
      <c r="Q100" s="2091"/>
      <c r="R100" s="2092" t="str">
        <f>R82</f>
        <v>Water</v>
      </c>
      <c r="S100" s="2070"/>
      <c r="T100" s="2069" t="str">
        <f>T82</f>
        <v>Oil</v>
      </c>
      <c r="U100" s="2070"/>
      <c r="V100" s="2082" t="str">
        <f>IF(V110="Yes",J100," ")</f>
        <v xml:space="preserve"> </v>
      </c>
      <c r="W100" s="2083"/>
      <c r="X100" s="2092" t="str">
        <f>X82</f>
        <v>Water</v>
      </c>
      <c r="Y100" s="2070"/>
      <c r="Z100" s="2069" t="str">
        <f>Z82</f>
        <v>Oil</v>
      </c>
      <c r="AA100" s="2070"/>
      <c r="AB100" s="2082" t="str">
        <f>IF(AB110="Yes",J100," ")</f>
        <v xml:space="preserve"> </v>
      </c>
      <c r="AC100" s="2083"/>
    </row>
    <row r="101" spans="1:29" ht="16.100000000000001" thickTop="1">
      <c r="A101" s="288" t="s">
        <v>197</v>
      </c>
      <c r="B101" s="289"/>
      <c r="C101" s="289"/>
      <c r="D101" s="289"/>
      <c r="E101" s="289"/>
      <c r="F101" s="259"/>
      <c r="G101" s="260"/>
      <c r="H101" s="261"/>
      <c r="I101" s="260"/>
      <c r="J101" s="261"/>
      <c r="K101" s="262"/>
      <c r="L101" s="2084">
        <f>L83</f>
        <v>0</v>
      </c>
      <c r="M101" s="2084"/>
      <c r="N101" s="2085">
        <f>N83</f>
        <v>0</v>
      </c>
      <c r="O101" s="2086"/>
      <c r="P101" s="2085">
        <f>P83</f>
        <v>0</v>
      </c>
      <c r="Q101" s="2087"/>
      <c r="R101" s="2115">
        <f>R83</f>
        <v>0</v>
      </c>
      <c r="S101" s="2116"/>
      <c r="T101" s="2117">
        <f>T83</f>
        <v>0</v>
      </c>
      <c r="U101" s="2116"/>
      <c r="V101" s="2117">
        <f>V83</f>
        <v>0</v>
      </c>
      <c r="W101" s="2118"/>
      <c r="X101" s="2115">
        <f>X83</f>
        <v>0</v>
      </c>
      <c r="Y101" s="2116"/>
      <c r="Z101" s="2117">
        <f>Z83</f>
        <v>0</v>
      </c>
      <c r="AA101" s="2116"/>
      <c r="AB101" s="2117">
        <f>AB83</f>
        <v>0</v>
      </c>
      <c r="AC101" s="2118"/>
    </row>
    <row r="102" spans="1:29" ht="15.45">
      <c r="A102" s="288" t="s">
        <v>198</v>
      </c>
      <c r="B102" s="273"/>
      <c r="C102" s="273"/>
      <c r="D102" s="273"/>
      <c r="E102" s="273"/>
      <c r="F102" s="2073">
        <v>0</v>
      </c>
      <c r="G102" s="2074"/>
      <c r="H102" s="2075">
        <v>0</v>
      </c>
      <c r="I102" s="2074"/>
      <c r="J102" s="2075">
        <v>0</v>
      </c>
      <c r="K102" s="2076"/>
      <c r="L102" s="2077">
        <f>IF(P110="No",L84,F102+L84)</f>
        <v>0</v>
      </c>
      <c r="M102" s="2078"/>
      <c r="N102" s="2079">
        <f>IF(P110="No",N84,H102+N84)</f>
        <v>0</v>
      </c>
      <c r="O102" s="2078"/>
      <c r="P102" s="2079">
        <f>IF(P110="No",P84,J102+P84)</f>
        <v>0</v>
      </c>
      <c r="Q102" s="2080"/>
      <c r="R102" s="2081">
        <f>IF(V110="Yes",F102+R84,IF(R112="Water",IF(R111="Yes",V111,0),R84))</f>
        <v>0</v>
      </c>
      <c r="S102" s="2071"/>
      <c r="T102" s="2071">
        <f>IF(V110="Yes",H102+T84,IF(R112="Oil",IF(R111="Yes",V111,0),T84))</f>
        <v>0</v>
      </c>
      <c r="U102" s="2071"/>
      <c r="V102" s="2071">
        <f>IF(V110="Yes",J102+V84,IF(R112=V100,IF(R111="Yes",V111,0),V84))</f>
        <v>0</v>
      </c>
      <c r="W102" s="2072"/>
      <c r="X102" s="2081">
        <f>IF(AB110="Yes",F102+X84,IF(X112="Water",IF(X111="Yes",AB111,0),X84))</f>
        <v>0</v>
      </c>
      <c r="Y102" s="2071"/>
      <c r="Z102" s="2071">
        <f>IF(AB110="Yes",H102+Z84,IF(Z112=Z100,IF(X111="Yes",AB111,0),Z84))</f>
        <v>0</v>
      </c>
      <c r="AA102" s="2071"/>
      <c r="AB102" s="2071">
        <f>IF(AB110="Yes",J102+AB84,IF(AB112=AB100,IF(X111="Yes",AB111,0),AB84))</f>
        <v>0</v>
      </c>
      <c r="AC102" s="2072"/>
    </row>
    <row r="103" spans="1:29" ht="15.45">
      <c r="A103" s="288" t="s">
        <v>199</v>
      </c>
      <c r="B103" s="273"/>
      <c r="C103" s="273"/>
      <c r="D103" s="273"/>
      <c r="E103" s="273"/>
      <c r="F103" s="2073">
        <v>0</v>
      </c>
      <c r="G103" s="2074"/>
      <c r="H103" s="2075">
        <v>0</v>
      </c>
      <c r="I103" s="2074"/>
      <c r="J103" s="2075">
        <v>0</v>
      </c>
      <c r="K103" s="2076"/>
      <c r="L103" s="2077">
        <f>IF(P110="No",L85,F103+L85)</f>
        <v>0</v>
      </c>
      <c r="M103" s="2078"/>
      <c r="N103" s="2079">
        <f>IF(P110="No",N85,H103+N85)</f>
        <v>0</v>
      </c>
      <c r="O103" s="2078"/>
      <c r="P103" s="2079">
        <f>IF(P110="No",P85,J103+P85)</f>
        <v>0</v>
      </c>
      <c r="Q103" s="2080"/>
      <c r="R103" s="2081">
        <f>IF(V110="Yes",R85+F103,R85)</f>
        <v>0</v>
      </c>
      <c r="S103" s="2071"/>
      <c r="T103" s="2071">
        <f>IF(V110="Yes",T85+H103,T85)</f>
        <v>0</v>
      </c>
      <c r="U103" s="2071"/>
      <c r="V103" s="2071">
        <f>IF(V110="Yes",V85+J103,V85)</f>
        <v>0</v>
      </c>
      <c r="W103" s="2072"/>
      <c r="X103" s="2081">
        <f>IF(AB110="Yes",X85+F103,X85)</f>
        <v>0</v>
      </c>
      <c r="Y103" s="2071"/>
      <c r="Z103" s="2071">
        <f>IF(AB110="Yes",Z85+H103,Z85)</f>
        <v>0</v>
      </c>
      <c r="AA103" s="2071"/>
      <c r="AB103" s="2071">
        <f>IF(AB110="Yes",AB85+J103,AB85)</f>
        <v>0</v>
      </c>
      <c r="AC103" s="2072"/>
    </row>
    <row r="104" spans="1:29" ht="15.45">
      <c r="A104" s="288" t="s">
        <v>200</v>
      </c>
      <c r="B104" s="273"/>
      <c r="C104" s="273"/>
      <c r="D104" s="273"/>
      <c r="E104" s="273"/>
      <c r="F104" s="259"/>
      <c r="G104" s="260"/>
      <c r="H104" s="261"/>
      <c r="I104" s="263"/>
      <c r="J104" s="264"/>
      <c r="K104" s="265"/>
      <c r="L104" s="2077">
        <f>L101+L102-L103</f>
        <v>0</v>
      </c>
      <c r="M104" s="2078"/>
      <c r="N104" s="2079">
        <f>SUM(N101,N102,-N103)</f>
        <v>0</v>
      </c>
      <c r="O104" s="2078"/>
      <c r="P104" s="2079">
        <f>SUM(P101,P102,-P103)</f>
        <v>0</v>
      </c>
      <c r="Q104" s="2080"/>
      <c r="R104" s="2081">
        <f>SUM(R101,R102,-R103)</f>
        <v>0</v>
      </c>
      <c r="S104" s="2071"/>
      <c r="T104" s="2071">
        <f>SUM(T101,T102,-T103)</f>
        <v>0</v>
      </c>
      <c r="U104" s="2071"/>
      <c r="V104" s="2071">
        <f>SUM(V101,V102,-V103)</f>
        <v>0</v>
      </c>
      <c r="W104" s="2072"/>
      <c r="X104" s="2081">
        <f>SUM(X101,X102,-X103)</f>
        <v>0</v>
      </c>
      <c r="Y104" s="2071"/>
      <c r="Z104" s="2071">
        <f>SUM(Z101,Z102,-Z103)</f>
        <v>0</v>
      </c>
      <c r="AA104" s="2071"/>
      <c r="AB104" s="2071">
        <f>SUM(AB101,AB102,-AB103)</f>
        <v>0</v>
      </c>
      <c r="AC104" s="2072"/>
    </row>
    <row r="105" spans="1:29" ht="15.45">
      <c r="A105" s="288" t="s">
        <v>201</v>
      </c>
      <c r="B105" s="273"/>
      <c r="C105" s="273"/>
      <c r="D105" s="273"/>
      <c r="E105" s="273"/>
      <c r="F105" s="259"/>
      <c r="G105" s="260"/>
      <c r="H105" s="261"/>
      <c r="I105" s="263"/>
      <c r="J105" s="264"/>
      <c r="K105" s="265"/>
      <c r="L105" s="2073">
        <f>L87</f>
        <v>0</v>
      </c>
      <c r="M105" s="2074"/>
      <c r="N105" s="2075">
        <f>N87</f>
        <v>0</v>
      </c>
      <c r="O105" s="2074"/>
      <c r="P105" s="2075">
        <f>P87</f>
        <v>0</v>
      </c>
      <c r="Q105" s="2076"/>
      <c r="R105" s="2081">
        <f>R87</f>
        <v>0</v>
      </c>
      <c r="S105" s="2071"/>
      <c r="T105" s="2071">
        <f>T87</f>
        <v>0</v>
      </c>
      <c r="U105" s="2071"/>
      <c r="V105" s="2128">
        <f>V87</f>
        <v>0</v>
      </c>
      <c r="W105" s="2129"/>
      <c r="X105" s="2081">
        <f>X87</f>
        <v>0</v>
      </c>
      <c r="Y105" s="2071"/>
      <c r="Z105" s="2071">
        <f>Z87</f>
        <v>0</v>
      </c>
      <c r="AA105" s="2071"/>
      <c r="AB105" s="2128">
        <f>AB87</f>
        <v>0</v>
      </c>
      <c r="AC105" s="2129"/>
    </row>
    <row r="106" spans="1:29" ht="15.45">
      <c r="A106" s="288" t="s">
        <v>202</v>
      </c>
      <c r="B106" s="273"/>
      <c r="C106" s="273"/>
      <c r="D106" s="273"/>
      <c r="E106" s="273"/>
      <c r="F106" s="259"/>
      <c r="G106" s="260"/>
      <c r="H106" s="261"/>
      <c r="I106" s="263"/>
      <c r="J106" s="264"/>
      <c r="K106" s="265"/>
      <c r="L106" s="2077">
        <f>IF(P110="No",L88,L88+F102-F103+F109-F110)</f>
        <v>0</v>
      </c>
      <c r="M106" s="2078"/>
      <c r="N106" s="2079">
        <f>IF(P110="No",N88,N88+H102-H103+H109-H110)</f>
        <v>0</v>
      </c>
      <c r="O106" s="2078"/>
      <c r="P106" s="2079">
        <f>IF(P110="No",P88,P88+J102-J103+J109-J110)</f>
        <v>0</v>
      </c>
      <c r="Q106" s="2080"/>
      <c r="R106" s="2071">
        <f>IF(V110="Yes",R88+F102-F103+F109-F110,IF(P111="Yes",IF(R112=R100,R102-R103-V112,0),R88))</f>
        <v>0</v>
      </c>
      <c r="S106" s="2071"/>
      <c r="T106" s="2071">
        <f>IF(V110="Yes",T88+H102-H103+H109-H110,IF(R111="Yes",IF(R112=T100,T102-T103-V112,0),T88))</f>
        <v>0</v>
      </c>
      <c r="U106" s="2071"/>
      <c r="V106" s="2071">
        <f>IF(V110="Yes",V88+J102-J103+J109-J110,IF(T111="Yes",IF(R112=V100,V102-V103-V112,0),V88))</f>
        <v>0</v>
      </c>
      <c r="W106" s="2072"/>
      <c r="X106" s="2071">
        <f>IF(AB110="Yes",X88+F102-F103+F109-F110,IF(V111="Yes",IF(X112=X100,X102-X103-AB112,0),X88))</f>
        <v>0</v>
      </c>
      <c r="Y106" s="2071"/>
      <c r="Z106" s="2071">
        <f>IF(AB110="Yes",Z88+H102-H103+H109-H110,IF(X111="Yes",IF(X112=Z100,Z102-Z103-AB112,0),Z88))</f>
        <v>0</v>
      </c>
      <c r="AA106" s="2071"/>
      <c r="AB106" s="2071">
        <f>IF(AB110="Yes",AB88+J102-J103+J109-J110,IF(Z111="Yes",IF(X112=AB100,AB102-AB103-AB112,0),AB88))</f>
        <v>0</v>
      </c>
      <c r="AC106" s="2072"/>
    </row>
    <row r="107" spans="1:29" ht="15.45">
      <c r="A107" s="288" t="s">
        <v>203</v>
      </c>
      <c r="B107" s="273"/>
      <c r="C107" s="273"/>
      <c r="D107" s="273"/>
      <c r="E107" s="273"/>
      <c r="F107" s="2110"/>
      <c r="G107" s="2111"/>
      <c r="H107" s="2111"/>
      <c r="I107" s="2111"/>
      <c r="J107" s="2111"/>
      <c r="K107" s="2112"/>
      <c r="L107" s="2113">
        <f>IF(P110="No",0,IF(L104-L105-L106&lt;0,0,SUM(L104,-L105,-L106)))</f>
        <v>0</v>
      </c>
      <c r="M107" s="2114"/>
      <c r="N107" s="2113">
        <f>IF(P110="No",0,IF(N104-N105-N106&lt;0,0,SUM(N104,-N105,-N106)))</f>
        <v>0</v>
      </c>
      <c r="O107" s="2114"/>
      <c r="P107" s="2079">
        <f>IF(P110="No",0,IF(P104-P105-P106&lt;0,0,SUM(P104,-P105,-P106)))</f>
        <v>0</v>
      </c>
      <c r="Q107" s="2080"/>
      <c r="R107" s="2127">
        <f>IF(V110="No",0,IF(R104-R105-R106&lt;0,0,SUM(R104,-R105,-R106)))</f>
        <v>0</v>
      </c>
      <c r="S107" s="2114"/>
      <c r="T107" s="2113">
        <f>IF(V110="No",0,IF(T104-T105-T106&lt;0,0,SUM(T104,-T105,-T106)))</f>
        <v>0</v>
      </c>
      <c r="U107" s="2114"/>
      <c r="V107" s="2079">
        <f>IF(V110="No",0,IF(V104-V105-V106&lt;0,0,SUM(V104,-V105,-V106)))</f>
        <v>0</v>
      </c>
      <c r="W107" s="2080"/>
      <c r="X107" s="2113">
        <f>IF(AB110="No",0,IF(X104-X105-X106&lt;0,0,SUM(X104,-X105,-X106)))</f>
        <v>0</v>
      </c>
      <c r="Y107" s="2114"/>
      <c r="Z107" s="2113">
        <f>IF(AB110="No",0,IF(Z104-Z105-Z106&lt;0,0,SUM(Z104,-Z105,-Z106)))</f>
        <v>0</v>
      </c>
      <c r="AA107" s="2114"/>
      <c r="AB107" s="2079">
        <f>IF(AB110="No",0,IF(AB104-AB105-AB106&lt;0,0,SUM(AB104,-AB105,-AB106)))</f>
        <v>0</v>
      </c>
      <c r="AC107" s="2080"/>
    </row>
    <row r="108" spans="1:29" ht="15.45">
      <c r="A108" s="1177" t="s">
        <v>929</v>
      </c>
      <c r="B108" s="273"/>
      <c r="C108" s="273"/>
      <c r="D108" s="273"/>
      <c r="E108" s="1176"/>
      <c r="F108" s="1166"/>
      <c r="G108" s="1167"/>
      <c r="H108" s="1167"/>
      <c r="I108" s="1167"/>
      <c r="J108" s="1167"/>
      <c r="K108" s="1168"/>
      <c r="L108" s="2131">
        <f>IF(P110="No",0,IF((L104-L105-L106)&lt;0,(L104-L105-L106)*-1,0))</f>
        <v>0</v>
      </c>
      <c r="M108" s="2131"/>
      <c r="N108" s="2131">
        <f>IF(R110="No",0,IF((N104-N105-N106)&lt;0,(N104-N105-N106)*-1,0))</f>
        <v>0</v>
      </c>
      <c r="O108" s="2131"/>
      <c r="P108" s="2131">
        <f>IF(T110="No",0,IF((P104-P105-P106)&lt;0,(P104-P105-P106)*-1,0))</f>
        <v>0</v>
      </c>
      <c r="Q108" s="2132"/>
      <c r="R108" s="2078">
        <f>IF(V110="No",0,IF((R104-R105-R106)&lt;0,(R104-R105-R106)*-1,0))</f>
        <v>0</v>
      </c>
      <c r="S108" s="2131"/>
      <c r="T108" s="2131">
        <f>IF(V110="No",0,IF((T104-T105-T106)&lt;0,(T104-T105-T106)*-1,0))</f>
        <v>0</v>
      </c>
      <c r="U108" s="2131"/>
      <c r="V108" s="2131">
        <f>IF(V110="No",0,IF((V104-V105-V106)&lt;0,(V104-V105-V106)*-1,0))</f>
        <v>0</v>
      </c>
      <c r="W108" s="2132"/>
      <c r="X108" s="2134">
        <f>IF(AB110="No",0,IF((X104-X105-X106)&lt;0,(X104-X105-X106)*-1,0))</f>
        <v>0</v>
      </c>
      <c r="Y108" s="2131"/>
      <c r="Z108" s="2131">
        <f>IF(AB110="No",0,IF((Z104-Z105-Z106)&lt;0,(Z104-Z105-Z106)*-1,0))</f>
        <v>0</v>
      </c>
      <c r="AA108" s="2131"/>
      <c r="AB108" s="2131">
        <f>IF(AB110="No",0,IF((AB104-AB105-AB106)&lt;0,(AB104-AB105-AB106)*-1,0))</f>
        <v>0</v>
      </c>
      <c r="AC108" s="2132"/>
    </row>
    <row r="109" spans="1:29" ht="16.100000000000001" thickBot="1">
      <c r="A109" s="505" t="s">
        <v>991</v>
      </c>
      <c r="B109" s="506"/>
      <c r="C109" s="506"/>
      <c r="D109" s="506"/>
      <c r="E109" s="291"/>
      <c r="F109" s="2073">
        <v>0</v>
      </c>
      <c r="G109" s="2074"/>
      <c r="H109" s="2075">
        <v>0</v>
      </c>
      <c r="I109" s="2074"/>
      <c r="J109" s="2101">
        <v>0</v>
      </c>
      <c r="K109" s="2102"/>
      <c r="L109" s="292"/>
      <c r="M109" s="293"/>
      <c r="N109" s="292"/>
      <c r="O109" s="293"/>
      <c r="P109" s="294"/>
      <c r="Q109" s="295"/>
      <c r="R109" s="296"/>
      <c r="S109" s="293"/>
      <c r="T109" s="292"/>
      <c r="U109" s="293"/>
      <c r="V109" s="292"/>
      <c r="W109" s="297"/>
      <c r="X109" s="296"/>
      <c r="Y109" s="293"/>
      <c r="Z109" s="292"/>
      <c r="AA109" s="293"/>
      <c r="AB109" s="292"/>
      <c r="AC109" s="297"/>
    </row>
    <row r="110" spans="1:29" ht="16.100000000000001" thickBot="1">
      <c r="A110" s="290" t="s">
        <v>992</v>
      </c>
      <c r="B110" s="21"/>
      <c r="C110" s="21"/>
      <c r="D110" s="21"/>
      <c r="F110" s="2096">
        <v>0</v>
      </c>
      <c r="G110" s="2097"/>
      <c r="H110" s="2098">
        <v>0</v>
      </c>
      <c r="I110" s="2097"/>
      <c r="J110" s="2103">
        <v>0</v>
      </c>
      <c r="K110" s="2104"/>
      <c r="L110" s="2093" t="s">
        <v>417</v>
      </c>
      <c r="M110" s="2094"/>
      <c r="N110" s="2094"/>
      <c r="O110" s="2095"/>
      <c r="P110" s="2106" t="str">
        <f>P92</f>
        <v>Yes</v>
      </c>
      <c r="Q110" s="2107"/>
      <c r="R110" s="2093" t="s">
        <v>417</v>
      </c>
      <c r="S110" s="2094"/>
      <c r="T110" s="2094"/>
      <c r="U110" s="2095"/>
      <c r="V110" s="2106" t="str">
        <f>V92</f>
        <v>No</v>
      </c>
      <c r="W110" s="2107"/>
      <c r="X110" s="2093" t="s">
        <v>417</v>
      </c>
      <c r="Y110" s="2094"/>
      <c r="Z110" s="2094"/>
      <c r="AA110" s="2095"/>
      <c r="AB110" s="2106" t="str">
        <f>AB92</f>
        <v>No</v>
      </c>
      <c r="AC110" s="2107"/>
    </row>
    <row r="111" spans="1:29" ht="13.75" thickBot="1">
      <c r="L111" s="2093" t="s">
        <v>419</v>
      </c>
      <c r="M111" s="2094"/>
      <c r="N111" s="2094"/>
      <c r="O111" s="2094"/>
      <c r="P111" s="2094"/>
      <c r="Q111" s="2095"/>
      <c r="R111" s="2106" t="str">
        <f>R93</f>
        <v>No</v>
      </c>
      <c r="S111" s="2107"/>
      <c r="T111" s="2093" t="s">
        <v>420</v>
      </c>
      <c r="U111" s="2095"/>
      <c r="V111" s="2121">
        <v>0</v>
      </c>
      <c r="W111" s="2122"/>
    </row>
    <row r="112" spans="1:29" ht="13.5" thickBot="1">
      <c r="L112" s="2093" t="s">
        <v>421</v>
      </c>
      <c r="M112" s="2094"/>
      <c r="N112" s="2094"/>
      <c r="O112" s="2094"/>
      <c r="P112" s="2094"/>
      <c r="Q112" s="2095"/>
      <c r="R112" s="2119">
        <v>0</v>
      </c>
      <c r="S112" s="2120"/>
      <c r="T112" s="2123" t="s">
        <v>422</v>
      </c>
      <c r="U112" s="2124"/>
      <c r="V112" s="2125">
        <v>0</v>
      </c>
      <c r="W112" s="2126"/>
    </row>
    <row r="113" spans="1:29" ht="13.75" thickBot="1">
      <c r="L113" s="2093" t="s">
        <v>921</v>
      </c>
      <c r="M113" s="2094"/>
      <c r="N113" s="2094"/>
      <c r="O113" s="2094"/>
      <c r="P113" s="2094"/>
      <c r="Q113" s="2095"/>
      <c r="R113" s="2106" t="str">
        <f>R95</f>
        <v>No</v>
      </c>
      <c r="S113" s="2107"/>
      <c r="T113" s="2093" t="s">
        <v>420</v>
      </c>
      <c r="U113" s="2095"/>
      <c r="V113" s="2121">
        <v>0</v>
      </c>
      <c r="W113" s="2122"/>
    </row>
    <row r="114" spans="1:29" ht="13.5" thickBot="1">
      <c r="L114" s="2093" t="s">
        <v>421</v>
      </c>
      <c r="M114" s="2094"/>
      <c r="N114" s="2094"/>
      <c r="O114" s="2094"/>
      <c r="P114" s="2094"/>
      <c r="Q114" s="2095"/>
      <c r="R114" s="2119">
        <v>0</v>
      </c>
      <c r="S114" s="2120"/>
      <c r="T114" s="2123" t="s">
        <v>422</v>
      </c>
      <c r="U114" s="2124"/>
      <c r="V114" s="2125">
        <v>0</v>
      </c>
      <c r="W114" s="2126"/>
    </row>
    <row r="115" spans="1:29" ht="13.1">
      <c r="A115" s="1644" t="s">
        <v>221</v>
      </c>
      <c r="B115" s="1644"/>
      <c r="C115" s="2130">
        <f>'Cost Control'!K5</f>
        <v>6</v>
      </c>
      <c r="D115" s="2130"/>
      <c r="E115" s="2130"/>
      <c r="F115" s="2130"/>
      <c r="G115" s="2130"/>
      <c r="H115" s="2130"/>
      <c r="I115" s="2130"/>
      <c r="L115" t="str">
        <f>IF(SUM(L107:Q107)=0," ","LTR SUMMARY:")</f>
        <v xml:space="preserve"> </v>
      </c>
      <c r="O115" s="1422">
        <f>SUM(L107:Q107)</f>
        <v>0</v>
      </c>
      <c r="P115" t="str">
        <f>IF(O115=0," ","m³")</f>
        <v xml:space="preserve"> </v>
      </c>
      <c r="R115" t="str">
        <f>IF(SUM(R107:W107)=0," ","LTR SUMMARY:")</f>
        <v xml:space="preserve"> </v>
      </c>
      <c r="U115" s="1422">
        <f>SUM(R107:W107)</f>
        <v>0</v>
      </c>
      <c r="V115" t="str">
        <f>IF(U115=0," ","m³")</f>
        <v xml:space="preserve"> </v>
      </c>
      <c r="X115" t="str">
        <f>IF(SUM(X107:AC107)=0," ","LTR SUMMARY:")</f>
        <v xml:space="preserve"> </v>
      </c>
      <c r="AA115" s="1422">
        <f>SUM(X107:AC107)</f>
        <v>0</v>
      </c>
      <c r="AB115" t="str">
        <f>IF(AA115=0," ","m³")</f>
        <v xml:space="preserve"> </v>
      </c>
    </row>
    <row r="116" spans="1:29" ht="13.5" thickBot="1"/>
    <row r="117" spans="1:29" ht="14.8" thickTop="1">
      <c r="A117" s="274" t="s">
        <v>190</v>
      </c>
      <c r="B117" s="275"/>
      <c r="C117" s="275"/>
      <c r="D117" s="275"/>
      <c r="E117" s="276"/>
      <c r="F117" s="277"/>
      <c r="G117" s="278"/>
      <c r="H117" s="271" t="s">
        <v>191</v>
      </c>
      <c r="I117" s="279"/>
      <c r="J117" s="279"/>
      <c r="K117" s="280"/>
      <c r="L117" s="279" t="str">
        <f>L99</f>
        <v xml:space="preserve">    Cum. to Date </v>
      </c>
      <c r="M117" s="281"/>
      <c r="N117" s="279"/>
      <c r="O117" s="334">
        <f>O99</f>
        <v>0</v>
      </c>
      <c r="P117" s="271"/>
      <c r="Q117" s="282"/>
      <c r="R117" s="283" t="str">
        <f>R99</f>
        <v xml:space="preserve">Cum. to Date </v>
      </c>
      <c r="S117" s="281"/>
      <c r="T117" s="279"/>
      <c r="U117" s="334">
        <f>U99</f>
        <v>0</v>
      </c>
      <c r="V117" s="284"/>
      <c r="W117" s="272"/>
      <c r="X117" s="283" t="str">
        <f>X99</f>
        <v xml:space="preserve">Cum. to Date </v>
      </c>
      <c r="Y117" s="281"/>
      <c r="Z117" s="279"/>
      <c r="AA117" s="334">
        <f>AA99</f>
        <v>0</v>
      </c>
      <c r="AB117" s="284"/>
      <c r="AC117" s="272"/>
    </row>
    <row r="118" spans="1:29" ht="14.8" thickBot="1">
      <c r="A118" s="285" t="s">
        <v>192</v>
      </c>
      <c r="B118" s="286"/>
      <c r="C118" s="286"/>
      <c r="D118" s="286"/>
      <c r="E118" s="287"/>
      <c r="F118" s="2067" t="s">
        <v>193</v>
      </c>
      <c r="G118" s="2068"/>
      <c r="H118" s="2069" t="s">
        <v>194</v>
      </c>
      <c r="I118" s="2070"/>
      <c r="J118" s="2069" t="str">
        <f>J100</f>
        <v>Other (1)</v>
      </c>
      <c r="K118" s="2091"/>
      <c r="L118" s="2092" t="s">
        <v>195</v>
      </c>
      <c r="M118" s="2070"/>
      <c r="N118" s="2069" t="s">
        <v>196</v>
      </c>
      <c r="O118" s="2070"/>
      <c r="P118" s="2069" t="str">
        <f>IF(P128="Yes",J118," ")</f>
        <v>Other (1)</v>
      </c>
      <c r="Q118" s="2091"/>
      <c r="R118" s="2092" t="str">
        <f>R100</f>
        <v>Water</v>
      </c>
      <c r="S118" s="2070"/>
      <c r="T118" s="2069" t="str">
        <f>T100</f>
        <v>Oil</v>
      </c>
      <c r="U118" s="2070"/>
      <c r="V118" s="2082" t="str">
        <f>IF(V128="Yes",J118," ")</f>
        <v xml:space="preserve"> </v>
      </c>
      <c r="W118" s="2083"/>
      <c r="X118" s="2092" t="str">
        <f>X100</f>
        <v>Water</v>
      </c>
      <c r="Y118" s="2070"/>
      <c r="Z118" s="2069" t="str">
        <f>Z100</f>
        <v>Oil</v>
      </c>
      <c r="AA118" s="2070"/>
      <c r="AB118" s="2082" t="str">
        <f>IF(AB128="Yes",J118," ")</f>
        <v xml:space="preserve"> </v>
      </c>
      <c r="AC118" s="2083"/>
    </row>
    <row r="119" spans="1:29" ht="16.100000000000001" thickTop="1">
      <c r="A119" s="288" t="s">
        <v>197</v>
      </c>
      <c r="B119" s="289"/>
      <c r="C119" s="289"/>
      <c r="D119" s="289"/>
      <c r="E119" s="289"/>
      <c r="F119" s="259"/>
      <c r="G119" s="260"/>
      <c r="H119" s="261"/>
      <c r="I119" s="260"/>
      <c r="J119" s="261"/>
      <c r="K119" s="262"/>
      <c r="L119" s="2084">
        <f>L101</f>
        <v>0</v>
      </c>
      <c r="M119" s="2084"/>
      <c r="N119" s="2085">
        <f>N101</f>
        <v>0</v>
      </c>
      <c r="O119" s="2086"/>
      <c r="P119" s="2085">
        <f>P101</f>
        <v>0</v>
      </c>
      <c r="Q119" s="2087"/>
      <c r="R119" s="2115">
        <f>R101</f>
        <v>0</v>
      </c>
      <c r="S119" s="2116"/>
      <c r="T119" s="2117">
        <f>T101</f>
        <v>0</v>
      </c>
      <c r="U119" s="2116"/>
      <c r="V119" s="2117">
        <f>V101</f>
        <v>0</v>
      </c>
      <c r="W119" s="2118"/>
      <c r="X119" s="2115">
        <f>X101</f>
        <v>0</v>
      </c>
      <c r="Y119" s="2116"/>
      <c r="Z119" s="2117">
        <f>Z101</f>
        <v>0</v>
      </c>
      <c r="AA119" s="2116"/>
      <c r="AB119" s="2117">
        <f>AB101</f>
        <v>0</v>
      </c>
      <c r="AC119" s="2118"/>
    </row>
    <row r="120" spans="1:29" ht="15.45">
      <c r="A120" s="288" t="s">
        <v>198</v>
      </c>
      <c r="B120" s="273"/>
      <c r="C120" s="273"/>
      <c r="D120" s="273"/>
      <c r="E120" s="273"/>
      <c r="F120" s="2073">
        <v>0</v>
      </c>
      <c r="G120" s="2074"/>
      <c r="H120" s="2075">
        <v>0</v>
      </c>
      <c r="I120" s="2074"/>
      <c r="J120" s="2075">
        <v>0</v>
      </c>
      <c r="K120" s="2076"/>
      <c r="L120" s="2077">
        <f>IF(P128="No",L102,F120+L102)</f>
        <v>0</v>
      </c>
      <c r="M120" s="2078"/>
      <c r="N120" s="2079">
        <f>IF(P128="No",N102,H120+N102)</f>
        <v>0</v>
      </c>
      <c r="O120" s="2078"/>
      <c r="P120" s="2079">
        <f>IF(P128="No",P102,J120+P102)</f>
        <v>0</v>
      </c>
      <c r="Q120" s="2080"/>
      <c r="R120" s="2081">
        <f>IF(V128="Yes",F120+R102,IF(R130="Water",IF(R129="Yes",V129,0),R102))</f>
        <v>0</v>
      </c>
      <c r="S120" s="2071"/>
      <c r="T120" s="2071">
        <f>IF(V128="Yes",H120+T102,IF(T130="Oil",IF(R129="Yes",V129,0),T102))</f>
        <v>0</v>
      </c>
      <c r="U120" s="2071"/>
      <c r="V120" s="2071">
        <f>IF(V128="Yes",J120+V102,IF(V130=V118,IF(R129="Yes",V129,0),V102))</f>
        <v>0</v>
      </c>
      <c r="W120" s="2072"/>
      <c r="X120" s="2081">
        <f>IF(AB128="Yes",F120+X102,IF(X130="Water",IF(X129="Yes",AB129,0),X102))</f>
        <v>0</v>
      </c>
      <c r="Y120" s="2071"/>
      <c r="Z120" s="2071">
        <f>IF(AB128="Yes",H120+Z102,IF(Z130=Z118,IF(X129="Yes",AB129,0),Z102))</f>
        <v>0</v>
      </c>
      <c r="AA120" s="2071"/>
      <c r="AB120" s="2071">
        <f>IF(AB128="Yes",J120+AB102,IF(AB130=AB118,IF(X129="Yes",AB129,0),AB102))</f>
        <v>0</v>
      </c>
      <c r="AC120" s="2072"/>
    </row>
    <row r="121" spans="1:29" ht="15.45">
      <c r="A121" s="288" t="s">
        <v>199</v>
      </c>
      <c r="B121" s="273"/>
      <c r="C121" s="273"/>
      <c r="D121" s="273"/>
      <c r="E121" s="273"/>
      <c r="F121" s="2073">
        <v>0</v>
      </c>
      <c r="G121" s="2074"/>
      <c r="H121" s="2075">
        <v>0</v>
      </c>
      <c r="I121" s="2074"/>
      <c r="J121" s="2075">
        <v>0</v>
      </c>
      <c r="K121" s="2076"/>
      <c r="L121" s="2077">
        <f>IF(P128="No",L103,F121+L103)</f>
        <v>0</v>
      </c>
      <c r="M121" s="2078"/>
      <c r="N121" s="2079">
        <f>IF(P128="No",N103,H121+N103)</f>
        <v>0</v>
      </c>
      <c r="O121" s="2078"/>
      <c r="P121" s="2079">
        <f>IF(P128="No",P103,J121+P103)</f>
        <v>0</v>
      </c>
      <c r="Q121" s="2080"/>
      <c r="R121" s="2081">
        <f>IF(V128="Yes",R103+F121,R103)</f>
        <v>0</v>
      </c>
      <c r="S121" s="2071"/>
      <c r="T121" s="2071">
        <f>IF(V128="Yes",T103+H121,T103)</f>
        <v>0</v>
      </c>
      <c r="U121" s="2071"/>
      <c r="V121" s="2071">
        <f>IF(V128="Yes",V103+J121,V103)</f>
        <v>0</v>
      </c>
      <c r="W121" s="2072"/>
      <c r="X121" s="2081">
        <f>IF(AB128="Yes",X103+F121,X103)</f>
        <v>0</v>
      </c>
      <c r="Y121" s="2071"/>
      <c r="Z121" s="2071">
        <f>IF(AB128="Yes",Z103+H121,Z103)</f>
        <v>0</v>
      </c>
      <c r="AA121" s="2071"/>
      <c r="AB121" s="2071">
        <f>IF(AB128="Yes",AB103+J121,AB103)</f>
        <v>0</v>
      </c>
      <c r="AC121" s="2072"/>
    </row>
    <row r="122" spans="1:29" ht="15.45">
      <c r="A122" s="288" t="s">
        <v>200</v>
      </c>
      <c r="B122" s="273"/>
      <c r="C122" s="273"/>
      <c r="D122" s="273"/>
      <c r="E122" s="273"/>
      <c r="F122" s="259"/>
      <c r="G122" s="260"/>
      <c r="H122" s="261"/>
      <c r="I122" s="263"/>
      <c r="J122" s="264"/>
      <c r="K122" s="265"/>
      <c r="L122" s="2077">
        <f>L119+L120-L121</f>
        <v>0</v>
      </c>
      <c r="M122" s="2078"/>
      <c r="N122" s="2079">
        <f>SUM(N119,N120,-N121)</f>
        <v>0</v>
      </c>
      <c r="O122" s="2078"/>
      <c r="P122" s="2079">
        <f>SUM(P119,P120,-P121)</f>
        <v>0</v>
      </c>
      <c r="Q122" s="2080"/>
      <c r="R122" s="2081">
        <f>SUM(R119,R120,-R121)</f>
        <v>0</v>
      </c>
      <c r="S122" s="2071"/>
      <c r="T122" s="2071">
        <f>SUM(T119,T120,-T121)</f>
        <v>0</v>
      </c>
      <c r="U122" s="2071"/>
      <c r="V122" s="2071">
        <f>SUM(V119,V120,-V121)</f>
        <v>0</v>
      </c>
      <c r="W122" s="2072"/>
      <c r="X122" s="2081">
        <f>SUM(X119,X120,-X121)</f>
        <v>0</v>
      </c>
      <c r="Y122" s="2071"/>
      <c r="Z122" s="2071">
        <f>SUM(Z119,Z120,-Z121)</f>
        <v>0</v>
      </c>
      <c r="AA122" s="2071"/>
      <c r="AB122" s="2071">
        <f>SUM(AB119,AB120,-AB121)</f>
        <v>0</v>
      </c>
      <c r="AC122" s="2072"/>
    </row>
    <row r="123" spans="1:29" ht="15.45">
      <c r="A123" s="288" t="s">
        <v>201</v>
      </c>
      <c r="B123" s="273"/>
      <c r="C123" s="273"/>
      <c r="D123" s="273"/>
      <c r="E123" s="273"/>
      <c r="F123" s="259"/>
      <c r="G123" s="260"/>
      <c r="H123" s="261"/>
      <c r="I123" s="263"/>
      <c r="J123" s="264"/>
      <c r="K123" s="265"/>
      <c r="L123" s="2073">
        <f>L105</f>
        <v>0</v>
      </c>
      <c r="M123" s="2074"/>
      <c r="N123" s="2075">
        <f>N105</f>
        <v>0</v>
      </c>
      <c r="O123" s="2074"/>
      <c r="P123" s="2075">
        <f>P105</f>
        <v>0</v>
      </c>
      <c r="Q123" s="2076"/>
      <c r="R123" s="2081">
        <f>R105</f>
        <v>0</v>
      </c>
      <c r="S123" s="2071"/>
      <c r="T123" s="2071">
        <f>T105</f>
        <v>0</v>
      </c>
      <c r="U123" s="2071"/>
      <c r="V123" s="2128">
        <f>V105</f>
        <v>0</v>
      </c>
      <c r="W123" s="2129"/>
      <c r="X123" s="2081">
        <f>X105</f>
        <v>0</v>
      </c>
      <c r="Y123" s="2071"/>
      <c r="Z123" s="2071">
        <f>Z105</f>
        <v>0</v>
      </c>
      <c r="AA123" s="2071"/>
      <c r="AB123" s="2128">
        <f>AB105</f>
        <v>0</v>
      </c>
      <c r="AC123" s="2129"/>
    </row>
    <row r="124" spans="1:29" ht="15.45">
      <c r="A124" s="288" t="s">
        <v>202</v>
      </c>
      <c r="B124" s="273"/>
      <c r="C124" s="273"/>
      <c r="D124" s="273"/>
      <c r="E124" s="273"/>
      <c r="F124" s="259"/>
      <c r="G124" s="260"/>
      <c r="H124" s="261"/>
      <c r="I124" s="263"/>
      <c r="J124" s="264"/>
      <c r="K124" s="265"/>
      <c r="L124" s="2077">
        <f>IF(P128="No",L106,L106+F120-F121+F127-F128)</f>
        <v>0</v>
      </c>
      <c r="M124" s="2078"/>
      <c r="N124" s="2079">
        <f>IF(P128="No",N106,N106+H120-H121+H127-H128)</f>
        <v>0</v>
      </c>
      <c r="O124" s="2078"/>
      <c r="P124" s="2079">
        <f>IF(P128="No",P106,P106+J120-J121+J127-J128)</f>
        <v>0</v>
      </c>
      <c r="Q124" s="2080"/>
      <c r="R124" s="2071">
        <f>IF(V128="Yes",R106+F120-F121+F127-F128,IF(P129="Yes",IF(R130=R118,R120-R121-V130,0),R106))</f>
        <v>0</v>
      </c>
      <c r="S124" s="2071"/>
      <c r="T124" s="2071">
        <f>IF(V128="Yes",T106+H120-H121+H127-H128,IF(R129="Yes",IF(R130=T118,T120-T121-V130,0),T106))</f>
        <v>0</v>
      </c>
      <c r="U124" s="2071"/>
      <c r="V124" s="2071">
        <f>IF(V128="Yes",V106+J120-J121+J127-J128,IF(T129="Yes",IF(R130=V118,V120-V121-V130,0),V106))</f>
        <v>0</v>
      </c>
      <c r="W124" s="2072"/>
      <c r="X124" s="2071">
        <f>IF(AB128="Yes",X106+F120-F121+F127-F128,IF(V129="Yes",IF(X130=X118,X120-X121-AB130,0),X106))</f>
        <v>0</v>
      </c>
      <c r="Y124" s="2071"/>
      <c r="Z124" s="2071">
        <f>IF(AB128="Yes",Z106+H120-H121+H127-H128,IF(X129="Yes",IF(X130=Z118,Z120-Z121-AB130,0),Z106))</f>
        <v>0</v>
      </c>
      <c r="AA124" s="2071"/>
      <c r="AB124" s="2071">
        <f>IF(AB128="Yes",AB106+J120-J121+J127-J128,IF(Z129="Yes",IF(X130=AB118,AB120-AB121-AB130,0),AB106))</f>
        <v>0</v>
      </c>
      <c r="AC124" s="2072"/>
    </row>
    <row r="125" spans="1:29" ht="15.45">
      <c r="A125" s="288" t="s">
        <v>203</v>
      </c>
      <c r="B125" s="273"/>
      <c r="C125" s="273"/>
      <c r="D125" s="273"/>
      <c r="E125" s="273"/>
      <c r="F125" s="2110"/>
      <c r="G125" s="2111"/>
      <c r="H125" s="2111"/>
      <c r="I125" s="2111"/>
      <c r="J125" s="2111"/>
      <c r="K125" s="2112"/>
      <c r="L125" s="2113">
        <f>IF(P128="No",0,IF(L122-L123-L124&lt;0,0,SUM(L122,-L123,-L124)))</f>
        <v>0</v>
      </c>
      <c r="M125" s="2114"/>
      <c r="N125" s="2113">
        <f>IF(P128="No",0,IF(N122-N123-N124&lt;0,0,SUM(N122,-N123,-N124)))</f>
        <v>0</v>
      </c>
      <c r="O125" s="2114"/>
      <c r="P125" s="2079">
        <f>IF(P128="No",0,IF(P122-P123-P124&lt;0,0,SUM(P122,-P123,-P124)))</f>
        <v>0</v>
      </c>
      <c r="Q125" s="2080"/>
      <c r="R125" s="2127">
        <f>IF(V128="No",0,IF(R122-R123-R124&lt;0,0,SUM(R122,-R123,-R124)))</f>
        <v>0</v>
      </c>
      <c r="S125" s="2114"/>
      <c r="T125" s="2113">
        <f>IF(V128="No",0,IF(T122-T123-T124&lt;0,0,SUM(T122,-T123,-T124)))</f>
        <v>0</v>
      </c>
      <c r="U125" s="2114"/>
      <c r="V125" s="2079">
        <f>IF(V128="No",0,IF(V122-V123-V124&lt;0,0,SUM(V122,-V123,-V124)))</f>
        <v>0</v>
      </c>
      <c r="W125" s="2080"/>
      <c r="X125" s="2113">
        <f>IF(AB128="No",0,IF(X122-X123-X124&lt;0,0,SUM(X122,-X123,-X124)))</f>
        <v>0</v>
      </c>
      <c r="Y125" s="2114"/>
      <c r="Z125" s="2113">
        <f>IF(AB128="No",0,IF(Z122-Z123-Z124&lt;0,0,SUM(Z122,-Z123,-Z124)))</f>
        <v>0</v>
      </c>
      <c r="AA125" s="2114"/>
      <c r="AB125" s="2079">
        <f>IF(AB128="No",0,IF(AB122-AB123-AB124&lt;0,0,SUM(AB122,-AB123,-AB124)))</f>
        <v>0</v>
      </c>
      <c r="AC125" s="2080"/>
    </row>
    <row r="126" spans="1:29" ht="15.45">
      <c r="A126" s="1177" t="s">
        <v>929</v>
      </c>
      <c r="B126" s="273"/>
      <c r="C126" s="273"/>
      <c r="D126" s="273"/>
      <c r="E126" s="1176"/>
      <c r="F126" s="1166"/>
      <c r="G126" s="1167"/>
      <c r="H126" s="1167"/>
      <c r="I126" s="1167"/>
      <c r="J126" s="1167"/>
      <c r="K126" s="1168"/>
      <c r="L126" s="2131">
        <f>IF(P128="No",0,IF((L122-L123-L124)&lt;0,(L122-L123-L124)*-1,0))</f>
        <v>0</v>
      </c>
      <c r="M126" s="2131"/>
      <c r="N126" s="2131">
        <f>IF(R128="No",0,IF((N122-N123-N124)&lt;0,(N122-N123-N124)*-1,0))</f>
        <v>0</v>
      </c>
      <c r="O126" s="2131"/>
      <c r="P126" s="2131">
        <f>IF(T128="No",0,IF((P122-P123-P124)&lt;0,(P122-P123-P124)*-1,0))</f>
        <v>0</v>
      </c>
      <c r="Q126" s="2132"/>
      <c r="R126" s="2078">
        <f>IF(V128="No",0,IF((R122-R123-R124)&lt;0,(R122-R123-R124)*-1,0))</f>
        <v>0</v>
      </c>
      <c r="S126" s="2131"/>
      <c r="T126" s="2131">
        <f>IF(V128="No",0,IF((T122-T123-T124)&lt;0,(T122-T123-T124)*-1,0))</f>
        <v>0</v>
      </c>
      <c r="U126" s="2131"/>
      <c r="V126" s="2131">
        <f>IF(V128="No",0,IF((V122-V123-V124)&lt;0,(V122-V123-V124)*-1,0))</f>
        <v>0</v>
      </c>
      <c r="W126" s="2132"/>
      <c r="X126" s="2134">
        <f>IF(AB128="No",0,IF((X122-X123-X124)&lt;0,(X122-X123-X124)*-1,0))</f>
        <v>0</v>
      </c>
      <c r="Y126" s="2131"/>
      <c r="Z126" s="2131">
        <f>IF(AB128="No",0,IF((Z122-Z123-Z124)&lt;0,(Z122-Z123-Z124)*-1,0))</f>
        <v>0</v>
      </c>
      <c r="AA126" s="2131"/>
      <c r="AB126" s="2131">
        <f>IF(AB128="No",0,IF((AB122-AB123-AB124)&lt;0,(AB122-AB123-AB124)*-1,0))</f>
        <v>0</v>
      </c>
      <c r="AC126" s="2132"/>
    </row>
    <row r="127" spans="1:29" ht="16.100000000000001" thickBot="1">
      <c r="A127" s="505" t="s">
        <v>991</v>
      </c>
      <c r="B127" s="506"/>
      <c r="C127" s="506"/>
      <c r="D127" s="506"/>
      <c r="E127" s="291"/>
      <c r="F127" s="2073">
        <v>0</v>
      </c>
      <c r="G127" s="2074"/>
      <c r="H127" s="2075">
        <v>0</v>
      </c>
      <c r="I127" s="2074"/>
      <c r="J127" s="2101">
        <v>0</v>
      </c>
      <c r="K127" s="2102"/>
      <c r="L127" s="292"/>
      <c r="M127" s="293"/>
      <c r="N127" s="292"/>
      <c r="O127" s="293"/>
      <c r="P127" s="294"/>
      <c r="Q127" s="295"/>
      <c r="R127" s="296"/>
      <c r="S127" s="293"/>
      <c r="T127" s="292"/>
      <c r="U127" s="293"/>
      <c r="V127" s="292"/>
      <c r="W127" s="297"/>
      <c r="X127" s="296"/>
      <c r="Y127" s="293"/>
      <c r="Z127" s="292"/>
      <c r="AA127" s="293"/>
      <c r="AB127" s="292"/>
      <c r="AC127" s="297"/>
    </row>
    <row r="128" spans="1:29" ht="16.100000000000001" thickBot="1">
      <c r="A128" s="290" t="s">
        <v>992</v>
      </c>
      <c r="B128" s="21"/>
      <c r="C128" s="21"/>
      <c r="D128" s="21"/>
      <c r="F128" s="2096">
        <v>0</v>
      </c>
      <c r="G128" s="2097"/>
      <c r="H128" s="2098">
        <v>0</v>
      </c>
      <c r="I128" s="2097"/>
      <c r="J128" s="2103">
        <v>0</v>
      </c>
      <c r="K128" s="2104"/>
      <c r="L128" s="2093" t="s">
        <v>417</v>
      </c>
      <c r="M128" s="2094"/>
      <c r="N128" s="2094"/>
      <c r="O128" s="2095"/>
      <c r="P128" s="2106" t="str">
        <f>P110</f>
        <v>Yes</v>
      </c>
      <c r="Q128" s="2107"/>
      <c r="R128" s="2093" t="s">
        <v>417</v>
      </c>
      <c r="S128" s="2094"/>
      <c r="T128" s="2094"/>
      <c r="U128" s="2095"/>
      <c r="V128" s="2106" t="str">
        <f>V110</f>
        <v>No</v>
      </c>
      <c r="W128" s="2107"/>
      <c r="X128" s="2093" t="s">
        <v>417</v>
      </c>
      <c r="Y128" s="2094"/>
      <c r="Z128" s="2094"/>
      <c r="AA128" s="2095"/>
      <c r="AB128" s="2106" t="str">
        <f>AB110</f>
        <v>No</v>
      </c>
      <c r="AC128" s="2107"/>
    </row>
    <row r="129" spans="1:29" ht="13.75" thickBot="1">
      <c r="L129" s="2093" t="s">
        <v>419</v>
      </c>
      <c r="M129" s="2094"/>
      <c r="N129" s="2094"/>
      <c r="O129" s="2094"/>
      <c r="P129" s="2094"/>
      <c r="Q129" s="2095"/>
      <c r="R129" s="2106" t="str">
        <f>R111</f>
        <v>No</v>
      </c>
      <c r="S129" s="2107"/>
      <c r="T129" s="2093" t="s">
        <v>420</v>
      </c>
      <c r="U129" s="2095"/>
      <c r="V129" s="2121">
        <v>0</v>
      </c>
      <c r="W129" s="2122"/>
    </row>
    <row r="130" spans="1:29" ht="13.5" thickBot="1">
      <c r="L130" s="2093" t="s">
        <v>421</v>
      </c>
      <c r="M130" s="2094"/>
      <c r="N130" s="2094"/>
      <c r="O130" s="2094"/>
      <c r="P130" s="2094"/>
      <c r="Q130" s="2095"/>
      <c r="R130" s="2119">
        <v>0</v>
      </c>
      <c r="S130" s="2120"/>
      <c r="T130" s="2123" t="s">
        <v>422</v>
      </c>
      <c r="U130" s="2124"/>
      <c r="V130" s="2125">
        <v>0</v>
      </c>
      <c r="W130" s="2126"/>
    </row>
    <row r="131" spans="1:29" ht="13.75" thickBot="1">
      <c r="L131" s="2093" t="s">
        <v>921</v>
      </c>
      <c r="M131" s="2094"/>
      <c r="N131" s="2094"/>
      <c r="O131" s="2094"/>
      <c r="P131" s="2094"/>
      <c r="Q131" s="2095"/>
      <c r="R131" s="2106" t="str">
        <f>R113</f>
        <v>No</v>
      </c>
      <c r="S131" s="2107"/>
      <c r="T131" s="2093" t="s">
        <v>420</v>
      </c>
      <c r="U131" s="2095"/>
      <c r="V131" s="2121">
        <v>0</v>
      </c>
      <c r="W131" s="2122"/>
    </row>
    <row r="132" spans="1:29" ht="13.5" thickBot="1">
      <c r="L132" s="2093" t="s">
        <v>421</v>
      </c>
      <c r="M132" s="2094"/>
      <c r="N132" s="2094"/>
      <c r="O132" s="2094"/>
      <c r="P132" s="2094"/>
      <c r="Q132" s="2095"/>
      <c r="R132" s="2119">
        <v>0</v>
      </c>
      <c r="S132" s="2120"/>
      <c r="T132" s="2123" t="s">
        <v>422</v>
      </c>
      <c r="U132" s="2124"/>
      <c r="V132" s="2125">
        <v>0</v>
      </c>
      <c r="W132" s="2126"/>
    </row>
    <row r="133" spans="1:29" ht="13.1">
      <c r="A133" s="1644" t="s">
        <v>221</v>
      </c>
      <c r="B133" s="1644"/>
      <c r="C133" s="2130">
        <f>'Cost Control'!L5</f>
        <v>7</v>
      </c>
      <c r="D133" s="2130"/>
      <c r="E133" s="2130"/>
      <c r="F133" s="2130"/>
      <c r="G133" s="2130"/>
      <c r="H133" s="2130"/>
      <c r="I133" s="2130"/>
      <c r="L133" t="str">
        <f>IF(SUM(L125:Q125)=0," ","LTR SUMMARY:")</f>
        <v xml:space="preserve"> </v>
      </c>
      <c r="O133" s="1422">
        <f>SUM(L125:Q125)</f>
        <v>0</v>
      </c>
      <c r="P133" t="str">
        <f>IF(O133=0," ","m³")</f>
        <v xml:space="preserve"> </v>
      </c>
      <c r="R133" t="str">
        <f>IF(SUM(R125:W125)=0," ","LTR SUMMARY:")</f>
        <v xml:space="preserve"> </v>
      </c>
      <c r="U133" s="1422">
        <f>SUM(R125:W125)</f>
        <v>0</v>
      </c>
      <c r="V133" t="str">
        <f>IF(U133=0," ","m³")</f>
        <v xml:space="preserve"> </v>
      </c>
      <c r="X133" t="str">
        <f>IF(SUM(X125:AC125)=0," ","LTR SUMMARY:")</f>
        <v xml:space="preserve"> </v>
      </c>
      <c r="AA133" s="1422">
        <f>SUM(X125:AC125)</f>
        <v>0</v>
      </c>
      <c r="AB133" t="str">
        <f>IF(AA133=0," ","m³")</f>
        <v xml:space="preserve"> </v>
      </c>
    </row>
    <row r="134" spans="1:29" ht="13.5" thickBot="1"/>
    <row r="135" spans="1:29" ht="14.8" thickTop="1">
      <c r="A135" s="274" t="s">
        <v>190</v>
      </c>
      <c r="B135" s="275"/>
      <c r="C135" s="275"/>
      <c r="D135" s="275"/>
      <c r="E135" s="276"/>
      <c r="F135" s="277"/>
      <c r="G135" s="278"/>
      <c r="H135" s="271" t="s">
        <v>191</v>
      </c>
      <c r="I135" s="279"/>
      <c r="J135" s="279"/>
      <c r="K135" s="280"/>
      <c r="L135" s="279" t="str">
        <f>L117</f>
        <v xml:space="preserve">    Cum. to Date </v>
      </c>
      <c r="M135" s="281"/>
      <c r="N135" s="279"/>
      <c r="O135" s="334">
        <f>O117</f>
        <v>0</v>
      </c>
      <c r="P135" s="271"/>
      <c r="Q135" s="282"/>
      <c r="R135" s="283" t="str">
        <f>R117</f>
        <v xml:space="preserve">Cum. to Date </v>
      </c>
      <c r="S135" s="281"/>
      <c r="T135" s="279"/>
      <c r="U135" s="334">
        <f>U117</f>
        <v>0</v>
      </c>
      <c r="V135" s="284"/>
      <c r="W135" s="272"/>
      <c r="X135" s="283" t="str">
        <f>X117</f>
        <v xml:space="preserve">Cum. to Date </v>
      </c>
      <c r="Y135" s="281"/>
      <c r="Z135" s="279"/>
      <c r="AA135" s="334">
        <f>AA117</f>
        <v>0</v>
      </c>
      <c r="AB135" s="284"/>
      <c r="AC135" s="272"/>
    </row>
    <row r="136" spans="1:29" ht="14.8" thickBot="1">
      <c r="A136" s="285" t="s">
        <v>192</v>
      </c>
      <c r="B136" s="286"/>
      <c r="C136" s="286"/>
      <c r="D136" s="286"/>
      <c r="E136" s="287"/>
      <c r="F136" s="2067" t="s">
        <v>193</v>
      </c>
      <c r="G136" s="2068"/>
      <c r="H136" s="2069" t="s">
        <v>194</v>
      </c>
      <c r="I136" s="2070"/>
      <c r="J136" s="2069" t="str">
        <f>J118</f>
        <v>Other (1)</v>
      </c>
      <c r="K136" s="2091"/>
      <c r="L136" s="2092" t="s">
        <v>195</v>
      </c>
      <c r="M136" s="2070"/>
      <c r="N136" s="2069" t="s">
        <v>196</v>
      </c>
      <c r="O136" s="2070"/>
      <c r="P136" s="2069" t="str">
        <f>IF(P146="Yes",J136," ")</f>
        <v>Other (1)</v>
      </c>
      <c r="Q136" s="2091"/>
      <c r="R136" s="2092" t="str">
        <f>R118</f>
        <v>Water</v>
      </c>
      <c r="S136" s="2070"/>
      <c r="T136" s="2069" t="str">
        <f>T118</f>
        <v>Oil</v>
      </c>
      <c r="U136" s="2070"/>
      <c r="V136" s="2082" t="str">
        <f>IF(V146="Yes",J136," ")</f>
        <v xml:space="preserve"> </v>
      </c>
      <c r="W136" s="2083"/>
      <c r="X136" s="2092" t="str">
        <f>X118</f>
        <v>Water</v>
      </c>
      <c r="Y136" s="2070"/>
      <c r="Z136" s="2069" t="str">
        <f>Z118</f>
        <v>Oil</v>
      </c>
      <c r="AA136" s="2070"/>
      <c r="AB136" s="2082" t="str">
        <f>IF(AB146="Yes",J136," ")</f>
        <v xml:space="preserve"> </v>
      </c>
      <c r="AC136" s="2083"/>
    </row>
    <row r="137" spans="1:29" ht="16.100000000000001" thickTop="1">
      <c r="A137" s="288" t="s">
        <v>197</v>
      </c>
      <c r="B137" s="289"/>
      <c r="C137" s="289"/>
      <c r="D137" s="289"/>
      <c r="E137" s="289"/>
      <c r="F137" s="259"/>
      <c r="G137" s="260"/>
      <c r="H137" s="261"/>
      <c r="I137" s="260"/>
      <c r="J137" s="261"/>
      <c r="K137" s="262"/>
      <c r="L137" s="2084">
        <f>L119</f>
        <v>0</v>
      </c>
      <c r="M137" s="2084"/>
      <c r="N137" s="2085">
        <f>N119</f>
        <v>0</v>
      </c>
      <c r="O137" s="2086"/>
      <c r="P137" s="2085">
        <f>P119</f>
        <v>0</v>
      </c>
      <c r="Q137" s="2087"/>
      <c r="R137" s="2115">
        <f>R119</f>
        <v>0</v>
      </c>
      <c r="S137" s="2116"/>
      <c r="T137" s="2117">
        <f>T119</f>
        <v>0</v>
      </c>
      <c r="U137" s="2116"/>
      <c r="V137" s="2117">
        <f>V119</f>
        <v>0</v>
      </c>
      <c r="W137" s="2118"/>
      <c r="X137" s="2115">
        <f>X119</f>
        <v>0</v>
      </c>
      <c r="Y137" s="2116"/>
      <c r="Z137" s="2117">
        <f>Z119</f>
        <v>0</v>
      </c>
      <c r="AA137" s="2116"/>
      <c r="AB137" s="2117">
        <f>AB119</f>
        <v>0</v>
      </c>
      <c r="AC137" s="2118"/>
    </row>
    <row r="138" spans="1:29" ht="15.45">
      <c r="A138" s="288" t="s">
        <v>198</v>
      </c>
      <c r="B138" s="273"/>
      <c r="C138" s="273"/>
      <c r="D138" s="273"/>
      <c r="E138" s="273"/>
      <c r="F138" s="2073">
        <v>0</v>
      </c>
      <c r="G138" s="2074"/>
      <c r="H138" s="2075">
        <v>0</v>
      </c>
      <c r="I138" s="2074"/>
      <c r="J138" s="2075">
        <v>0</v>
      </c>
      <c r="K138" s="2076"/>
      <c r="L138" s="2077">
        <f>IF(P146="No",L120,F138+L120)</f>
        <v>0</v>
      </c>
      <c r="M138" s="2078"/>
      <c r="N138" s="2079">
        <f>IF(P146="No",N120,H138+N120)</f>
        <v>0</v>
      </c>
      <c r="O138" s="2078"/>
      <c r="P138" s="2079">
        <f>IF(P146="No",P120,J138+P120)</f>
        <v>0</v>
      </c>
      <c r="Q138" s="2080"/>
      <c r="R138" s="2081">
        <f>IF(V146="Yes",F138+R120,IF(R148="Water",IF(R147="Yes",V147,0),R120))</f>
        <v>0</v>
      </c>
      <c r="S138" s="2071"/>
      <c r="T138" s="2071">
        <f>IF(V146="Yes",H138+T120,IF(T148="Oil",IF(R147="Yes",V147,0),T120))</f>
        <v>0</v>
      </c>
      <c r="U138" s="2071"/>
      <c r="V138" s="2071">
        <f>IF(V146="Yes",J138+V120,IF(V148=V129,IF(R147="Yes",V147,0),V120))</f>
        <v>0</v>
      </c>
      <c r="W138" s="2072"/>
      <c r="X138" s="2081">
        <f>IF(AB146="Yes",F138+X120,IF(X148="Water",IF(X147="Yes",AB147,0),X120))</f>
        <v>0</v>
      </c>
      <c r="Y138" s="2071"/>
      <c r="Z138" s="2071">
        <f>IF(AB146="Yes",H138+Z120,IF(Z148=Z136,IF(X147="Yes",AB147,0),Z120))</f>
        <v>0</v>
      </c>
      <c r="AA138" s="2071"/>
      <c r="AB138" s="2071">
        <f>IF(AB146="Yes",J138+AB120,IF(AB148=AB136,IF(X147="Yes",AB147,0),AB120))</f>
        <v>0</v>
      </c>
      <c r="AC138" s="2072"/>
    </row>
    <row r="139" spans="1:29" ht="15.45">
      <c r="A139" s="288" t="s">
        <v>199</v>
      </c>
      <c r="B139" s="273"/>
      <c r="C139" s="273"/>
      <c r="D139" s="273"/>
      <c r="E139" s="273"/>
      <c r="F139" s="2073">
        <v>0</v>
      </c>
      <c r="G139" s="2074"/>
      <c r="H139" s="2075">
        <v>0</v>
      </c>
      <c r="I139" s="2074"/>
      <c r="J139" s="2075">
        <v>0</v>
      </c>
      <c r="K139" s="2076"/>
      <c r="L139" s="2077">
        <f>IF(P146="No",L121,F139+L121)</f>
        <v>0</v>
      </c>
      <c r="M139" s="2078"/>
      <c r="N139" s="2079">
        <f>IF(P146="No",N121,H139+N121)</f>
        <v>0</v>
      </c>
      <c r="O139" s="2078"/>
      <c r="P139" s="2079">
        <f>IF(P146="No",P121,J139+P121)</f>
        <v>0</v>
      </c>
      <c r="Q139" s="2080"/>
      <c r="R139" s="2081">
        <f>IF(V146="Yes",R121+F139,R121)</f>
        <v>0</v>
      </c>
      <c r="S139" s="2071"/>
      <c r="T139" s="2071">
        <f>IF(V146="Yes",T121+H139,T121)</f>
        <v>0</v>
      </c>
      <c r="U139" s="2071"/>
      <c r="V139" s="2071">
        <f>IF(V146="Yes",V121+J139,V121)</f>
        <v>0</v>
      </c>
      <c r="W139" s="2072"/>
      <c r="X139" s="2081">
        <f>IF(AB146="Yes",X121+F139,X121)</f>
        <v>0</v>
      </c>
      <c r="Y139" s="2071"/>
      <c r="Z139" s="2071">
        <f>IF(AB146="Yes",Z121+H139,Z121)</f>
        <v>0</v>
      </c>
      <c r="AA139" s="2071"/>
      <c r="AB139" s="2071">
        <f>IF(AB146="Yes",AB121+J139,AB121)</f>
        <v>0</v>
      </c>
      <c r="AC139" s="2072"/>
    </row>
    <row r="140" spans="1:29" ht="15.45">
      <c r="A140" s="288" t="s">
        <v>200</v>
      </c>
      <c r="B140" s="273"/>
      <c r="C140" s="273"/>
      <c r="D140" s="273"/>
      <c r="E140" s="273"/>
      <c r="F140" s="259"/>
      <c r="G140" s="260"/>
      <c r="H140" s="261"/>
      <c r="I140" s="263"/>
      <c r="J140" s="264"/>
      <c r="K140" s="265"/>
      <c r="L140" s="2077">
        <f>L137+L138-L139</f>
        <v>0</v>
      </c>
      <c r="M140" s="2078"/>
      <c r="N140" s="2079">
        <f>SUM(N137,N138,-N139)</f>
        <v>0</v>
      </c>
      <c r="O140" s="2078"/>
      <c r="P140" s="2079">
        <f>SUM(P137,P138,-P139)</f>
        <v>0</v>
      </c>
      <c r="Q140" s="2080"/>
      <c r="R140" s="2081">
        <f>SUM(R137,R138,-R139)</f>
        <v>0</v>
      </c>
      <c r="S140" s="2071"/>
      <c r="T140" s="2071">
        <f>SUM(T137,T138,-T139)</f>
        <v>0</v>
      </c>
      <c r="U140" s="2071"/>
      <c r="V140" s="2071">
        <f>SUM(V137,V138,-V139)</f>
        <v>0</v>
      </c>
      <c r="W140" s="2072"/>
      <c r="X140" s="2081">
        <f>SUM(X137,X138,-X139)</f>
        <v>0</v>
      </c>
      <c r="Y140" s="2071"/>
      <c r="Z140" s="2071">
        <f>SUM(Z137,Z138,-Z139)</f>
        <v>0</v>
      </c>
      <c r="AA140" s="2071"/>
      <c r="AB140" s="2071">
        <f>SUM(AB137,AB138,-AB139)</f>
        <v>0</v>
      </c>
      <c r="AC140" s="2072"/>
    </row>
    <row r="141" spans="1:29" ht="15.45">
      <c r="A141" s="288" t="s">
        <v>201</v>
      </c>
      <c r="B141" s="273"/>
      <c r="C141" s="273"/>
      <c r="D141" s="273"/>
      <c r="E141" s="273"/>
      <c r="F141" s="259"/>
      <c r="G141" s="260"/>
      <c r="H141" s="261"/>
      <c r="I141" s="263"/>
      <c r="J141" s="264"/>
      <c r="K141" s="265"/>
      <c r="L141" s="2073">
        <f>L123</f>
        <v>0</v>
      </c>
      <c r="M141" s="2074"/>
      <c r="N141" s="2075">
        <f>N123</f>
        <v>0</v>
      </c>
      <c r="O141" s="2074"/>
      <c r="P141" s="2075">
        <f>P123</f>
        <v>0</v>
      </c>
      <c r="Q141" s="2076"/>
      <c r="R141" s="2081">
        <f>R123</f>
        <v>0</v>
      </c>
      <c r="S141" s="2071"/>
      <c r="T141" s="2071">
        <f>T123</f>
        <v>0</v>
      </c>
      <c r="U141" s="2071"/>
      <c r="V141" s="2128">
        <f>V123</f>
        <v>0</v>
      </c>
      <c r="W141" s="2129"/>
      <c r="X141" s="2081">
        <f>X123</f>
        <v>0</v>
      </c>
      <c r="Y141" s="2071"/>
      <c r="Z141" s="2071">
        <f>Z123</f>
        <v>0</v>
      </c>
      <c r="AA141" s="2071"/>
      <c r="AB141" s="2128">
        <f>AB123</f>
        <v>0</v>
      </c>
      <c r="AC141" s="2129"/>
    </row>
    <row r="142" spans="1:29" ht="15.45">
      <c r="A142" s="288" t="s">
        <v>202</v>
      </c>
      <c r="B142" s="273"/>
      <c r="C142" s="273"/>
      <c r="D142" s="273"/>
      <c r="E142" s="273"/>
      <c r="F142" s="259"/>
      <c r="G142" s="260"/>
      <c r="H142" s="261"/>
      <c r="I142" s="263"/>
      <c r="J142" s="264"/>
      <c r="K142" s="265"/>
      <c r="L142" s="2077">
        <f>IF(P146="No",L124,L124+F138-F139+F145-F146)</f>
        <v>0</v>
      </c>
      <c r="M142" s="2078"/>
      <c r="N142" s="2079">
        <f>IF(P146="No",N124,N124+H138-H139+H145-H146)</f>
        <v>0</v>
      </c>
      <c r="O142" s="2078"/>
      <c r="P142" s="2079">
        <f>IF(P146="No",P124,P124+J138-J139+J145-J146)</f>
        <v>0</v>
      </c>
      <c r="Q142" s="2080"/>
      <c r="R142" s="2071">
        <f>IF(V146="Yes",R124+F138-F139+F145-F146,IF(P147="Yes",IF(R148=R136,R138-R139-V148,0),R124))</f>
        <v>0</v>
      </c>
      <c r="S142" s="2071"/>
      <c r="T142" s="2071">
        <f>IF(V146="Yes",T124+H138-H139+H145-H146,IF(R147="Yes",IF(R148=T136,T138-T139-V148,0),T124))</f>
        <v>0</v>
      </c>
      <c r="U142" s="2071"/>
      <c r="V142" s="2071">
        <f>IF(V146="Yes",V124+J138-J139+J145-J146,IF(T147="Yes",IF(R148=V136,V138-V139-V148,0),V124))</f>
        <v>0</v>
      </c>
      <c r="W142" s="2072"/>
      <c r="X142" s="2071">
        <f>IF(AB146="Yes",X124+F138-F139+F145-F146,IF(V147="Yes",IF(X148=X136,X138-X139-AB148,0),X124))</f>
        <v>0</v>
      </c>
      <c r="Y142" s="2071"/>
      <c r="Z142" s="2071">
        <f>IF(AB146="Yes",Z124+H138-H139+H145-H146,IF(X147="Yes",IF(X148=Z136,Z138-Z139-AB148,0),Z124))</f>
        <v>0</v>
      </c>
      <c r="AA142" s="2071"/>
      <c r="AB142" s="2071">
        <f>IF(AB146="Yes",AB124+J138-J139+J145-J146,IF(Z147="Yes",IF(X148=AB136,AB138-AB139-AB148,0),AB124))</f>
        <v>0</v>
      </c>
      <c r="AC142" s="2072"/>
    </row>
    <row r="143" spans="1:29" ht="15.45">
      <c r="A143" s="288" t="s">
        <v>203</v>
      </c>
      <c r="B143" s="273"/>
      <c r="C143" s="273"/>
      <c r="D143" s="273"/>
      <c r="E143" s="273"/>
      <c r="F143" s="2110"/>
      <c r="G143" s="2111"/>
      <c r="H143" s="2111"/>
      <c r="I143" s="2111"/>
      <c r="J143" s="2111"/>
      <c r="K143" s="2112"/>
      <c r="L143" s="2113">
        <f>IF(P146="No",0,IF(L140-L141-L142&lt;0,0,SUM(L140,-L141,-L142)))</f>
        <v>0</v>
      </c>
      <c r="M143" s="2114"/>
      <c r="N143" s="2113">
        <f>IF(P146="No",0,IF(N140-N141-N142&lt;0,0,SUM(N140,-N141,-N142)))</f>
        <v>0</v>
      </c>
      <c r="O143" s="2114"/>
      <c r="P143" s="2079">
        <f>IF(P146="No",0,IF(P140-P141-P142&lt;0,0,SUM(P140,-P141,-P142)))</f>
        <v>0</v>
      </c>
      <c r="Q143" s="2080"/>
      <c r="R143" s="2127">
        <f>IF(V146="No",0,IF(R140-R141-R142&lt;0,0,SUM(R140,-R141,-R142)))</f>
        <v>0</v>
      </c>
      <c r="S143" s="2114"/>
      <c r="T143" s="2113">
        <f>IF(V146="No",0,IF(T140-T141-T142&lt;0,0,SUM(T140,-T141,-T142)))</f>
        <v>0</v>
      </c>
      <c r="U143" s="2114"/>
      <c r="V143" s="2079">
        <f>IF(V146="No",0,IF(V140-V141-V142&lt;0,0,SUM(V140,-V141,-V142)))</f>
        <v>0</v>
      </c>
      <c r="W143" s="2080"/>
      <c r="X143" s="2113">
        <f>IF(AB146="No",0,IF(X140-X141-X142&lt;0,0,SUM(X140,-X141,-X142)))</f>
        <v>0</v>
      </c>
      <c r="Y143" s="2114"/>
      <c r="Z143" s="2113">
        <f>IF(AB146="No",0,IF(Z140-Z141-Z142&lt;0,0,SUM(Z140,-Z141,-Z142)))</f>
        <v>0</v>
      </c>
      <c r="AA143" s="2114"/>
      <c r="AB143" s="2079">
        <f>IF(AB146="No",0,IF(AB140-AB141-AB142&lt;0,0,SUM(AB140,-AB141,-AB142)))</f>
        <v>0</v>
      </c>
      <c r="AC143" s="2080"/>
    </row>
    <row r="144" spans="1:29" ht="15.45">
      <c r="A144" s="1177" t="s">
        <v>929</v>
      </c>
      <c r="B144" s="273"/>
      <c r="C144" s="273"/>
      <c r="D144" s="273"/>
      <c r="E144" s="1176"/>
      <c r="F144" s="1166"/>
      <c r="G144" s="1167"/>
      <c r="H144" s="1167"/>
      <c r="I144" s="1167"/>
      <c r="J144" s="1167"/>
      <c r="K144" s="1168"/>
      <c r="L144" s="2131">
        <f>IF(P146="No",0,IF((L140-L141-L142)&lt;0,(L140-L141-L142)*-1,0))</f>
        <v>0</v>
      </c>
      <c r="M144" s="2131"/>
      <c r="N144" s="2131">
        <f>IF(R146="No",0,IF((N140-N141-N142)&lt;0,(N140-N141-N142)*-1,0))</f>
        <v>0</v>
      </c>
      <c r="O144" s="2131"/>
      <c r="P144" s="2131">
        <f>IF(T146="No",0,IF((P140-P141-P142)&lt;0,(P140-P141-P142)*-1,0))</f>
        <v>0</v>
      </c>
      <c r="Q144" s="2132"/>
      <c r="R144" s="2078">
        <f>IF(V146="No",0,IF((R140-R141-R142)&lt;0,(R140-R141-R142)*-1,0))</f>
        <v>0</v>
      </c>
      <c r="S144" s="2131"/>
      <c r="T144" s="2131">
        <f>IF(V146="No",0,IF((T140-T141-T142)&lt;0,(T140-T141-T142)*-1,0))</f>
        <v>0</v>
      </c>
      <c r="U144" s="2131"/>
      <c r="V144" s="2131">
        <f>IF(V146="No",0,IF((V140-V141-V142)&lt;0,(V140-V141-V142)*-1,0))</f>
        <v>0</v>
      </c>
      <c r="W144" s="2132"/>
      <c r="X144" s="2134">
        <f>IF(AB146="No",0,IF((X140-X141-X142)&lt;0,(X140-X141-X142)*-1,0))</f>
        <v>0</v>
      </c>
      <c r="Y144" s="2131"/>
      <c r="Z144" s="2131">
        <f>IF(AB146="No",0,IF((Z140-Z141-Z142)&lt;0,(Z140-Z141-Z142)*-1,0))</f>
        <v>0</v>
      </c>
      <c r="AA144" s="2131"/>
      <c r="AB144" s="2131">
        <f>IF(AB146="No",0,IF((AB140-AB141-AB142)&lt;0,(AB140-AB141-AB142)*-1,0))</f>
        <v>0</v>
      </c>
      <c r="AC144" s="2132"/>
    </row>
    <row r="145" spans="1:29" ht="16.100000000000001" thickBot="1">
      <c r="A145" s="505" t="s">
        <v>991</v>
      </c>
      <c r="B145" s="506"/>
      <c r="C145" s="506"/>
      <c r="D145" s="506"/>
      <c r="E145" s="291"/>
      <c r="F145" s="2073">
        <v>0</v>
      </c>
      <c r="G145" s="2074"/>
      <c r="H145" s="2075">
        <v>0</v>
      </c>
      <c r="I145" s="2074"/>
      <c r="J145" s="2101">
        <v>0</v>
      </c>
      <c r="K145" s="2102"/>
      <c r="L145" s="292"/>
      <c r="M145" s="293"/>
      <c r="N145" s="292"/>
      <c r="O145" s="293"/>
      <c r="P145" s="294"/>
      <c r="Q145" s="295"/>
      <c r="R145" s="296"/>
      <c r="S145" s="293"/>
      <c r="T145" s="292"/>
      <c r="U145" s="293"/>
      <c r="V145" s="292"/>
      <c r="W145" s="297"/>
      <c r="X145" s="296"/>
      <c r="Y145" s="293"/>
      <c r="Z145" s="292"/>
      <c r="AA145" s="293"/>
      <c r="AB145" s="292"/>
      <c r="AC145" s="297"/>
    </row>
    <row r="146" spans="1:29" ht="16.100000000000001" thickBot="1">
      <c r="A146" s="290" t="s">
        <v>992</v>
      </c>
      <c r="B146" s="21"/>
      <c r="C146" s="21"/>
      <c r="D146" s="21"/>
      <c r="F146" s="2096">
        <v>0</v>
      </c>
      <c r="G146" s="2097"/>
      <c r="H146" s="2098">
        <v>0</v>
      </c>
      <c r="I146" s="2097"/>
      <c r="J146" s="2103">
        <v>0</v>
      </c>
      <c r="K146" s="2104"/>
      <c r="L146" s="2093" t="s">
        <v>417</v>
      </c>
      <c r="M146" s="2094"/>
      <c r="N146" s="2094"/>
      <c r="O146" s="2095"/>
      <c r="P146" s="2106" t="str">
        <f>P128</f>
        <v>Yes</v>
      </c>
      <c r="Q146" s="2107"/>
      <c r="R146" s="2093" t="s">
        <v>417</v>
      </c>
      <c r="S146" s="2094"/>
      <c r="T146" s="2094"/>
      <c r="U146" s="2095"/>
      <c r="V146" s="2106" t="str">
        <f>V128</f>
        <v>No</v>
      </c>
      <c r="W146" s="2107"/>
      <c r="X146" s="2093" t="s">
        <v>417</v>
      </c>
      <c r="Y146" s="2094"/>
      <c r="Z146" s="2094"/>
      <c r="AA146" s="2095"/>
      <c r="AB146" s="2106" t="str">
        <f>AB128</f>
        <v>No</v>
      </c>
      <c r="AC146" s="2107"/>
    </row>
    <row r="147" spans="1:29" ht="13.75" thickBot="1">
      <c r="L147" s="2093" t="s">
        <v>419</v>
      </c>
      <c r="M147" s="2094"/>
      <c r="N147" s="2094"/>
      <c r="O147" s="2094"/>
      <c r="P147" s="2094"/>
      <c r="Q147" s="2095"/>
      <c r="R147" s="2106" t="str">
        <f>R129</f>
        <v>No</v>
      </c>
      <c r="S147" s="2107"/>
      <c r="T147" s="2093" t="s">
        <v>420</v>
      </c>
      <c r="U147" s="2095"/>
      <c r="V147" s="2121">
        <v>0</v>
      </c>
      <c r="W147" s="2122"/>
    </row>
    <row r="148" spans="1:29" ht="13.5" thickBot="1">
      <c r="L148" s="2093" t="s">
        <v>421</v>
      </c>
      <c r="M148" s="2094"/>
      <c r="N148" s="2094"/>
      <c r="O148" s="2094"/>
      <c r="P148" s="2094"/>
      <c r="Q148" s="2095"/>
      <c r="R148" s="2119">
        <v>0</v>
      </c>
      <c r="S148" s="2120"/>
      <c r="T148" s="2123" t="s">
        <v>422</v>
      </c>
      <c r="U148" s="2124"/>
      <c r="V148" s="2125">
        <v>0</v>
      </c>
      <c r="W148" s="2126"/>
    </row>
    <row r="149" spans="1:29" ht="13.75" thickBot="1">
      <c r="L149" s="2093" t="s">
        <v>921</v>
      </c>
      <c r="M149" s="2094"/>
      <c r="N149" s="2094"/>
      <c r="O149" s="2094"/>
      <c r="P149" s="2094"/>
      <c r="Q149" s="2095"/>
      <c r="R149" s="2106" t="str">
        <f>R131</f>
        <v>No</v>
      </c>
      <c r="S149" s="2107"/>
      <c r="T149" s="2093" t="s">
        <v>420</v>
      </c>
      <c r="U149" s="2095"/>
      <c r="V149" s="2121">
        <v>0</v>
      </c>
      <c r="W149" s="2122"/>
    </row>
    <row r="150" spans="1:29" ht="13.5" thickBot="1">
      <c r="L150" s="2093" t="s">
        <v>421</v>
      </c>
      <c r="M150" s="2094"/>
      <c r="N150" s="2094"/>
      <c r="O150" s="2094"/>
      <c r="P150" s="2094"/>
      <c r="Q150" s="2095"/>
      <c r="R150" s="2119">
        <v>0</v>
      </c>
      <c r="S150" s="2120"/>
      <c r="T150" s="2123" t="s">
        <v>422</v>
      </c>
      <c r="U150" s="2124"/>
      <c r="V150" s="2125">
        <v>0</v>
      </c>
      <c r="W150" s="2126"/>
    </row>
    <row r="151" spans="1:29" ht="13.1">
      <c r="A151" s="1644" t="s">
        <v>221</v>
      </c>
      <c r="B151" s="1644"/>
      <c r="C151" s="2130">
        <f>'Cost Control'!M5</f>
        <v>8</v>
      </c>
      <c r="D151" s="2130"/>
      <c r="E151" s="2130"/>
      <c r="F151" s="2130"/>
      <c r="G151" s="2130"/>
      <c r="H151" s="2130"/>
      <c r="I151" s="2130"/>
      <c r="L151" t="str">
        <f>IF(SUM(L143:Q143)=0," ","LTR SUMMARY:")</f>
        <v xml:space="preserve"> </v>
      </c>
      <c r="O151" s="1422">
        <f>SUM(L143:Q143)</f>
        <v>0</v>
      </c>
      <c r="P151" t="str">
        <f>IF(O151=0," ","m³")</f>
        <v xml:space="preserve"> </v>
      </c>
      <c r="R151" t="str">
        <f>IF(SUM(R143:W143)=0," ","LTR SUMMARY:")</f>
        <v xml:space="preserve"> </v>
      </c>
      <c r="U151" s="1422">
        <f>SUM(R143:W143)</f>
        <v>0</v>
      </c>
      <c r="V151" t="str">
        <f>IF(U151=0," ","m³")</f>
        <v xml:space="preserve"> </v>
      </c>
      <c r="X151" t="str">
        <f>IF(SUM(X143:AC143)=0," ","LTR SUMMARY:")</f>
        <v xml:space="preserve"> </v>
      </c>
      <c r="AA151" s="1422">
        <f>SUM(X143:AC143)</f>
        <v>0</v>
      </c>
      <c r="AB151" t="str">
        <f>IF(AA151=0," ","m³")</f>
        <v xml:space="preserve"> </v>
      </c>
    </row>
    <row r="152" spans="1:29" ht="13.5" thickBot="1"/>
    <row r="153" spans="1:29" ht="14.8" thickTop="1">
      <c r="A153" s="274" t="s">
        <v>190</v>
      </c>
      <c r="B153" s="275"/>
      <c r="C153" s="275"/>
      <c r="D153" s="275"/>
      <c r="E153" s="276"/>
      <c r="F153" s="277"/>
      <c r="G153" s="278"/>
      <c r="H153" s="271" t="s">
        <v>191</v>
      </c>
      <c r="I153" s="279"/>
      <c r="J153" s="279"/>
      <c r="K153" s="280"/>
      <c r="L153" s="279" t="str">
        <f>L135</f>
        <v xml:space="preserve">    Cum. to Date </v>
      </c>
      <c r="M153" s="281"/>
      <c r="N153" s="279"/>
      <c r="O153" s="334">
        <f>O135</f>
        <v>0</v>
      </c>
      <c r="P153" s="271"/>
      <c r="Q153" s="282"/>
      <c r="R153" s="283" t="str">
        <f>R135</f>
        <v xml:space="preserve">Cum. to Date </v>
      </c>
      <c r="S153" s="281"/>
      <c r="T153" s="279"/>
      <c r="U153" s="334">
        <f>U135</f>
        <v>0</v>
      </c>
      <c r="V153" s="284"/>
      <c r="W153" s="272"/>
      <c r="X153" s="283" t="str">
        <f>X135</f>
        <v xml:space="preserve">Cum. to Date </v>
      </c>
      <c r="Y153" s="281"/>
      <c r="Z153" s="279"/>
      <c r="AA153" s="334">
        <f>AA135</f>
        <v>0</v>
      </c>
      <c r="AB153" s="284"/>
      <c r="AC153" s="272"/>
    </row>
    <row r="154" spans="1:29" ht="14.8" thickBot="1">
      <c r="A154" s="285" t="s">
        <v>192</v>
      </c>
      <c r="B154" s="286"/>
      <c r="C154" s="286"/>
      <c r="D154" s="286"/>
      <c r="E154" s="287"/>
      <c r="F154" s="2067" t="s">
        <v>193</v>
      </c>
      <c r="G154" s="2068"/>
      <c r="H154" s="2069" t="s">
        <v>194</v>
      </c>
      <c r="I154" s="2070"/>
      <c r="J154" s="2069" t="str">
        <f>J136</f>
        <v>Other (1)</v>
      </c>
      <c r="K154" s="2091"/>
      <c r="L154" s="2092" t="s">
        <v>195</v>
      </c>
      <c r="M154" s="2070"/>
      <c r="N154" s="2069" t="s">
        <v>196</v>
      </c>
      <c r="O154" s="2070"/>
      <c r="P154" s="2069" t="str">
        <f>IF(P164="Yes",J154," ")</f>
        <v>Other (1)</v>
      </c>
      <c r="Q154" s="2091"/>
      <c r="R154" s="2092" t="str">
        <f>R136</f>
        <v>Water</v>
      </c>
      <c r="S154" s="2070"/>
      <c r="T154" s="2069" t="str">
        <f>T136</f>
        <v>Oil</v>
      </c>
      <c r="U154" s="2070"/>
      <c r="V154" s="2082" t="str">
        <f>IF(V164="Yes",J154," ")</f>
        <v xml:space="preserve"> </v>
      </c>
      <c r="W154" s="2083"/>
      <c r="X154" s="2092" t="str">
        <f>X136</f>
        <v>Water</v>
      </c>
      <c r="Y154" s="2070"/>
      <c r="Z154" s="2069" t="str">
        <f>Z136</f>
        <v>Oil</v>
      </c>
      <c r="AA154" s="2070"/>
      <c r="AB154" s="2082" t="str">
        <f>IF(AB164="Yes",J154," ")</f>
        <v xml:space="preserve"> </v>
      </c>
      <c r="AC154" s="2083"/>
    </row>
    <row r="155" spans="1:29" ht="16.100000000000001" thickTop="1">
      <c r="A155" s="288" t="s">
        <v>197</v>
      </c>
      <c r="B155" s="289"/>
      <c r="C155" s="289"/>
      <c r="D155" s="289"/>
      <c r="E155" s="289"/>
      <c r="F155" s="259"/>
      <c r="G155" s="260"/>
      <c r="H155" s="261"/>
      <c r="I155" s="260"/>
      <c r="J155" s="261"/>
      <c r="K155" s="262"/>
      <c r="L155" s="2084">
        <f>L137</f>
        <v>0</v>
      </c>
      <c r="M155" s="2084"/>
      <c r="N155" s="2085">
        <f>N137</f>
        <v>0</v>
      </c>
      <c r="O155" s="2086"/>
      <c r="P155" s="2085">
        <f>P137</f>
        <v>0</v>
      </c>
      <c r="Q155" s="2087"/>
      <c r="R155" s="2115">
        <f>R137</f>
        <v>0</v>
      </c>
      <c r="S155" s="2116"/>
      <c r="T155" s="2117">
        <f>T137</f>
        <v>0</v>
      </c>
      <c r="U155" s="2116"/>
      <c r="V155" s="2117">
        <f>V137</f>
        <v>0</v>
      </c>
      <c r="W155" s="2118"/>
      <c r="X155" s="2115">
        <f>X137</f>
        <v>0</v>
      </c>
      <c r="Y155" s="2116"/>
      <c r="Z155" s="2117">
        <f>Z137</f>
        <v>0</v>
      </c>
      <c r="AA155" s="2116"/>
      <c r="AB155" s="2117">
        <f>AB137</f>
        <v>0</v>
      </c>
      <c r="AC155" s="2118"/>
    </row>
    <row r="156" spans="1:29" ht="15.45">
      <c r="A156" s="288" t="s">
        <v>198</v>
      </c>
      <c r="B156" s="273"/>
      <c r="C156" s="273"/>
      <c r="D156" s="273"/>
      <c r="E156" s="273"/>
      <c r="F156" s="2073">
        <v>0</v>
      </c>
      <c r="G156" s="2074"/>
      <c r="H156" s="2075">
        <v>0</v>
      </c>
      <c r="I156" s="2074"/>
      <c r="J156" s="2075">
        <v>0</v>
      </c>
      <c r="K156" s="2076"/>
      <c r="L156" s="2077">
        <f>IF(P164="No",L138,F156+L138)</f>
        <v>0</v>
      </c>
      <c r="M156" s="2078"/>
      <c r="N156" s="2079">
        <f>IF(P164="No",N138,H156+N138)</f>
        <v>0</v>
      </c>
      <c r="O156" s="2078"/>
      <c r="P156" s="2079">
        <f>IF(P164="No",P138,J156+P138)</f>
        <v>0</v>
      </c>
      <c r="Q156" s="2080"/>
      <c r="R156" s="2081">
        <f>IF(V164="Yes",F156+R138,IF(R166="Water",IF(R165="Yes",V165,0),R138))</f>
        <v>0</v>
      </c>
      <c r="S156" s="2071"/>
      <c r="T156" s="2071">
        <f>IF(V164="Yes",H156+T138,IF(T166="Oil",IF(R165="Yes",V165,0),T138))</f>
        <v>0</v>
      </c>
      <c r="U156" s="2071"/>
      <c r="V156" s="2071">
        <f>IF(V164="Yes",J156+V138,IF(V166=V154,IF(R165="Yes",V165,0),V138))</f>
        <v>0</v>
      </c>
      <c r="W156" s="2072"/>
      <c r="X156" s="2081">
        <f>IF(AB164="Yes",F156+X138,IF(X166="Water",IF(X165="Yes",AB165,0),X138))</f>
        <v>0</v>
      </c>
      <c r="Y156" s="2071"/>
      <c r="Z156" s="2071">
        <f>IF(AB164="Yes",H156+Z138,IF(Z166=Z154,IF(X165="Yes",AB165,0),Z138))</f>
        <v>0</v>
      </c>
      <c r="AA156" s="2071"/>
      <c r="AB156" s="2071">
        <f>IF(AB164="Yes",J156+AB138,IF(AB166=AB154,IF(X165="Yes",AB165,0),AB138))</f>
        <v>0</v>
      </c>
      <c r="AC156" s="2072"/>
    </row>
    <row r="157" spans="1:29" ht="15.45">
      <c r="A157" s="288" t="s">
        <v>199</v>
      </c>
      <c r="B157" s="273"/>
      <c r="C157" s="273"/>
      <c r="D157" s="273"/>
      <c r="E157" s="273"/>
      <c r="F157" s="2073">
        <v>0</v>
      </c>
      <c r="G157" s="2074"/>
      <c r="H157" s="2075">
        <v>0</v>
      </c>
      <c r="I157" s="2074"/>
      <c r="J157" s="2075">
        <v>0</v>
      </c>
      <c r="K157" s="2076"/>
      <c r="L157" s="2077">
        <f>IF(P164="No",L139,F157+L139)</f>
        <v>0</v>
      </c>
      <c r="M157" s="2078"/>
      <c r="N157" s="2079">
        <f>IF(P164="No",N139,H157+N139)</f>
        <v>0</v>
      </c>
      <c r="O157" s="2078"/>
      <c r="P157" s="2079">
        <f>IF(P164="No",P139,J157+P139)</f>
        <v>0</v>
      </c>
      <c r="Q157" s="2080"/>
      <c r="R157" s="2081">
        <f>IF(V164="Yes",R139+F157,R139)</f>
        <v>0</v>
      </c>
      <c r="S157" s="2071"/>
      <c r="T157" s="2071">
        <f>IF(V164="Yes",T139+H157,T139)</f>
        <v>0</v>
      </c>
      <c r="U157" s="2071"/>
      <c r="V157" s="2071">
        <f>IF(V164="Yes",V139+J157,V139)</f>
        <v>0</v>
      </c>
      <c r="W157" s="2072"/>
      <c r="X157" s="2081">
        <f>IF(AB164="Yes",X139+F157,X139)</f>
        <v>0</v>
      </c>
      <c r="Y157" s="2071"/>
      <c r="Z157" s="2071">
        <f>IF(AB164="Yes",Z139+H157,Z139)</f>
        <v>0</v>
      </c>
      <c r="AA157" s="2071"/>
      <c r="AB157" s="2071">
        <f>IF(AB164="Yes",AB139+J157,AB139)</f>
        <v>0</v>
      </c>
      <c r="AC157" s="2072"/>
    </row>
    <row r="158" spans="1:29" ht="15.45">
      <c r="A158" s="288" t="s">
        <v>200</v>
      </c>
      <c r="B158" s="273"/>
      <c r="C158" s="273"/>
      <c r="D158" s="273"/>
      <c r="E158" s="273"/>
      <c r="F158" s="259"/>
      <c r="G158" s="260"/>
      <c r="H158" s="261"/>
      <c r="I158" s="263"/>
      <c r="J158" s="264"/>
      <c r="K158" s="265"/>
      <c r="L158" s="2077">
        <f>L155+L156-L157</f>
        <v>0</v>
      </c>
      <c r="M158" s="2078"/>
      <c r="N158" s="2079">
        <f>SUM(N155,N156,-N157)</f>
        <v>0</v>
      </c>
      <c r="O158" s="2078"/>
      <c r="P158" s="2079">
        <f>SUM(P155,P156,-P157)</f>
        <v>0</v>
      </c>
      <c r="Q158" s="2080"/>
      <c r="R158" s="2081">
        <f>SUM(R155,R156,-R157)</f>
        <v>0</v>
      </c>
      <c r="S158" s="2071"/>
      <c r="T158" s="2071">
        <f>SUM(T155,T156,-T157)</f>
        <v>0</v>
      </c>
      <c r="U158" s="2071"/>
      <c r="V158" s="2071">
        <f>SUM(V155,V156,-V157)</f>
        <v>0</v>
      </c>
      <c r="W158" s="2072"/>
      <c r="X158" s="2081">
        <f>SUM(X155,X156,-X157)</f>
        <v>0</v>
      </c>
      <c r="Y158" s="2071"/>
      <c r="Z158" s="2071">
        <f>SUM(Z155,Z156,-Z157)</f>
        <v>0</v>
      </c>
      <c r="AA158" s="2071"/>
      <c r="AB158" s="2071">
        <f>SUM(AB155,AB156,-AB157)</f>
        <v>0</v>
      </c>
      <c r="AC158" s="2072"/>
    </row>
    <row r="159" spans="1:29" ht="15.45">
      <c r="A159" s="288" t="s">
        <v>201</v>
      </c>
      <c r="B159" s="273"/>
      <c r="C159" s="273"/>
      <c r="D159" s="273"/>
      <c r="E159" s="273"/>
      <c r="F159" s="259"/>
      <c r="G159" s="260"/>
      <c r="H159" s="261"/>
      <c r="I159" s="263"/>
      <c r="J159" s="264"/>
      <c r="K159" s="265"/>
      <c r="L159" s="2073">
        <f>L141</f>
        <v>0</v>
      </c>
      <c r="M159" s="2074"/>
      <c r="N159" s="2075">
        <f>N141</f>
        <v>0</v>
      </c>
      <c r="O159" s="2074"/>
      <c r="P159" s="2075">
        <f>P141</f>
        <v>0</v>
      </c>
      <c r="Q159" s="2076"/>
      <c r="R159" s="2081">
        <f>R141</f>
        <v>0</v>
      </c>
      <c r="S159" s="2071"/>
      <c r="T159" s="2071">
        <f>T141</f>
        <v>0</v>
      </c>
      <c r="U159" s="2071"/>
      <c r="V159" s="2128">
        <f>V141</f>
        <v>0</v>
      </c>
      <c r="W159" s="2129"/>
      <c r="X159" s="2081">
        <f>X141</f>
        <v>0</v>
      </c>
      <c r="Y159" s="2071"/>
      <c r="Z159" s="2071">
        <f>Z141</f>
        <v>0</v>
      </c>
      <c r="AA159" s="2071"/>
      <c r="AB159" s="2128">
        <f>AB141</f>
        <v>0</v>
      </c>
      <c r="AC159" s="2129"/>
    </row>
    <row r="160" spans="1:29" ht="15.45">
      <c r="A160" s="288" t="s">
        <v>202</v>
      </c>
      <c r="B160" s="273"/>
      <c r="C160" s="273"/>
      <c r="D160" s="273"/>
      <c r="E160" s="273"/>
      <c r="F160" s="259"/>
      <c r="G160" s="260"/>
      <c r="H160" s="261"/>
      <c r="I160" s="263"/>
      <c r="J160" s="264"/>
      <c r="K160" s="265"/>
      <c r="L160" s="2077">
        <f>IF(P164="No",L142,L142+F156-F157+F163-F164)</f>
        <v>0</v>
      </c>
      <c r="M160" s="2078"/>
      <c r="N160" s="2079">
        <f>IF(P164="No",N142,N142+H156-H157+H163-H164)</f>
        <v>0</v>
      </c>
      <c r="O160" s="2078"/>
      <c r="P160" s="2079">
        <f>IF(P164="No",P142,P142+J156-J157+J163-J164)</f>
        <v>0</v>
      </c>
      <c r="Q160" s="2080"/>
      <c r="R160" s="2071">
        <f>IF(V164="Yes",R142+F156-F157+F163-F164,IF(P165="Yes",IF(R166=R154,R156-R157-V166,0),R142))</f>
        <v>0</v>
      </c>
      <c r="S160" s="2071"/>
      <c r="T160" s="2071">
        <f>IF(V164="Yes",T142+H156-H157+H163-H164,IF(R165="Yes",IF(T166=T154,T156-T157-V166,0),T142))</f>
        <v>0</v>
      </c>
      <c r="U160" s="2071"/>
      <c r="V160" s="2071">
        <f>IF(V164="Yes",V142+J156-J157+J163-J164,IF(T165="Yes",IF(R166=V154,V156-V157-V166,0),V142))</f>
        <v>0</v>
      </c>
      <c r="W160" s="2072"/>
      <c r="X160" s="2071">
        <f>IF(AB164="Yes",X142+F156-F157+F163-F164,IF(V165="Yes",IF(X166=X154,X156-X157-AB166,0),X142))</f>
        <v>0</v>
      </c>
      <c r="Y160" s="2071"/>
      <c r="Z160" s="2071">
        <f>IF(AB164="Yes",Z142+H156-H157+H163-H164,IF(X165="Yes",IF(X166=Z154,Z156-Z157-AB166,0),Z142))</f>
        <v>0</v>
      </c>
      <c r="AA160" s="2071"/>
      <c r="AB160" s="2071">
        <f>IF(AB164="Yes",AB142+J156-J157+J163-J164,IF(Z165="Yes",IF(X166=AB154,AB156-AB157-AB166,0),AB142))</f>
        <v>0</v>
      </c>
      <c r="AC160" s="2072"/>
    </row>
    <row r="161" spans="1:29" ht="15.45">
      <c r="A161" s="288" t="s">
        <v>203</v>
      </c>
      <c r="B161" s="273"/>
      <c r="C161" s="273"/>
      <c r="D161" s="273"/>
      <c r="E161" s="273"/>
      <c r="F161" s="2110"/>
      <c r="G161" s="2111"/>
      <c r="H161" s="2111"/>
      <c r="I161" s="2111"/>
      <c r="J161" s="2111"/>
      <c r="K161" s="2112"/>
      <c r="L161" s="2113">
        <f>IF(P164="No",0,IF(L158-L159-L160&lt;0,0,SUM(L158,-L159,-L160)))</f>
        <v>0</v>
      </c>
      <c r="M161" s="2114"/>
      <c r="N161" s="2113">
        <f>IF(P164="No",0,IF(N158-N159-N160&lt;0,0,SUM(N158,-N159,-N160)))</f>
        <v>0</v>
      </c>
      <c r="O161" s="2114"/>
      <c r="P161" s="2079">
        <f>IF(P164="No",0,IF(P158-P159-P160&lt;0,0,SUM(P158,-P159,-P160)))</f>
        <v>0</v>
      </c>
      <c r="Q161" s="2080"/>
      <c r="R161" s="2127">
        <f>IF(V164="No",0,IF(R158-R159-R160&lt;0,0,SUM(R158,-R159,-R160)))</f>
        <v>0</v>
      </c>
      <c r="S161" s="2114"/>
      <c r="T161" s="2113">
        <f>IF(V164="No",0,IF(T158-T159-T160&lt;0,0,SUM(T158,-T159,-T160)))</f>
        <v>0</v>
      </c>
      <c r="U161" s="2114"/>
      <c r="V161" s="2079">
        <f>IF(V164="No",0,IF(V158-V159-V160&lt;0,0,SUM(V158,-V159,-V160)))</f>
        <v>0</v>
      </c>
      <c r="W161" s="2080"/>
      <c r="X161" s="2113">
        <f>IF(AB164="No",0,IF(X158-X159-X160&lt;0,0,SUM(X158,-X159,-X160)))</f>
        <v>0</v>
      </c>
      <c r="Y161" s="2114"/>
      <c r="Z161" s="2113">
        <f>IF(AB164="No",0,IF(Z158-Z159-Z160&lt;0,0,SUM(Z158,-Z159,-Z160)))</f>
        <v>0</v>
      </c>
      <c r="AA161" s="2114"/>
      <c r="AB161" s="2079">
        <f>IF(AB164="No",0,IF(AB158-AB159-AB160&lt;0,0,SUM(AB158,-AB159,-AB160)))</f>
        <v>0</v>
      </c>
      <c r="AC161" s="2080"/>
    </row>
    <row r="162" spans="1:29" ht="15.45">
      <c r="A162" s="1177" t="s">
        <v>929</v>
      </c>
      <c r="B162" s="273"/>
      <c r="C162" s="273"/>
      <c r="D162" s="273"/>
      <c r="E162" s="1176"/>
      <c r="F162" s="1166"/>
      <c r="G162" s="1167"/>
      <c r="H162" s="1167"/>
      <c r="I162" s="1167"/>
      <c r="J162" s="1167"/>
      <c r="K162" s="1168"/>
      <c r="L162" s="2131">
        <f>IF(P164="No",0,IF((L158-L159-L160)&lt;0,(L158-L159-L160)*-1,0))</f>
        <v>0</v>
      </c>
      <c r="M162" s="2131"/>
      <c r="N162" s="2131">
        <f>IF(R164="No",0,IF((N158-N159-N160)&lt;0,(N158-N159-N160)*-1,0))</f>
        <v>0</v>
      </c>
      <c r="O162" s="2131"/>
      <c r="P162" s="2131">
        <f>IF(T164="No",0,IF((P158-P159-P160)&lt;0,(P158-P159-P160)*-1,0))</f>
        <v>0</v>
      </c>
      <c r="Q162" s="2132"/>
      <c r="R162" s="2078">
        <f>IF(V164="No",0,IF((R158-R159-R160)&lt;0,(R158-R159-R160)*-1,0))</f>
        <v>0</v>
      </c>
      <c r="S162" s="2131"/>
      <c r="T162" s="2131">
        <f>IF(V164="No",0,IF((T158-T159-T160)&lt;0,(T158-T159-T160)*-1,0))</f>
        <v>0</v>
      </c>
      <c r="U162" s="2131"/>
      <c r="V162" s="2131">
        <f>IF(V164="No",0,IF((V158-V159-V160)&lt;0,(V158-V159-V160)*-1,0))</f>
        <v>0</v>
      </c>
      <c r="W162" s="2132"/>
      <c r="X162" s="2134">
        <f>IF(AB164="No",0,IF((X158-X159-X160)&lt;0,(X158-X159-X160)*-1,0))</f>
        <v>0</v>
      </c>
      <c r="Y162" s="2131"/>
      <c r="Z162" s="2131">
        <f>IF(AB164="No",0,IF((Z158-Z159-Z160)&lt;0,(Z158-Z159-Z160)*-1,0))</f>
        <v>0</v>
      </c>
      <c r="AA162" s="2131"/>
      <c r="AB162" s="2131">
        <f>IF(AB164="No",0,IF((AB158-AB159-AB160)&lt;0,(AB158-AB159-AB160)*-1,0))</f>
        <v>0</v>
      </c>
      <c r="AC162" s="2132"/>
    </row>
    <row r="163" spans="1:29" ht="16.100000000000001" thickBot="1">
      <c r="A163" s="505" t="s">
        <v>991</v>
      </c>
      <c r="B163" s="506"/>
      <c r="C163" s="506"/>
      <c r="D163" s="506"/>
      <c r="E163" s="291"/>
      <c r="F163" s="2073">
        <v>0</v>
      </c>
      <c r="G163" s="2074"/>
      <c r="H163" s="2075">
        <v>0</v>
      </c>
      <c r="I163" s="2074"/>
      <c r="J163" s="2101">
        <v>0</v>
      </c>
      <c r="K163" s="2102"/>
      <c r="L163" s="292"/>
      <c r="M163" s="293"/>
      <c r="N163" s="292"/>
      <c r="O163" s="293"/>
      <c r="P163" s="294"/>
      <c r="Q163" s="295"/>
      <c r="R163" s="296"/>
      <c r="S163" s="293"/>
      <c r="T163" s="292"/>
      <c r="U163" s="293"/>
      <c r="V163" s="292"/>
      <c r="W163" s="297"/>
      <c r="X163" s="296"/>
      <c r="Y163" s="293"/>
      <c r="Z163" s="292"/>
      <c r="AA163" s="293"/>
      <c r="AB163" s="292"/>
      <c r="AC163" s="297"/>
    </row>
    <row r="164" spans="1:29" ht="16.100000000000001" thickBot="1">
      <c r="A164" s="290" t="s">
        <v>992</v>
      </c>
      <c r="B164" s="21"/>
      <c r="C164" s="21"/>
      <c r="D164" s="21"/>
      <c r="F164" s="2096">
        <v>0</v>
      </c>
      <c r="G164" s="2097"/>
      <c r="H164" s="2098">
        <v>0</v>
      </c>
      <c r="I164" s="2097"/>
      <c r="J164" s="2103">
        <v>0</v>
      </c>
      <c r="K164" s="2104"/>
      <c r="L164" s="2093" t="s">
        <v>417</v>
      </c>
      <c r="M164" s="2094"/>
      <c r="N164" s="2094"/>
      <c r="O164" s="2095"/>
      <c r="P164" s="2106" t="str">
        <f>P146</f>
        <v>Yes</v>
      </c>
      <c r="Q164" s="2107"/>
      <c r="R164" s="2093" t="s">
        <v>417</v>
      </c>
      <c r="S164" s="2094"/>
      <c r="T164" s="2094"/>
      <c r="U164" s="2095"/>
      <c r="V164" s="2106" t="str">
        <f>V146</f>
        <v>No</v>
      </c>
      <c r="W164" s="2107"/>
      <c r="X164" s="2093" t="s">
        <v>417</v>
      </c>
      <c r="Y164" s="2094"/>
      <c r="Z164" s="2094"/>
      <c r="AA164" s="2095"/>
      <c r="AB164" s="2106" t="str">
        <f>AB146</f>
        <v>No</v>
      </c>
      <c r="AC164" s="2107"/>
    </row>
    <row r="165" spans="1:29" ht="13.75" thickBot="1">
      <c r="L165" s="2093" t="s">
        <v>419</v>
      </c>
      <c r="M165" s="2094"/>
      <c r="N165" s="2094"/>
      <c r="O165" s="2094"/>
      <c r="P165" s="2094"/>
      <c r="Q165" s="2095"/>
      <c r="R165" s="2106" t="str">
        <f>R147</f>
        <v>No</v>
      </c>
      <c r="S165" s="2107"/>
      <c r="T165" s="2093" t="s">
        <v>420</v>
      </c>
      <c r="U165" s="2095"/>
      <c r="V165" s="2121">
        <v>0</v>
      </c>
      <c r="W165" s="2122"/>
    </row>
    <row r="166" spans="1:29" ht="13.5" thickBot="1">
      <c r="L166" s="2093" t="s">
        <v>421</v>
      </c>
      <c r="M166" s="2094"/>
      <c r="N166" s="2094"/>
      <c r="O166" s="2094"/>
      <c r="P166" s="2094"/>
      <c r="Q166" s="2095"/>
      <c r="R166" s="2119">
        <v>0</v>
      </c>
      <c r="S166" s="2120"/>
      <c r="T166" s="2123" t="s">
        <v>422</v>
      </c>
      <c r="U166" s="2124"/>
      <c r="V166" s="2125">
        <v>0</v>
      </c>
      <c r="W166" s="2126"/>
    </row>
    <row r="167" spans="1:29" ht="13.75" thickBot="1">
      <c r="L167" s="2093" t="s">
        <v>921</v>
      </c>
      <c r="M167" s="2094"/>
      <c r="N167" s="2094"/>
      <c r="O167" s="2094"/>
      <c r="P167" s="2094"/>
      <c r="Q167" s="2095"/>
      <c r="R167" s="2106" t="str">
        <f>R149</f>
        <v>No</v>
      </c>
      <c r="S167" s="2107"/>
      <c r="T167" s="2093" t="s">
        <v>420</v>
      </c>
      <c r="U167" s="2095"/>
      <c r="V167" s="2121">
        <v>0</v>
      </c>
      <c r="W167" s="2122"/>
    </row>
    <row r="168" spans="1:29" ht="13.5" thickBot="1">
      <c r="L168" s="2093" t="s">
        <v>421</v>
      </c>
      <c r="M168" s="2094"/>
      <c r="N168" s="2094"/>
      <c r="O168" s="2094"/>
      <c r="P168" s="2094"/>
      <c r="Q168" s="2095"/>
      <c r="R168" s="2119">
        <v>0</v>
      </c>
      <c r="S168" s="2120"/>
      <c r="T168" s="2123" t="s">
        <v>422</v>
      </c>
      <c r="U168" s="2124"/>
      <c r="V168" s="2125">
        <v>0</v>
      </c>
      <c r="W168" s="2126"/>
    </row>
    <row r="169" spans="1:29" ht="13.1">
      <c r="A169" s="1644" t="s">
        <v>221</v>
      </c>
      <c r="B169" s="1644"/>
      <c r="C169" s="2130">
        <f>'Cost Control'!N5</f>
        <v>9</v>
      </c>
      <c r="D169" s="2130"/>
      <c r="E169" s="2130"/>
      <c r="F169" s="2130"/>
      <c r="G169" s="2130"/>
      <c r="H169" s="2130"/>
      <c r="I169" s="2130"/>
      <c r="L169" t="str">
        <f>IF(SUM(L161:Q161)=0," ","LTR SUMMARY:")</f>
        <v xml:space="preserve"> </v>
      </c>
      <c r="O169" s="1422">
        <f>SUM(L161:Q161)</f>
        <v>0</v>
      </c>
      <c r="P169" t="str">
        <f>IF(O169=0," ","m³")</f>
        <v xml:space="preserve"> </v>
      </c>
      <c r="R169" t="str">
        <f>IF(SUM(R161:W161)=0," ","LTR SUMMARY:")</f>
        <v xml:space="preserve"> </v>
      </c>
      <c r="U169" s="1422">
        <f>SUM(R161:W161)</f>
        <v>0</v>
      </c>
      <c r="V169" t="str">
        <f>IF(U169=0," ","m³")</f>
        <v xml:space="preserve"> </v>
      </c>
      <c r="X169" t="str">
        <f>IF(SUM(X161:AC161)=0," ","LTR SUMMARY:")</f>
        <v xml:space="preserve"> </v>
      </c>
      <c r="AA169" s="1422">
        <f>SUM(X161:AC161)</f>
        <v>0</v>
      </c>
      <c r="AB169" t="str">
        <f>IF(AA169=0," ","m³")</f>
        <v xml:space="preserve"> </v>
      </c>
    </row>
    <row r="170" spans="1:29" ht="13.5" thickBot="1"/>
    <row r="171" spans="1:29" ht="14.8" thickTop="1">
      <c r="A171" s="274" t="s">
        <v>190</v>
      </c>
      <c r="B171" s="275"/>
      <c r="C171" s="275"/>
      <c r="D171" s="275"/>
      <c r="E171" s="276"/>
      <c r="F171" s="277"/>
      <c r="G171" s="278"/>
      <c r="H171" s="271" t="s">
        <v>191</v>
      </c>
      <c r="I171" s="279"/>
      <c r="J171" s="279"/>
      <c r="K171" s="280"/>
      <c r="L171" s="279" t="str">
        <f>L153</f>
        <v xml:space="preserve">    Cum. to Date </v>
      </c>
      <c r="M171" s="281"/>
      <c r="N171" s="279"/>
      <c r="O171" s="334">
        <f>O153</f>
        <v>0</v>
      </c>
      <c r="P171" s="271"/>
      <c r="Q171" s="282"/>
      <c r="R171" s="283" t="str">
        <f>R153</f>
        <v xml:space="preserve">Cum. to Date </v>
      </c>
      <c r="S171" s="281"/>
      <c r="T171" s="279"/>
      <c r="U171" s="334">
        <f>U153</f>
        <v>0</v>
      </c>
      <c r="V171" s="284"/>
      <c r="W171" s="272"/>
      <c r="X171" s="283" t="str">
        <f>X153</f>
        <v xml:space="preserve">Cum. to Date </v>
      </c>
      <c r="Y171" s="281"/>
      <c r="Z171" s="279"/>
      <c r="AA171" s="334">
        <f>AA153</f>
        <v>0</v>
      </c>
      <c r="AB171" s="284"/>
      <c r="AC171" s="272"/>
    </row>
    <row r="172" spans="1:29" ht="14.8" thickBot="1">
      <c r="A172" s="285" t="s">
        <v>192</v>
      </c>
      <c r="B172" s="286"/>
      <c r="C172" s="286"/>
      <c r="D172" s="286"/>
      <c r="E172" s="287"/>
      <c r="F172" s="2067" t="s">
        <v>193</v>
      </c>
      <c r="G172" s="2068"/>
      <c r="H172" s="2069" t="s">
        <v>194</v>
      </c>
      <c r="I172" s="2070"/>
      <c r="J172" s="2069" t="str">
        <f>J154</f>
        <v>Other (1)</v>
      </c>
      <c r="K172" s="2091"/>
      <c r="L172" s="2092" t="s">
        <v>195</v>
      </c>
      <c r="M172" s="2070"/>
      <c r="N172" s="2069" t="s">
        <v>196</v>
      </c>
      <c r="O172" s="2070"/>
      <c r="P172" s="2069" t="str">
        <f>IF(P182="Yes",J172," ")</f>
        <v>Other (1)</v>
      </c>
      <c r="Q172" s="2091"/>
      <c r="R172" s="2092" t="str">
        <f>R154</f>
        <v>Water</v>
      </c>
      <c r="S172" s="2070"/>
      <c r="T172" s="2069" t="str">
        <f>T154</f>
        <v>Oil</v>
      </c>
      <c r="U172" s="2070"/>
      <c r="V172" s="2082" t="str">
        <f>IF(V182="Yes",J172," ")</f>
        <v xml:space="preserve"> </v>
      </c>
      <c r="W172" s="2083"/>
      <c r="X172" s="2092" t="str">
        <f>X154</f>
        <v>Water</v>
      </c>
      <c r="Y172" s="2070"/>
      <c r="Z172" s="2069" t="str">
        <f>Z154</f>
        <v>Oil</v>
      </c>
      <c r="AA172" s="2070"/>
      <c r="AB172" s="2082" t="str">
        <f>IF(AB182="Yes",J172," ")</f>
        <v xml:space="preserve"> </v>
      </c>
      <c r="AC172" s="2083"/>
    </row>
    <row r="173" spans="1:29" ht="16.100000000000001" thickTop="1">
      <c r="A173" s="288" t="s">
        <v>197</v>
      </c>
      <c r="B173" s="289"/>
      <c r="C173" s="289"/>
      <c r="D173" s="289"/>
      <c r="E173" s="289"/>
      <c r="F173" s="259"/>
      <c r="G173" s="260"/>
      <c r="H173" s="261"/>
      <c r="I173" s="260"/>
      <c r="J173" s="261"/>
      <c r="K173" s="262"/>
      <c r="L173" s="2084">
        <f>L155</f>
        <v>0</v>
      </c>
      <c r="M173" s="2084"/>
      <c r="N173" s="2085">
        <f>N155</f>
        <v>0</v>
      </c>
      <c r="O173" s="2086"/>
      <c r="P173" s="2085">
        <f>P155</f>
        <v>0</v>
      </c>
      <c r="Q173" s="2087"/>
      <c r="R173" s="2115">
        <f>R155</f>
        <v>0</v>
      </c>
      <c r="S173" s="2116"/>
      <c r="T173" s="2117">
        <f>T155</f>
        <v>0</v>
      </c>
      <c r="U173" s="2116"/>
      <c r="V173" s="2117">
        <f>V155</f>
        <v>0</v>
      </c>
      <c r="W173" s="2118"/>
      <c r="X173" s="2115">
        <f>X155</f>
        <v>0</v>
      </c>
      <c r="Y173" s="2116"/>
      <c r="Z173" s="2117">
        <f>Z155</f>
        <v>0</v>
      </c>
      <c r="AA173" s="2116"/>
      <c r="AB173" s="2117">
        <f>AB155</f>
        <v>0</v>
      </c>
      <c r="AC173" s="2118"/>
    </row>
    <row r="174" spans="1:29" ht="15.45">
      <c r="A174" s="288" t="s">
        <v>198</v>
      </c>
      <c r="B174" s="273"/>
      <c r="C174" s="273"/>
      <c r="D174" s="273"/>
      <c r="E174" s="273"/>
      <c r="F174" s="2073">
        <v>0</v>
      </c>
      <c r="G174" s="2074"/>
      <c r="H174" s="2075">
        <v>0</v>
      </c>
      <c r="I174" s="2074"/>
      <c r="J174" s="2075">
        <v>0</v>
      </c>
      <c r="K174" s="2076"/>
      <c r="L174" s="2077">
        <f>IF(P182="No",L156,F174+L156)</f>
        <v>0</v>
      </c>
      <c r="M174" s="2078"/>
      <c r="N174" s="2079">
        <f>IF(P182="No",N156,H174+N156)</f>
        <v>0</v>
      </c>
      <c r="O174" s="2078"/>
      <c r="P174" s="2079">
        <f>IF(P182="No",P156,J174+P156)</f>
        <v>0</v>
      </c>
      <c r="Q174" s="2080"/>
      <c r="R174" s="2081">
        <f>IF(V182="Yes",F174+R156,IF(R184="Water",IF(R183="Yes",V183,0),R156))</f>
        <v>0</v>
      </c>
      <c r="S174" s="2071"/>
      <c r="T174" s="2071">
        <f>IF(V182="Yes",H174+T156,IF(T184="Oil",IF(R183="Yes",V183,0),T156))</f>
        <v>0</v>
      </c>
      <c r="U174" s="2071"/>
      <c r="V174" s="2071">
        <f>IF(V182="Yes",J174+V156,IF(V184=V172,IF(R183="Yes",V183,0),V156))</f>
        <v>0</v>
      </c>
      <c r="W174" s="2072"/>
      <c r="X174" s="2081">
        <f>IF(AB182="Yes",F174+X156,IF(X184="Water",IF(X183="Yes",AB183,0),X156))</f>
        <v>0</v>
      </c>
      <c r="Y174" s="2071"/>
      <c r="Z174" s="2071">
        <f>IF(AB182="Yes",H174+Z156,IF(Z184=Z172,IF(X183="Yes",AB183,0),Z156))</f>
        <v>0</v>
      </c>
      <c r="AA174" s="2071"/>
      <c r="AB174" s="2071">
        <f>IF(AB182="Yes",J174+AB156,IF(AB184=AB172,IF(X183="Yes",AB183,0),AB156))</f>
        <v>0</v>
      </c>
      <c r="AC174" s="2072"/>
    </row>
    <row r="175" spans="1:29" ht="15.45">
      <c r="A175" s="288" t="s">
        <v>199</v>
      </c>
      <c r="B175" s="273"/>
      <c r="C175" s="273"/>
      <c r="D175" s="273"/>
      <c r="E175" s="273"/>
      <c r="F175" s="2073">
        <v>0</v>
      </c>
      <c r="G175" s="2074"/>
      <c r="H175" s="2075">
        <v>0</v>
      </c>
      <c r="I175" s="2074"/>
      <c r="J175" s="2075">
        <v>0</v>
      </c>
      <c r="K175" s="2076"/>
      <c r="L175" s="2077">
        <f>IF(P182="No",L157,F175+L157)</f>
        <v>0</v>
      </c>
      <c r="M175" s="2078"/>
      <c r="N175" s="2079">
        <f>IF(P182="No",N157,H175+N157)</f>
        <v>0</v>
      </c>
      <c r="O175" s="2078"/>
      <c r="P175" s="2079">
        <f>IF(P182="No",P157,J175+P157)</f>
        <v>0</v>
      </c>
      <c r="Q175" s="2080"/>
      <c r="R175" s="2081">
        <f>IF(V182="Yes",R157+F175,R157)</f>
        <v>0</v>
      </c>
      <c r="S175" s="2071"/>
      <c r="T175" s="2071">
        <f>IF(V182="Yes",T157+H175,T157)</f>
        <v>0</v>
      </c>
      <c r="U175" s="2071"/>
      <c r="V175" s="2071">
        <f>IF(V182="Yes",V157+J175,V157)</f>
        <v>0</v>
      </c>
      <c r="W175" s="2072"/>
      <c r="X175" s="2081">
        <f>IF(AB182="Yes",X157+F175,X157)</f>
        <v>0</v>
      </c>
      <c r="Y175" s="2071"/>
      <c r="Z175" s="2071">
        <f>IF(AB182="Yes",Z157+H175,Z157)</f>
        <v>0</v>
      </c>
      <c r="AA175" s="2071"/>
      <c r="AB175" s="2071">
        <f>IF(AB182="Yes",AB157+J175,AB157)</f>
        <v>0</v>
      </c>
      <c r="AC175" s="2072"/>
    </row>
    <row r="176" spans="1:29" ht="15.45">
      <c r="A176" s="288" t="s">
        <v>200</v>
      </c>
      <c r="B176" s="273"/>
      <c r="C176" s="273"/>
      <c r="D176" s="273"/>
      <c r="E176" s="273"/>
      <c r="F176" s="259"/>
      <c r="G176" s="260"/>
      <c r="H176" s="261"/>
      <c r="I176" s="263"/>
      <c r="J176" s="264"/>
      <c r="K176" s="265"/>
      <c r="L176" s="2077">
        <f>L173+L174-L175</f>
        <v>0</v>
      </c>
      <c r="M176" s="2078"/>
      <c r="N176" s="2079">
        <f>SUM(N173,N174,-N175)</f>
        <v>0</v>
      </c>
      <c r="O176" s="2078"/>
      <c r="P176" s="2079">
        <f>SUM(P173,P174,-P175)</f>
        <v>0</v>
      </c>
      <c r="Q176" s="2080"/>
      <c r="R176" s="2081">
        <f>SUM(R173,R174,-R175)</f>
        <v>0</v>
      </c>
      <c r="S176" s="2071"/>
      <c r="T176" s="2071">
        <f>SUM(T173,T174,-T175)</f>
        <v>0</v>
      </c>
      <c r="U176" s="2071"/>
      <c r="V176" s="2071">
        <f>SUM(V173,V174,-V175)</f>
        <v>0</v>
      </c>
      <c r="W176" s="2072"/>
      <c r="X176" s="2081">
        <f>SUM(X173,X174,-X175)</f>
        <v>0</v>
      </c>
      <c r="Y176" s="2071"/>
      <c r="Z176" s="2071">
        <f>SUM(Z173,Z174,-Z175)</f>
        <v>0</v>
      </c>
      <c r="AA176" s="2071"/>
      <c r="AB176" s="2071">
        <f>SUM(AB173,AB174,-AB175)</f>
        <v>0</v>
      </c>
      <c r="AC176" s="2072"/>
    </row>
    <row r="177" spans="1:29" ht="15.45">
      <c r="A177" s="288" t="s">
        <v>201</v>
      </c>
      <c r="B177" s="273"/>
      <c r="C177" s="273"/>
      <c r="D177" s="273"/>
      <c r="E177" s="273"/>
      <c r="F177" s="259"/>
      <c r="G177" s="260"/>
      <c r="H177" s="261"/>
      <c r="I177" s="263"/>
      <c r="J177" s="264"/>
      <c r="K177" s="265"/>
      <c r="L177" s="2073">
        <f>L159</f>
        <v>0</v>
      </c>
      <c r="M177" s="2074"/>
      <c r="N177" s="2075">
        <f>N159</f>
        <v>0</v>
      </c>
      <c r="O177" s="2074"/>
      <c r="P177" s="2075">
        <f>P159</f>
        <v>0</v>
      </c>
      <c r="Q177" s="2076"/>
      <c r="R177" s="2081">
        <f>R159</f>
        <v>0</v>
      </c>
      <c r="S177" s="2071"/>
      <c r="T177" s="2071">
        <f>T159</f>
        <v>0</v>
      </c>
      <c r="U177" s="2071"/>
      <c r="V177" s="2128">
        <f>V159</f>
        <v>0</v>
      </c>
      <c r="W177" s="2129"/>
      <c r="X177" s="2081">
        <f>X159</f>
        <v>0</v>
      </c>
      <c r="Y177" s="2071"/>
      <c r="Z177" s="2071">
        <f>Z159</f>
        <v>0</v>
      </c>
      <c r="AA177" s="2071"/>
      <c r="AB177" s="2128">
        <f>AB159</f>
        <v>0</v>
      </c>
      <c r="AC177" s="2129"/>
    </row>
    <row r="178" spans="1:29" ht="15.45">
      <c r="A178" s="288" t="s">
        <v>202</v>
      </c>
      <c r="B178" s="273"/>
      <c r="C178" s="273"/>
      <c r="D178" s="273"/>
      <c r="E178" s="273"/>
      <c r="F178" s="259"/>
      <c r="G178" s="260"/>
      <c r="H178" s="261"/>
      <c r="I178" s="263"/>
      <c r="J178" s="264"/>
      <c r="K178" s="265"/>
      <c r="L178" s="2077">
        <f>IF(P182="No",L160,L160+F174-F175+F181-F182)</f>
        <v>0</v>
      </c>
      <c r="M178" s="2078"/>
      <c r="N178" s="2079">
        <f>IF(P182="No",N160,N160+H174-H175+H181-H182)</f>
        <v>0</v>
      </c>
      <c r="O178" s="2078"/>
      <c r="P178" s="2079">
        <f>IF(P182="No",P160,P160+J174-J175+J181-J182)</f>
        <v>0</v>
      </c>
      <c r="Q178" s="2080"/>
      <c r="R178" s="2071">
        <f>IF(V182="Yes",R160+F174-F175+F181-F182,IF(P183="Yes",IF(R184=R172,R174-R175-V184,0),R160))</f>
        <v>0</v>
      </c>
      <c r="S178" s="2071"/>
      <c r="T178" s="2071">
        <f>IF(V182="Yes",T160+H174-H175+H181-H182,IF(R183="Yes",IF(R184=T172,T174-T175-V184,0),T160))</f>
        <v>0</v>
      </c>
      <c r="U178" s="2071"/>
      <c r="V178" s="2071">
        <f>IF(V182="Yes",V160+J174-J175+J181-J182,IF(T183="Yes",IF(R184=V172,V174-V175-V184,0),V160))</f>
        <v>0</v>
      </c>
      <c r="W178" s="2072"/>
      <c r="X178" s="2071">
        <f>IF(AB182="Yes",X160+F174-F175+F181-F182,IF(V183="Yes",IF(X184=X172,X174-X175-AB184,0),X160))</f>
        <v>0</v>
      </c>
      <c r="Y178" s="2071"/>
      <c r="Z178" s="2071">
        <f>IF(AB182="Yes",Z160+H174-H175+H181-H182,IF(X183="Yes",IF(X184=Z172,Z174-Z175-AB184,0),Z160))</f>
        <v>0</v>
      </c>
      <c r="AA178" s="2071"/>
      <c r="AB178" s="2071">
        <f>IF(AB182="Yes",AB160+J174-J175+J181-J182,IF(Z183="Yes",IF(X184=AB172,AB174-AB175-AB184,0),AB160))</f>
        <v>0</v>
      </c>
      <c r="AC178" s="2072"/>
    </row>
    <row r="179" spans="1:29" ht="15.45">
      <c r="A179" s="288" t="s">
        <v>203</v>
      </c>
      <c r="B179" s="273"/>
      <c r="C179" s="273"/>
      <c r="D179" s="273"/>
      <c r="E179" s="273"/>
      <c r="F179" s="2110"/>
      <c r="G179" s="2111"/>
      <c r="H179" s="2111"/>
      <c r="I179" s="2111"/>
      <c r="J179" s="2111"/>
      <c r="K179" s="2112"/>
      <c r="L179" s="2113">
        <f>IF(P182="No",0,IF(L176-L177-L178&lt;0,0,SUM(L176,-L177,-L178)))</f>
        <v>0</v>
      </c>
      <c r="M179" s="2114"/>
      <c r="N179" s="2113">
        <f>IF(P182="No",0,IF(N176-N177-N178&lt;0,0,SUM(N176,-N177,-N178)))</f>
        <v>0</v>
      </c>
      <c r="O179" s="2114"/>
      <c r="P179" s="2079">
        <f>IF(P182="No",0,IF(P176-P177-P178&lt;0,0,SUM(P176,-P177,-P178)))</f>
        <v>0</v>
      </c>
      <c r="Q179" s="2080"/>
      <c r="R179" s="2127">
        <f>IF(V182="No",0,IF(R176-R177-R178&lt;0,0,SUM(R176,-R177,-R178)))</f>
        <v>0</v>
      </c>
      <c r="S179" s="2114"/>
      <c r="T179" s="2113">
        <f>IF(V182="No",0,IF(T176-T177-T178&lt;0,0,SUM(T176,-T177,-T178)))</f>
        <v>0</v>
      </c>
      <c r="U179" s="2114"/>
      <c r="V179" s="2079">
        <f>IF(V182="No",0,IF(V176-V177-V178&lt;0,0,SUM(V176,-V177,-V178)))</f>
        <v>0</v>
      </c>
      <c r="W179" s="2080"/>
      <c r="X179" s="2113">
        <f>IF(AB182="No",0,IF(X176-X177-X178&lt;0,0,SUM(X176,-X177,-X178)))</f>
        <v>0</v>
      </c>
      <c r="Y179" s="2114"/>
      <c r="Z179" s="2113">
        <f>IF(AB182="No",0,IF(Z176-Z177-Z178&lt;0,0,SUM(Z176,-Z177,-Z178)))</f>
        <v>0</v>
      </c>
      <c r="AA179" s="2114"/>
      <c r="AB179" s="2079">
        <f>IF(AB182="No",0,IF(AB176-AB177-AB178&lt;0,0,SUM(AB176,-AB177,-AB178)))</f>
        <v>0</v>
      </c>
      <c r="AC179" s="2080"/>
    </row>
    <row r="180" spans="1:29" ht="15.45">
      <c r="A180" s="1177" t="s">
        <v>929</v>
      </c>
      <c r="B180" s="273"/>
      <c r="C180" s="273"/>
      <c r="D180" s="273"/>
      <c r="E180" s="1176"/>
      <c r="F180" s="1166"/>
      <c r="G180" s="1167"/>
      <c r="H180" s="1167"/>
      <c r="I180" s="1167"/>
      <c r="J180" s="1167"/>
      <c r="K180" s="1168"/>
      <c r="L180" s="2131">
        <f>IF(P182="No",0,IF((L176-L177-L178)&lt;0,(L176-L177-L178)*-1,0))</f>
        <v>0</v>
      </c>
      <c r="M180" s="2131"/>
      <c r="N180" s="2131">
        <f>IF(R182="No",0,IF((N176-N177-N178)&lt;0,(N176-N177-N178)*-1,0))</f>
        <v>0</v>
      </c>
      <c r="O180" s="2131"/>
      <c r="P180" s="2131">
        <f>IF(T182="No",0,IF((P176-P177-P178)&lt;0,(P176-P177-P178)*-1,0))</f>
        <v>0</v>
      </c>
      <c r="Q180" s="2132"/>
      <c r="R180" s="2078">
        <f>IF(V182="No",0,IF((R176-R177-R178)&lt;0,(R176-R177-R178)*-1,0))</f>
        <v>0</v>
      </c>
      <c r="S180" s="2131"/>
      <c r="T180" s="2131">
        <f>IF(V182="No",0,IF((T176-T177-T178)&lt;0,(T176-T177-T178)*-1,0))</f>
        <v>0</v>
      </c>
      <c r="U180" s="2131"/>
      <c r="V180" s="2131">
        <f>IF(V182="No",0,IF((V176-V177-V178)&lt;0,(V176-V177-V178)*-1,0))</f>
        <v>0</v>
      </c>
      <c r="W180" s="2132"/>
      <c r="X180" s="2134">
        <f>IF(AB182="No",0,IF((X176-X177-X178)&lt;0,(X176-X177-X178)*-1,0))</f>
        <v>0</v>
      </c>
      <c r="Y180" s="2131"/>
      <c r="Z180" s="2131">
        <f>IF(AB182="No",0,IF((Z176-Z177-Z178)&lt;0,(Z176-Z177-Z178)*-1,0))</f>
        <v>0</v>
      </c>
      <c r="AA180" s="2131"/>
      <c r="AB180" s="2131">
        <f>IF(AB182="No",0,IF((AB176-AB177-AB178)&lt;0,(AB176-AB177-AB178)*-1,0))</f>
        <v>0</v>
      </c>
      <c r="AC180" s="2132"/>
    </row>
    <row r="181" spans="1:29" ht="16.100000000000001" thickBot="1">
      <c r="A181" s="505" t="s">
        <v>991</v>
      </c>
      <c r="B181" s="506"/>
      <c r="C181" s="506"/>
      <c r="D181" s="506"/>
      <c r="E181" s="291"/>
      <c r="F181" s="2073">
        <v>0</v>
      </c>
      <c r="G181" s="2074"/>
      <c r="H181" s="2075">
        <v>0</v>
      </c>
      <c r="I181" s="2074"/>
      <c r="J181" s="2101">
        <v>0</v>
      </c>
      <c r="K181" s="2102"/>
      <c r="L181" s="292"/>
      <c r="M181" s="293"/>
      <c r="N181" s="292"/>
      <c r="O181" s="293"/>
      <c r="P181" s="294"/>
      <c r="Q181" s="295"/>
      <c r="R181" s="296"/>
      <c r="S181" s="293"/>
      <c r="T181" s="292"/>
      <c r="U181" s="293"/>
      <c r="V181" s="292"/>
      <c r="W181" s="297"/>
      <c r="X181" s="296"/>
      <c r="Y181" s="293"/>
      <c r="Z181" s="292"/>
      <c r="AA181" s="293"/>
      <c r="AB181" s="292"/>
      <c r="AC181" s="297"/>
    </row>
    <row r="182" spans="1:29" ht="16.100000000000001" thickBot="1">
      <c r="A182" s="290" t="s">
        <v>992</v>
      </c>
      <c r="B182" s="21"/>
      <c r="C182" s="21"/>
      <c r="D182" s="21"/>
      <c r="F182" s="2096">
        <v>0</v>
      </c>
      <c r="G182" s="2097"/>
      <c r="H182" s="2098">
        <v>0</v>
      </c>
      <c r="I182" s="2097"/>
      <c r="J182" s="2103">
        <v>0</v>
      </c>
      <c r="K182" s="2104"/>
      <c r="L182" s="2093" t="s">
        <v>417</v>
      </c>
      <c r="M182" s="2094"/>
      <c r="N182" s="2094"/>
      <c r="O182" s="2095"/>
      <c r="P182" s="2106" t="str">
        <f>P164</f>
        <v>Yes</v>
      </c>
      <c r="Q182" s="2107"/>
      <c r="R182" s="2093" t="s">
        <v>417</v>
      </c>
      <c r="S182" s="2094"/>
      <c r="T182" s="2094"/>
      <c r="U182" s="2095"/>
      <c r="V182" s="2106" t="str">
        <f>V164</f>
        <v>No</v>
      </c>
      <c r="W182" s="2107"/>
      <c r="X182" s="2093" t="s">
        <v>417</v>
      </c>
      <c r="Y182" s="2094"/>
      <c r="Z182" s="2094"/>
      <c r="AA182" s="2095"/>
      <c r="AB182" s="2106" t="str">
        <f>AB164</f>
        <v>No</v>
      </c>
      <c r="AC182" s="2107"/>
    </row>
    <row r="183" spans="1:29" ht="13.75" thickBot="1">
      <c r="L183" s="2093" t="s">
        <v>419</v>
      </c>
      <c r="M183" s="2094"/>
      <c r="N183" s="2094"/>
      <c r="O183" s="2094"/>
      <c r="P183" s="2094"/>
      <c r="Q183" s="2095"/>
      <c r="R183" s="2106" t="str">
        <f>R165</f>
        <v>No</v>
      </c>
      <c r="S183" s="2107"/>
      <c r="T183" s="2093" t="s">
        <v>420</v>
      </c>
      <c r="U183" s="2095"/>
      <c r="V183" s="2121">
        <v>0</v>
      </c>
      <c r="W183" s="2122"/>
    </row>
    <row r="184" spans="1:29" ht="13.5" thickBot="1">
      <c r="L184" s="2093" t="s">
        <v>421</v>
      </c>
      <c r="M184" s="2094"/>
      <c r="N184" s="2094"/>
      <c r="O184" s="2094"/>
      <c r="P184" s="2094"/>
      <c r="Q184" s="2095"/>
      <c r="R184" s="2119">
        <v>0</v>
      </c>
      <c r="S184" s="2120"/>
      <c r="T184" s="2123" t="s">
        <v>422</v>
      </c>
      <c r="U184" s="2124"/>
      <c r="V184" s="2125">
        <v>0</v>
      </c>
      <c r="W184" s="2126"/>
    </row>
    <row r="185" spans="1:29" ht="13.75" thickBot="1">
      <c r="L185" s="2093" t="s">
        <v>921</v>
      </c>
      <c r="M185" s="2094"/>
      <c r="N185" s="2094"/>
      <c r="O185" s="2094"/>
      <c r="P185" s="2094"/>
      <c r="Q185" s="2095"/>
      <c r="R185" s="2106" t="str">
        <f>R167</f>
        <v>No</v>
      </c>
      <c r="S185" s="2107"/>
      <c r="T185" s="2093" t="s">
        <v>420</v>
      </c>
      <c r="U185" s="2095"/>
      <c r="V185" s="2121">
        <v>0</v>
      </c>
      <c r="W185" s="2122"/>
    </row>
    <row r="186" spans="1:29" ht="13.5" thickBot="1">
      <c r="L186" s="2093" t="s">
        <v>421</v>
      </c>
      <c r="M186" s="2094"/>
      <c r="N186" s="2094"/>
      <c r="O186" s="2094"/>
      <c r="P186" s="2094"/>
      <c r="Q186" s="2095"/>
      <c r="R186" s="2119">
        <v>0</v>
      </c>
      <c r="S186" s="2120"/>
      <c r="T186" s="2123" t="s">
        <v>422</v>
      </c>
      <c r="U186" s="2124"/>
      <c r="V186" s="2125">
        <v>0</v>
      </c>
      <c r="W186" s="2126"/>
    </row>
    <row r="187" spans="1:29" ht="13.1">
      <c r="A187" s="1644" t="s">
        <v>221</v>
      </c>
      <c r="B187" s="1644"/>
      <c r="C187" s="2130">
        <f>'Cost Control'!E83</f>
        <v>10</v>
      </c>
      <c r="D187" s="2130"/>
      <c r="E187" s="2130"/>
      <c r="F187" s="2130"/>
      <c r="G187" s="2130"/>
      <c r="H187" s="2130"/>
      <c r="I187" s="2130"/>
      <c r="L187" t="str">
        <f>IF(SUM(L179:Q179)=0," ","LTR SUMMARY:")</f>
        <v xml:space="preserve"> </v>
      </c>
      <c r="O187" s="1422">
        <f>SUM(L179:Q179)</f>
        <v>0</v>
      </c>
      <c r="P187" t="str">
        <f>IF(O187=0," ","m³")</f>
        <v xml:space="preserve"> </v>
      </c>
      <c r="R187" t="str">
        <f>IF(SUM(R179:W179)=0," ","LTR SUMMARY:")</f>
        <v xml:space="preserve"> </v>
      </c>
      <c r="U187" s="1422">
        <f>SUM(R179:W179)</f>
        <v>0</v>
      </c>
      <c r="V187" t="str">
        <f>IF(U187=0," ","m³")</f>
        <v xml:space="preserve"> </v>
      </c>
      <c r="X187" t="str">
        <f>IF(SUM(X179:AC179)=0," ","LTR SUMMARY:")</f>
        <v xml:space="preserve"> </v>
      </c>
      <c r="AA187" s="1422">
        <f>SUM(X179:AC179)</f>
        <v>0</v>
      </c>
      <c r="AB187" t="str">
        <f>IF(AA187=0," ","m³")</f>
        <v xml:space="preserve"> </v>
      </c>
    </row>
    <row r="188" spans="1:29" ht="13.5" thickBot="1"/>
    <row r="189" spans="1:29" ht="14.8" thickTop="1">
      <c r="A189" s="274" t="s">
        <v>190</v>
      </c>
      <c r="B189" s="275"/>
      <c r="C189" s="275"/>
      <c r="D189" s="275"/>
      <c r="E189" s="276"/>
      <c r="F189" s="277"/>
      <c r="G189" s="278"/>
      <c r="H189" s="271" t="s">
        <v>191</v>
      </c>
      <c r="I189" s="279"/>
      <c r="J189" s="279"/>
      <c r="K189" s="280"/>
      <c r="L189" s="279" t="str">
        <f>L171</f>
        <v xml:space="preserve">    Cum. to Date </v>
      </c>
      <c r="M189" s="281"/>
      <c r="N189" s="279"/>
      <c r="O189" s="334">
        <f>O171</f>
        <v>0</v>
      </c>
      <c r="P189" s="271"/>
      <c r="Q189" s="282"/>
      <c r="R189" s="283" t="str">
        <f>R171</f>
        <v xml:space="preserve">Cum. to Date </v>
      </c>
      <c r="S189" s="281"/>
      <c r="T189" s="279"/>
      <c r="U189" s="334">
        <f>U171</f>
        <v>0</v>
      </c>
      <c r="V189" s="284"/>
      <c r="W189" s="272"/>
      <c r="X189" s="283" t="str">
        <f>X171</f>
        <v xml:space="preserve">Cum. to Date </v>
      </c>
      <c r="Y189" s="281"/>
      <c r="Z189" s="279"/>
      <c r="AA189" s="334">
        <f>AA171</f>
        <v>0</v>
      </c>
      <c r="AB189" s="284"/>
      <c r="AC189" s="272"/>
    </row>
    <row r="190" spans="1:29" ht="14.8" thickBot="1">
      <c r="A190" s="285" t="s">
        <v>192</v>
      </c>
      <c r="B190" s="286"/>
      <c r="C190" s="286"/>
      <c r="D190" s="286"/>
      <c r="E190" s="287"/>
      <c r="F190" s="2067" t="s">
        <v>193</v>
      </c>
      <c r="G190" s="2068"/>
      <c r="H190" s="2069" t="s">
        <v>194</v>
      </c>
      <c r="I190" s="2070"/>
      <c r="J190" s="2069" t="str">
        <f>J172</f>
        <v>Other (1)</v>
      </c>
      <c r="K190" s="2091"/>
      <c r="L190" s="2092" t="s">
        <v>195</v>
      </c>
      <c r="M190" s="2070"/>
      <c r="N190" s="2069" t="s">
        <v>196</v>
      </c>
      <c r="O190" s="2070"/>
      <c r="P190" s="2069" t="str">
        <f>IF(P200="Yes",J190," ")</f>
        <v>Other (1)</v>
      </c>
      <c r="Q190" s="2091"/>
      <c r="R190" s="2092" t="str">
        <f>R172</f>
        <v>Water</v>
      </c>
      <c r="S190" s="2070"/>
      <c r="T190" s="2069" t="str">
        <f>T172</f>
        <v>Oil</v>
      </c>
      <c r="U190" s="2070"/>
      <c r="V190" s="2082" t="str">
        <f>IF(V200="Yes",J190," ")</f>
        <v xml:space="preserve"> </v>
      </c>
      <c r="W190" s="2083"/>
      <c r="X190" s="2092" t="str">
        <f>X172</f>
        <v>Water</v>
      </c>
      <c r="Y190" s="2070"/>
      <c r="Z190" s="2069" t="str">
        <f>Z172</f>
        <v>Oil</v>
      </c>
      <c r="AA190" s="2070"/>
      <c r="AB190" s="2082" t="str">
        <f>IF(AB200="Yes",J190," ")</f>
        <v xml:space="preserve"> </v>
      </c>
      <c r="AC190" s="2083"/>
    </row>
    <row r="191" spans="1:29" ht="16.100000000000001" thickTop="1">
      <c r="A191" s="288" t="s">
        <v>197</v>
      </c>
      <c r="B191" s="289"/>
      <c r="C191" s="289"/>
      <c r="D191" s="289"/>
      <c r="E191" s="289"/>
      <c r="F191" s="259"/>
      <c r="G191" s="260"/>
      <c r="H191" s="261"/>
      <c r="I191" s="260"/>
      <c r="J191" s="261"/>
      <c r="K191" s="262"/>
      <c r="L191" s="2084">
        <f>L173</f>
        <v>0</v>
      </c>
      <c r="M191" s="2084"/>
      <c r="N191" s="2085">
        <f>N173</f>
        <v>0</v>
      </c>
      <c r="O191" s="2086"/>
      <c r="P191" s="2085">
        <f>P173</f>
        <v>0</v>
      </c>
      <c r="Q191" s="2087"/>
      <c r="R191" s="2115">
        <f>R173</f>
        <v>0</v>
      </c>
      <c r="S191" s="2116"/>
      <c r="T191" s="2117">
        <f>T173</f>
        <v>0</v>
      </c>
      <c r="U191" s="2116"/>
      <c r="V191" s="2117">
        <f>V173</f>
        <v>0</v>
      </c>
      <c r="W191" s="2118"/>
      <c r="X191" s="2115">
        <f>X173</f>
        <v>0</v>
      </c>
      <c r="Y191" s="2116"/>
      <c r="Z191" s="2117">
        <f>Z173</f>
        <v>0</v>
      </c>
      <c r="AA191" s="2116"/>
      <c r="AB191" s="2117">
        <f>AB173</f>
        <v>0</v>
      </c>
      <c r="AC191" s="2118"/>
    </row>
    <row r="192" spans="1:29" ht="15.45">
      <c r="A192" s="288" t="s">
        <v>198</v>
      </c>
      <c r="B192" s="273"/>
      <c r="C192" s="273"/>
      <c r="D192" s="273"/>
      <c r="E192" s="273"/>
      <c r="F192" s="2073">
        <v>0</v>
      </c>
      <c r="G192" s="2074"/>
      <c r="H192" s="2075">
        <v>0</v>
      </c>
      <c r="I192" s="2074"/>
      <c r="J192" s="2075">
        <v>0</v>
      </c>
      <c r="K192" s="2076"/>
      <c r="L192" s="2077">
        <f>IF(P200="No",L174,F192+L174)</f>
        <v>0</v>
      </c>
      <c r="M192" s="2078"/>
      <c r="N192" s="2079">
        <f>IF(P200="No",N174,H192+N174)</f>
        <v>0</v>
      </c>
      <c r="O192" s="2078"/>
      <c r="P192" s="2079">
        <f>IF(P200="No",P174,J192+P174)</f>
        <v>0</v>
      </c>
      <c r="Q192" s="2080"/>
      <c r="R192" s="2081">
        <f>IF(V200="Yes",F192+R174,IF(R202="Water",IF(R201="Yes",V201,0),R174))</f>
        <v>0</v>
      </c>
      <c r="S192" s="2071"/>
      <c r="T192" s="2071">
        <f>IF(V200="Yes",H192+T174,IF(T202="Oil",IF(R201="Yes",V201,0),T174))</f>
        <v>0</v>
      </c>
      <c r="U192" s="2071"/>
      <c r="V192" s="2071">
        <f>IF(V200="Yes",J192+V174,IF(V202=V190,IF(R201="Yes",V201,0),V174))</f>
        <v>0</v>
      </c>
      <c r="W192" s="2072"/>
      <c r="X192" s="2081">
        <f>IF(AB200="Yes",F192+X174,IF(X202="Water",IF(X201="Yes",AB201,0),X174))</f>
        <v>0</v>
      </c>
      <c r="Y192" s="2071"/>
      <c r="Z192" s="2071">
        <f>IF(AB200="Yes",H192+Z174,IF(Z202=Z190,IF(X201="Yes",AB201,0),Z174))</f>
        <v>0</v>
      </c>
      <c r="AA192" s="2071"/>
      <c r="AB192" s="2071">
        <f>IF(AB200="Yes",J192+AB174,IF(AB202=AB190,IF(X201="Yes",AB201,0),AB174))</f>
        <v>0</v>
      </c>
      <c r="AC192" s="2072"/>
    </row>
    <row r="193" spans="1:29" ht="15.45">
      <c r="A193" s="288" t="s">
        <v>199</v>
      </c>
      <c r="B193" s="273"/>
      <c r="C193" s="273"/>
      <c r="D193" s="273"/>
      <c r="E193" s="273"/>
      <c r="F193" s="2073">
        <v>0</v>
      </c>
      <c r="G193" s="2074"/>
      <c r="H193" s="2075">
        <v>0</v>
      </c>
      <c r="I193" s="2074"/>
      <c r="J193" s="2075">
        <v>0</v>
      </c>
      <c r="K193" s="2076"/>
      <c r="L193" s="2077">
        <f>IF(P200="No",L175,F193+L175)</f>
        <v>0</v>
      </c>
      <c r="M193" s="2078"/>
      <c r="N193" s="2079">
        <f>IF(P200="No",N175,H193+N175)</f>
        <v>0</v>
      </c>
      <c r="O193" s="2078"/>
      <c r="P193" s="2079">
        <f>IF(P200="No",P175,J193+P175)</f>
        <v>0</v>
      </c>
      <c r="Q193" s="2080"/>
      <c r="R193" s="2081">
        <f>IF(V200="Yes",R175+F193,R175)</f>
        <v>0</v>
      </c>
      <c r="S193" s="2071"/>
      <c r="T193" s="2071">
        <f>IF(V200="Yes",T175+H193,T175)</f>
        <v>0</v>
      </c>
      <c r="U193" s="2071"/>
      <c r="V193" s="2071">
        <f>IF(V200="Yes",V175+J193,V175)</f>
        <v>0</v>
      </c>
      <c r="W193" s="2072"/>
      <c r="X193" s="2081">
        <f>IF(AB200="Yes",X175+F193,X175)</f>
        <v>0</v>
      </c>
      <c r="Y193" s="2071"/>
      <c r="Z193" s="2071">
        <f>IF(AB200="Yes",Z175+H193,Z175)</f>
        <v>0</v>
      </c>
      <c r="AA193" s="2071"/>
      <c r="AB193" s="2071">
        <f>IF(AB200="Yes",AB175+J193,AB175)</f>
        <v>0</v>
      </c>
      <c r="AC193" s="2072"/>
    </row>
    <row r="194" spans="1:29" ht="15.45">
      <c r="A194" s="288" t="s">
        <v>200</v>
      </c>
      <c r="B194" s="273"/>
      <c r="C194" s="273"/>
      <c r="D194" s="273"/>
      <c r="E194" s="273"/>
      <c r="F194" s="259"/>
      <c r="G194" s="260"/>
      <c r="H194" s="261"/>
      <c r="I194" s="263"/>
      <c r="J194" s="264"/>
      <c r="K194" s="265"/>
      <c r="L194" s="2077">
        <f>L191+L192-L193</f>
        <v>0</v>
      </c>
      <c r="M194" s="2078"/>
      <c r="N194" s="2079">
        <f>SUM(N191,N192,-N193)</f>
        <v>0</v>
      </c>
      <c r="O194" s="2078"/>
      <c r="P194" s="2079">
        <f>SUM(P191,P192,-P193)</f>
        <v>0</v>
      </c>
      <c r="Q194" s="2080"/>
      <c r="R194" s="2081">
        <f>SUM(R191,R192,-R193)</f>
        <v>0</v>
      </c>
      <c r="S194" s="2071"/>
      <c r="T194" s="2071">
        <f>SUM(T191,T192,-T193)</f>
        <v>0</v>
      </c>
      <c r="U194" s="2071"/>
      <c r="V194" s="2071">
        <f>SUM(V191,V192,-V193)</f>
        <v>0</v>
      </c>
      <c r="W194" s="2072"/>
      <c r="X194" s="2081">
        <f>SUM(X191,X192,-X193)</f>
        <v>0</v>
      </c>
      <c r="Y194" s="2071"/>
      <c r="Z194" s="2071">
        <f>SUM(Z191,Z192,-Z193)</f>
        <v>0</v>
      </c>
      <c r="AA194" s="2071"/>
      <c r="AB194" s="2071">
        <f>SUM(AB191,AB192,-AB193)</f>
        <v>0</v>
      </c>
      <c r="AC194" s="2072"/>
    </row>
    <row r="195" spans="1:29" ht="15.45">
      <c r="A195" s="288" t="s">
        <v>201</v>
      </c>
      <c r="B195" s="273"/>
      <c r="C195" s="273"/>
      <c r="D195" s="273"/>
      <c r="E195" s="273"/>
      <c r="F195" s="259"/>
      <c r="G195" s="260"/>
      <c r="H195" s="261"/>
      <c r="I195" s="263"/>
      <c r="J195" s="264"/>
      <c r="K195" s="265"/>
      <c r="L195" s="2073">
        <f>L177</f>
        <v>0</v>
      </c>
      <c r="M195" s="2074"/>
      <c r="N195" s="2075">
        <f>N177</f>
        <v>0</v>
      </c>
      <c r="O195" s="2074"/>
      <c r="P195" s="2075">
        <f>P177</f>
        <v>0</v>
      </c>
      <c r="Q195" s="2076"/>
      <c r="R195" s="2081">
        <f>R177</f>
        <v>0</v>
      </c>
      <c r="S195" s="2071"/>
      <c r="T195" s="2071">
        <f>T177</f>
        <v>0</v>
      </c>
      <c r="U195" s="2071"/>
      <c r="V195" s="2128">
        <f>V177</f>
        <v>0</v>
      </c>
      <c r="W195" s="2129"/>
      <c r="X195" s="2081">
        <f>X177</f>
        <v>0</v>
      </c>
      <c r="Y195" s="2071"/>
      <c r="Z195" s="2071">
        <f>Z177</f>
        <v>0</v>
      </c>
      <c r="AA195" s="2071"/>
      <c r="AB195" s="2128">
        <f>AB177</f>
        <v>0</v>
      </c>
      <c r="AC195" s="2129"/>
    </row>
    <row r="196" spans="1:29" ht="15.45">
      <c r="A196" s="288" t="s">
        <v>202</v>
      </c>
      <c r="B196" s="273"/>
      <c r="C196" s="273"/>
      <c r="D196" s="273"/>
      <c r="E196" s="273"/>
      <c r="F196" s="259"/>
      <c r="G196" s="260"/>
      <c r="H196" s="261"/>
      <c r="I196" s="263"/>
      <c r="J196" s="264"/>
      <c r="K196" s="265"/>
      <c r="L196" s="2077">
        <f>IF(P200="No",L178,L178+F192-F193+F199-F200)</f>
        <v>0</v>
      </c>
      <c r="M196" s="2078"/>
      <c r="N196" s="2079">
        <f>IF(P200="No",N178,N178+H192-H193+H199-H200)</f>
        <v>0</v>
      </c>
      <c r="O196" s="2078"/>
      <c r="P196" s="2079">
        <f>IF(P200="No",P178,P178+J192-J193+J199-J200)</f>
        <v>0</v>
      </c>
      <c r="Q196" s="2080"/>
      <c r="R196" s="2071">
        <f>IF(V200="Yes",R178+F192-F193+F199-F200,IF(P201="Yes",IF(R202=R190,R192-R193-V202,0),R178))</f>
        <v>0</v>
      </c>
      <c r="S196" s="2071"/>
      <c r="T196" s="2071">
        <f>IF(V200="Yes",T178+H192-H193+H199-H200,IF(R201="Yes",IF(R202=T190,T192-T193-V202,0),T178))</f>
        <v>0</v>
      </c>
      <c r="U196" s="2071"/>
      <c r="V196" s="2071">
        <f>IF(V200="Yes",V178+J192-J193+J199-J200,IF(T201="Yes",IF(R202=V190,V192-V193-V202,0),V178))</f>
        <v>0</v>
      </c>
      <c r="W196" s="2072"/>
      <c r="X196" s="2071">
        <f>IF(AB200="Yes",X178+F192-F193+F199-F200,IF(V201="Yes",IF(X202=X190,X192-X193-AB202,0),X178))</f>
        <v>0</v>
      </c>
      <c r="Y196" s="2071"/>
      <c r="Z196" s="2071">
        <f>IF(AB200="Yes",Z178+H192-H193+H199-H200,IF(X201="Yes",IF(X202=Z190,Z192-Z193-AB202,0),Z178))</f>
        <v>0</v>
      </c>
      <c r="AA196" s="2071"/>
      <c r="AB196" s="2071">
        <f>IF(AB200="Yes",AB178+J192-J193+J199-J200,IF(Z201="Yes",IF(X202=AB190,AB192-AB193-AB202,0),AB178))</f>
        <v>0</v>
      </c>
      <c r="AC196" s="2072"/>
    </row>
    <row r="197" spans="1:29" ht="15.45">
      <c r="A197" s="288" t="s">
        <v>203</v>
      </c>
      <c r="B197" s="273"/>
      <c r="C197" s="273"/>
      <c r="D197" s="273"/>
      <c r="E197" s="273"/>
      <c r="F197" s="2110"/>
      <c r="G197" s="2111"/>
      <c r="H197" s="2111"/>
      <c r="I197" s="2111"/>
      <c r="J197" s="2111"/>
      <c r="K197" s="2112"/>
      <c r="L197" s="2113">
        <f>IF(P200="No",0,IF(L194-L195-L196&lt;0,0,SUM(L194,-L195,-L196)))</f>
        <v>0</v>
      </c>
      <c r="M197" s="2114"/>
      <c r="N197" s="2113">
        <f>IF(P200="No",0,IF(N194-N195-N196&lt;0,0,SUM(N194,-N195,-N196)))</f>
        <v>0</v>
      </c>
      <c r="O197" s="2114"/>
      <c r="P197" s="2079">
        <f>IF(P200="No",0,IF(P194-P195-P196&lt;0,0,SUM(P194,-P195,-P196)))</f>
        <v>0</v>
      </c>
      <c r="Q197" s="2080"/>
      <c r="R197" s="2127">
        <f>IF(V200="No",0,IF(R194-R195-R196&lt;0,0,SUM(R194,-R195,-R196)))</f>
        <v>0</v>
      </c>
      <c r="S197" s="2114"/>
      <c r="T197" s="2113">
        <f>IF(V200="No",0,IF(T194-T195-T196&lt;0,0,SUM(T194,-T195,-T196)))</f>
        <v>0</v>
      </c>
      <c r="U197" s="2114"/>
      <c r="V197" s="2079">
        <f>IF(V200="No",0,IF(V194-V195-V196&lt;0,0,SUM(V194,-V195,-V196)))</f>
        <v>0</v>
      </c>
      <c r="W197" s="2080"/>
      <c r="X197" s="2113">
        <f>IF(AB200="No",0,IF(X194-X195-X196&lt;0,0,SUM(X194,-X195,-X196)))</f>
        <v>0</v>
      </c>
      <c r="Y197" s="2114"/>
      <c r="Z197" s="2113">
        <f>IF(AB200="No",0,IF(Z194-Z195-Z196&lt;0,0,SUM(Z194,-Z195,-Z196)))</f>
        <v>0</v>
      </c>
      <c r="AA197" s="2114"/>
      <c r="AB197" s="2079">
        <f>IF(AB200="No",0,IF(AB194-AB195-AB196&lt;0,0,SUM(AB194,-AB195,-AB196)))</f>
        <v>0</v>
      </c>
      <c r="AC197" s="2080"/>
    </row>
    <row r="198" spans="1:29" ht="15.45">
      <c r="A198" s="1177" t="s">
        <v>929</v>
      </c>
      <c r="B198" s="273"/>
      <c r="C198" s="273"/>
      <c r="D198" s="273"/>
      <c r="E198" s="1176"/>
      <c r="F198" s="1166"/>
      <c r="G198" s="1167"/>
      <c r="H198" s="1167"/>
      <c r="I198" s="1167"/>
      <c r="J198" s="1167"/>
      <c r="K198" s="1168"/>
      <c r="L198" s="2131">
        <f>IF(P200="No",0,IF((L194-L195-L196)&lt;0,(L194-L195-L196)*-1,0))</f>
        <v>0</v>
      </c>
      <c r="M198" s="2131"/>
      <c r="N198" s="2131">
        <f>IF(R200="No",0,IF((N194-N195-N196)&lt;0,(N194-N195-N196)*-1,0))</f>
        <v>0</v>
      </c>
      <c r="O198" s="2131"/>
      <c r="P198" s="2131">
        <f>IF(T200="No",0,IF((P194-P195-P196)&lt;0,(P194-P195-P196)*-1,0))</f>
        <v>0</v>
      </c>
      <c r="Q198" s="2132"/>
      <c r="R198" s="2078">
        <f>IF(V200="No",0,IF((R194-R195-R196)&lt;0,(R194-R195-R196)*-1,0))</f>
        <v>0</v>
      </c>
      <c r="S198" s="2131"/>
      <c r="T198" s="2131">
        <f>IF(V200="No",0,IF((T194-T195-T196)&lt;0,(T194-T195-T196)*-1,0))</f>
        <v>0</v>
      </c>
      <c r="U198" s="2131"/>
      <c r="V198" s="2131">
        <f>IF(V200="No",0,IF((V194-V195-V196)&lt;0,(V194-V195-V196)*-1,0))</f>
        <v>0</v>
      </c>
      <c r="W198" s="2132"/>
      <c r="X198" s="2134">
        <f>IF(AB200="No",0,IF((X194-X195-X196)&lt;0,(X194-X195-X196)*-1,0))</f>
        <v>0</v>
      </c>
      <c r="Y198" s="2131"/>
      <c r="Z198" s="2131">
        <f>IF(AB200="No",0,IF((Z194-Z195-Z196)&lt;0,(Z194-Z195-Z196)*-1,0))</f>
        <v>0</v>
      </c>
      <c r="AA198" s="2131"/>
      <c r="AB198" s="2131">
        <f>IF(AB200="No",0,IF((AB194-AB195-AB196)&lt;0,(AB194-AB195-AB196)*-1,0))</f>
        <v>0</v>
      </c>
      <c r="AC198" s="2132"/>
    </row>
    <row r="199" spans="1:29" ht="16.100000000000001" thickBot="1">
      <c r="A199" s="505" t="s">
        <v>991</v>
      </c>
      <c r="B199" s="506"/>
      <c r="C199" s="506"/>
      <c r="D199" s="506"/>
      <c r="E199" s="291"/>
      <c r="F199" s="2073">
        <v>0</v>
      </c>
      <c r="G199" s="2074"/>
      <c r="H199" s="2075">
        <v>0</v>
      </c>
      <c r="I199" s="2074"/>
      <c r="J199" s="2101">
        <v>0</v>
      </c>
      <c r="K199" s="2102"/>
      <c r="L199" s="292"/>
      <c r="M199" s="293"/>
      <c r="N199" s="292"/>
      <c r="O199" s="293"/>
      <c r="P199" s="294"/>
      <c r="Q199" s="295"/>
      <c r="R199" s="296"/>
      <c r="S199" s="293"/>
      <c r="T199" s="292"/>
      <c r="U199" s="293"/>
      <c r="V199" s="292"/>
      <c r="W199" s="297"/>
      <c r="X199" s="296"/>
      <c r="Y199" s="293"/>
      <c r="Z199" s="292"/>
      <c r="AA199" s="293"/>
      <c r="AB199" s="292"/>
      <c r="AC199" s="297"/>
    </row>
    <row r="200" spans="1:29" ht="16.100000000000001" thickBot="1">
      <c r="A200" s="290" t="s">
        <v>992</v>
      </c>
      <c r="B200" s="21"/>
      <c r="C200" s="21"/>
      <c r="D200" s="21"/>
      <c r="F200" s="2096">
        <v>0</v>
      </c>
      <c r="G200" s="2097"/>
      <c r="H200" s="2098">
        <v>0</v>
      </c>
      <c r="I200" s="2097"/>
      <c r="J200" s="2103">
        <v>0</v>
      </c>
      <c r="K200" s="2104"/>
      <c r="L200" s="2093" t="s">
        <v>417</v>
      </c>
      <c r="M200" s="2094"/>
      <c r="N200" s="2094"/>
      <c r="O200" s="2095"/>
      <c r="P200" s="2106" t="str">
        <f>P182</f>
        <v>Yes</v>
      </c>
      <c r="Q200" s="2107"/>
      <c r="R200" s="2093" t="s">
        <v>417</v>
      </c>
      <c r="S200" s="2094"/>
      <c r="T200" s="2094"/>
      <c r="U200" s="2095"/>
      <c r="V200" s="2106" t="str">
        <f>V182</f>
        <v>No</v>
      </c>
      <c r="W200" s="2107"/>
      <c r="X200" s="2093" t="s">
        <v>417</v>
      </c>
      <c r="Y200" s="2094"/>
      <c r="Z200" s="2094"/>
      <c r="AA200" s="2095"/>
      <c r="AB200" s="2106" t="str">
        <f>AB182</f>
        <v>No</v>
      </c>
      <c r="AC200" s="2107"/>
    </row>
    <row r="201" spans="1:29" ht="13.75" thickBot="1">
      <c r="L201" s="2093" t="s">
        <v>419</v>
      </c>
      <c r="M201" s="2094"/>
      <c r="N201" s="2094"/>
      <c r="O201" s="2094"/>
      <c r="P201" s="2094"/>
      <c r="Q201" s="2095"/>
      <c r="R201" s="2106" t="str">
        <f>R183</f>
        <v>No</v>
      </c>
      <c r="S201" s="2107"/>
      <c r="T201" s="2093" t="s">
        <v>420</v>
      </c>
      <c r="U201" s="2095"/>
      <c r="V201" s="2121">
        <v>0</v>
      </c>
      <c r="W201" s="2122"/>
    </row>
    <row r="202" spans="1:29" ht="13.5" thickBot="1">
      <c r="L202" s="2093" t="s">
        <v>421</v>
      </c>
      <c r="M202" s="2094"/>
      <c r="N202" s="2094"/>
      <c r="O202" s="2094"/>
      <c r="P202" s="2094"/>
      <c r="Q202" s="2095"/>
      <c r="R202" s="2119">
        <v>0</v>
      </c>
      <c r="S202" s="2120"/>
      <c r="T202" s="2123" t="s">
        <v>422</v>
      </c>
      <c r="U202" s="2124"/>
      <c r="V202" s="2125">
        <v>0</v>
      </c>
      <c r="W202" s="2126"/>
    </row>
    <row r="203" spans="1:29" ht="13.75" thickBot="1">
      <c r="L203" s="2093" t="s">
        <v>921</v>
      </c>
      <c r="M203" s="2094"/>
      <c r="N203" s="2094"/>
      <c r="O203" s="2094"/>
      <c r="P203" s="2094"/>
      <c r="Q203" s="2095"/>
      <c r="R203" s="2106" t="str">
        <f>R185</f>
        <v>No</v>
      </c>
      <c r="S203" s="2107"/>
      <c r="T203" s="2093" t="s">
        <v>420</v>
      </c>
      <c r="U203" s="2095"/>
      <c r="V203" s="2121">
        <v>0</v>
      </c>
      <c r="W203" s="2122"/>
    </row>
    <row r="204" spans="1:29" ht="13.5" thickBot="1">
      <c r="L204" s="2093" t="s">
        <v>421</v>
      </c>
      <c r="M204" s="2094"/>
      <c r="N204" s="2094"/>
      <c r="O204" s="2094"/>
      <c r="P204" s="2094"/>
      <c r="Q204" s="2095"/>
      <c r="R204" s="2119">
        <v>0</v>
      </c>
      <c r="S204" s="2120"/>
      <c r="T204" s="2123" t="s">
        <v>422</v>
      </c>
      <c r="U204" s="2124"/>
      <c r="V204" s="2125">
        <v>0</v>
      </c>
      <c r="W204" s="2126"/>
    </row>
    <row r="205" spans="1:29" ht="13.1">
      <c r="A205" s="1644" t="s">
        <v>221</v>
      </c>
      <c r="B205" s="1644"/>
      <c r="C205" s="2130">
        <f>'Cost Control'!F83</f>
        <v>11</v>
      </c>
      <c r="D205" s="2130"/>
      <c r="E205" s="2130"/>
      <c r="F205" s="2130"/>
      <c r="G205" s="2130"/>
      <c r="H205" s="2130"/>
      <c r="I205" s="2130"/>
      <c r="L205" t="str">
        <f>IF(SUM(L197:Q197)=0," ","LTR SUMMARY:")</f>
        <v xml:space="preserve"> </v>
      </c>
      <c r="O205" s="1422">
        <f>SUM(L197:Q197)</f>
        <v>0</v>
      </c>
      <c r="P205" t="str">
        <f>IF(O205=0," ","m³")</f>
        <v xml:space="preserve"> </v>
      </c>
      <c r="R205" t="str">
        <f>IF(SUM(R197:W197)=0," ","LTR SUMMARY:")</f>
        <v xml:space="preserve"> </v>
      </c>
      <c r="U205" s="1422">
        <f>SUM(R197:W197)</f>
        <v>0</v>
      </c>
      <c r="V205" t="str">
        <f>IF(U205=0," ","m³")</f>
        <v xml:space="preserve"> </v>
      </c>
      <c r="X205" t="str">
        <f>IF(SUM(X197:AC197)=0," ","LTR SUMMARY:")</f>
        <v xml:space="preserve"> </v>
      </c>
      <c r="AA205" s="1422">
        <f>SUM(X197:AC197)</f>
        <v>0</v>
      </c>
      <c r="AB205" t="str">
        <f>IF(AA205=0," ","m³")</f>
        <v xml:space="preserve"> </v>
      </c>
    </row>
    <row r="206" spans="1:29" ht="13.5" thickBot="1"/>
    <row r="207" spans="1:29" ht="14.8" thickTop="1">
      <c r="A207" s="274" t="s">
        <v>190</v>
      </c>
      <c r="B207" s="275"/>
      <c r="C207" s="275"/>
      <c r="D207" s="275"/>
      <c r="E207" s="276"/>
      <c r="F207" s="277"/>
      <c r="G207" s="278"/>
      <c r="H207" s="271" t="s">
        <v>191</v>
      </c>
      <c r="I207" s="279"/>
      <c r="J207" s="279"/>
      <c r="K207" s="280"/>
      <c r="L207" s="279" t="str">
        <f>L189</f>
        <v xml:space="preserve">    Cum. to Date </v>
      </c>
      <c r="M207" s="281"/>
      <c r="N207" s="279"/>
      <c r="O207" s="334">
        <f>O189</f>
        <v>0</v>
      </c>
      <c r="P207" s="271"/>
      <c r="Q207" s="282"/>
      <c r="R207" s="283" t="str">
        <f>R189</f>
        <v xml:space="preserve">Cum. to Date </v>
      </c>
      <c r="S207" s="281"/>
      <c r="T207" s="279"/>
      <c r="U207" s="334">
        <f>U189</f>
        <v>0</v>
      </c>
      <c r="V207" s="284"/>
      <c r="W207" s="272"/>
      <c r="X207" s="283" t="str">
        <f>X189</f>
        <v xml:space="preserve">Cum. to Date </v>
      </c>
      <c r="Y207" s="281"/>
      <c r="Z207" s="279"/>
      <c r="AA207" s="334">
        <f>AA189</f>
        <v>0</v>
      </c>
      <c r="AB207" s="284"/>
      <c r="AC207" s="272"/>
    </row>
    <row r="208" spans="1:29" ht="14.8" thickBot="1">
      <c r="A208" s="285" t="s">
        <v>192</v>
      </c>
      <c r="B208" s="286"/>
      <c r="C208" s="286"/>
      <c r="D208" s="286"/>
      <c r="E208" s="287"/>
      <c r="F208" s="2067" t="s">
        <v>193</v>
      </c>
      <c r="G208" s="2068"/>
      <c r="H208" s="2069" t="s">
        <v>194</v>
      </c>
      <c r="I208" s="2070"/>
      <c r="J208" s="2069" t="str">
        <f>J190</f>
        <v>Other (1)</v>
      </c>
      <c r="K208" s="2091"/>
      <c r="L208" s="2092" t="s">
        <v>195</v>
      </c>
      <c r="M208" s="2070"/>
      <c r="N208" s="2069" t="s">
        <v>196</v>
      </c>
      <c r="O208" s="2070"/>
      <c r="P208" s="2069" t="str">
        <f>IF(P218="Yes",J208," ")</f>
        <v>Other (1)</v>
      </c>
      <c r="Q208" s="2091"/>
      <c r="R208" s="2092" t="str">
        <f>R190</f>
        <v>Water</v>
      </c>
      <c r="S208" s="2070"/>
      <c r="T208" s="2069" t="str">
        <f>T190</f>
        <v>Oil</v>
      </c>
      <c r="U208" s="2070"/>
      <c r="V208" s="2082" t="str">
        <f>IF(V218="Yes",J208," ")</f>
        <v xml:space="preserve"> </v>
      </c>
      <c r="W208" s="2083"/>
      <c r="X208" s="2092" t="str">
        <f>X190</f>
        <v>Water</v>
      </c>
      <c r="Y208" s="2070"/>
      <c r="Z208" s="2069" t="str">
        <f>Z190</f>
        <v>Oil</v>
      </c>
      <c r="AA208" s="2070"/>
      <c r="AB208" s="2082" t="str">
        <f>IF(AB218="Yes",J208," ")</f>
        <v xml:space="preserve"> </v>
      </c>
      <c r="AC208" s="2083"/>
    </row>
    <row r="209" spans="1:29" ht="16.100000000000001" thickTop="1">
      <c r="A209" s="288" t="s">
        <v>197</v>
      </c>
      <c r="B209" s="289"/>
      <c r="C209" s="289"/>
      <c r="D209" s="289"/>
      <c r="E209" s="289"/>
      <c r="F209" s="259"/>
      <c r="G209" s="260"/>
      <c r="H209" s="261"/>
      <c r="I209" s="260"/>
      <c r="J209" s="261"/>
      <c r="K209" s="262"/>
      <c r="L209" s="2084">
        <f>L191</f>
        <v>0</v>
      </c>
      <c r="M209" s="2084"/>
      <c r="N209" s="2085">
        <f>N191</f>
        <v>0</v>
      </c>
      <c r="O209" s="2086"/>
      <c r="P209" s="2085">
        <f>P191</f>
        <v>0</v>
      </c>
      <c r="Q209" s="2087"/>
      <c r="R209" s="2115">
        <f>R191</f>
        <v>0</v>
      </c>
      <c r="S209" s="2116"/>
      <c r="T209" s="2117">
        <f>T191</f>
        <v>0</v>
      </c>
      <c r="U209" s="2116"/>
      <c r="V209" s="2117">
        <f>V191</f>
        <v>0</v>
      </c>
      <c r="W209" s="2118"/>
      <c r="X209" s="2115">
        <f>X191</f>
        <v>0</v>
      </c>
      <c r="Y209" s="2116"/>
      <c r="Z209" s="2117">
        <f>Z191</f>
        <v>0</v>
      </c>
      <c r="AA209" s="2116"/>
      <c r="AB209" s="2117">
        <f>AB191</f>
        <v>0</v>
      </c>
      <c r="AC209" s="2118"/>
    </row>
    <row r="210" spans="1:29" ht="15.45">
      <c r="A210" s="288" t="s">
        <v>198</v>
      </c>
      <c r="B210" s="273"/>
      <c r="C210" s="273"/>
      <c r="D210" s="273"/>
      <c r="E210" s="273"/>
      <c r="F210" s="2073">
        <v>0</v>
      </c>
      <c r="G210" s="2074"/>
      <c r="H210" s="2075">
        <v>0</v>
      </c>
      <c r="I210" s="2074"/>
      <c r="J210" s="2075">
        <v>0</v>
      </c>
      <c r="K210" s="2076"/>
      <c r="L210" s="2077">
        <f>IF(P218="No",L192,F210+L192)</f>
        <v>0</v>
      </c>
      <c r="M210" s="2078"/>
      <c r="N210" s="2079">
        <f>IF(P218="No",N192,H210+N192)</f>
        <v>0</v>
      </c>
      <c r="O210" s="2078"/>
      <c r="P210" s="2079">
        <f>IF(P218="No",P192,J210+P192)</f>
        <v>0</v>
      </c>
      <c r="Q210" s="2080"/>
      <c r="R210" s="2081">
        <f>IF(V218="Yes",F210+R192,IF(R220="Water",IF(R219="Yes",V219,0),R192))</f>
        <v>0</v>
      </c>
      <c r="S210" s="2071"/>
      <c r="T210" s="2071">
        <f>IF(V218="Yes",H210+T192,IF(T220="Oil",IF(R219="Yes",V219,0),T192))</f>
        <v>0</v>
      </c>
      <c r="U210" s="2071"/>
      <c r="V210" s="2071">
        <f>IF(V218="Yes",J210+V192,IF(V220=V208,IF(R219="Yes",V219,0),V192))</f>
        <v>0</v>
      </c>
      <c r="W210" s="2072"/>
      <c r="X210" s="2081">
        <f>IF(AB218="Yes",F210+X192,IF(X220="Water",IF(X219="Yes",AB219,0),X192))</f>
        <v>0</v>
      </c>
      <c r="Y210" s="2071"/>
      <c r="Z210" s="2071">
        <f>IF(AB218="Yes",H210+Z192,IF(Z220=Z208,IF(X219="Yes",AB219,0),Z192))</f>
        <v>0</v>
      </c>
      <c r="AA210" s="2071"/>
      <c r="AB210" s="2071">
        <f>IF(AB218="Yes",J210+AB192,IF(AB220=AB208,IF(X219="Yes",AB219,0),AB192))</f>
        <v>0</v>
      </c>
      <c r="AC210" s="2072"/>
    </row>
    <row r="211" spans="1:29" ht="15.45">
      <c r="A211" s="288" t="s">
        <v>199</v>
      </c>
      <c r="B211" s="273"/>
      <c r="C211" s="273"/>
      <c r="D211" s="273"/>
      <c r="E211" s="273"/>
      <c r="F211" s="2073">
        <v>0</v>
      </c>
      <c r="G211" s="2074"/>
      <c r="H211" s="2075">
        <v>0</v>
      </c>
      <c r="I211" s="2074"/>
      <c r="J211" s="2075">
        <v>0</v>
      </c>
      <c r="K211" s="2076"/>
      <c r="L211" s="2077">
        <f>IF(P218="No",L193,F211+L193)</f>
        <v>0</v>
      </c>
      <c r="M211" s="2078"/>
      <c r="N211" s="2079">
        <f>IF(P218="No",N193,H211+N193)</f>
        <v>0</v>
      </c>
      <c r="O211" s="2078"/>
      <c r="P211" s="2079">
        <f>IF(P218="No",P193,J211+P193)</f>
        <v>0</v>
      </c>
      <c r="Q211" s="2080"/>
      <c r="R211" s="2081">
        <f>IF(V218="Yes",R193+F211,R193)</f>
        <v>0</v>
      </c>
      <c r="S211" s="2071"/>
      <c r="T211" s="2071">
        <f>IF(V218="Yes",T193+H211,T193)</f>
        <v>0</v>
      </c>
      <c r="U211" s="2071"/>
      <c r="V211" s="2071">
        <f>IF(V218="Yes",V193+J211,V193)</f>
        <v>0</v>
      </c>
      <c r="W211" s="2072"/>
      <c r="X211" s="2081">
        <f>IF(AB218="Yes",X193+F211,X193)</f>
        <v>0</v>
      </c>
      <c r="Y211" s="2071"/>
      <c r="Z211" s="2071">
        <f>IF(AB218="Yes",Z193+H211,Z193)</f>
        <v>0</v>
      </c>
      <c r="AA211" s="2071"/>
      <c r="AB211" s="2071">
        <f>IF(AB218="Yes",AB193+J211,AB193)</f>
        <v>0</v>
      </c>
      <c r="AC211" s="2072"/>
    </row>
    <row r="212" spans="1:29" ht="15.45">
      <c r="A212" s="288" t="s">
        <v>200</v>
      </c>
      <c r="B212" s="273"/>
      <c r="C212" s="273"/>
      <c r="D212" s="273"/>
      <c r="E212" s="273"/>
      <c r="F212" s="259"/>
      <c r="G212" s="260"/>
      <c r="H212" s="261"/>
      <c r="I212" s="263"/>
      <c r="J212" s="264"/>
      <c r="K212" s="265"/>
      <c r="L212" s="2077">
        <f>L209+L210-L211</f>
        <v>0</v>
      </c>
      <c r="M212" s="2078"/>
      <c r="N212" s="2079">
        <f>SUM(N209,N210,-N211)</f>
        <v>0</v>
      </c>
      <c r="O212" s="2078"/>
      <c r="P212" s="2079">
        <f>SUM(P209,P210,-P211)</f>
        <v>0</v>
      </c>
      <c r="Q212" s="2080"/>
      <c r="R212" s="2081">
        <f>SUM(R209,R210,-R211)</f>
        <v>0</v>
      </c>
      <c r="S212" s="2071"/>
      <c r="T212" s="2071">
        <f>SUM(T209,T210,-T211)</f>
        <v>0</v>
      </c>
      <c r="U212" s="2071"/>
      <c r="V212" s="2071">
        <f>SUM(V209,V210,-V211)</f>
        <v>0</v>
      </c>
      <c r="W212" s="2072"/>
      <c r="X212" s="2081">
        <f>SUM(X209,X210,-X211)</f>
        <v>0</v>
      </c>
      <c r="Y212" s="2071"/>
      <c r="Z212" s="2071">
        <f>SUM(Z209,Z210,-Z211)</f>
        <v>0</v>
      </c>
      <c r="AA212" s="2071"/>
      <c r="AB212" s="2071">
        <f>SUM(AB209,AB210,-AB211)</f>
        <v>0</v>
      </c>
      <c r="AC212" s="2072"/>
    </row>
    <row r="213" spans="1:29" ht="15.45">
      <c r="A213" s="288" t="s">
        <v>201</v>
      </c>
      <c r="B213" s="273"/>
      <c r="C213" s="273"/>
      <c r="D213" s="273"/>
      <c r="E213" s="273"/>
      <c r="F213" s="259"/>
      <c r="G213" s="260"/>
      <c r="H213" s="261"/>
      <c r="I213" s="263"/>
      <c r="J213" s="264"/>
      <c r="K213" s="265"/>
      <c r="L213" s="2073">
        <f>L195</f>
        <v>0</v>
      </c>
      <c r="M213" s="2074"/>
      <c r="N213" s="2075">
        <f>N195</f>
        <v>0</v>
      </c>
      <c r="O213" s="2074"/>
      <c r="P213" s="2075">
        <f>P195</f>
        <v>0</v>
      </c>
      <c r="Q213" s="2076"/>
      <c r="R213" s="2081">
        <f>R195</f>
        <v>0</v>
      </c>
      <c r="S213" s="2071"/>
      <c r="T213" s="2071">
        <f>T195</f>
        <v>0</v>
      </c>
      <c r="U213" s="2071"/>
      <c r="V213" s="2128">
        <f>V195</f>
        <v>0</v>
      </c>
      <c r="W213" s="2129"/>
      <c r="X213" s="2081">
        <f>X195</f>
        <v>0</v>
      </c>
      <c r="Y213" s="2071"/>
      <c r="Z213" s="2071">
        <f>Z195</f>
        <v>0</v>
      </c>
      <c r="AA213" s="2071"/>
      <c r="AB213" s="2128">
        <f>AB195</f>
        <v>0</v>
      </c>
      <c r="AC213" s="2129"/>
    </row>
    <row r="214" spans="1:29" ht="15.45">
      <c r="A214" s="288" t="s">
        <v>202</v>
      </c>
      <c r="B214" s="273"/>
      <c r="C214" s="273"/>
      <c r="D214" s="273"/>
      <c r="E214" s="273"/>
      <c r="F214" s="259"/>
      <c r="G214" s="260"/>
      <c r="H214" s="261"/>
      <c r="I214" s="263"/>
      <c r="J214" s="264"/>
      <c r="K214" s="265"/>
      <c r="L214" s="2077">
        <f>IF(P218="No",L196,L196+F210-F211+F217-F218)</f>
        <v>0</v>
      </c>
      <c r="M214" s="2078"/>
      <c r="N214" s="2079">
        <f>IF(P218="No",N196,N196+H210-H211+H217-H218)</f>
        <v>0</v>
      </c>
      <c r="O214" s="2078"/>
      <c r="P214" s="2079">
        <f>IF(P218="No",P196,P196+J210-J211+J217-J218)</f>
        <v>0</v>
      </c>
      <c r="Q214" s="2080"/>
      <c r="R214" s="2071">
        <f>IF(V218="Yes",R196+F210-F211+F217-F218,IF(P219="Yes",IF(R220=R208,R210-R211-V220,0),R196))</f>
        <v>0</v>
      </c>
      <c r="S214" s="2071"/>
      <c r="T214" s="2071">
        <f>IF(V218="Yes",T196+H210-H211+H217-H218,IF(R219="Yes",IF(R220=T208,T210-T211-V220,0),T196))</f>
        <v>0</v>
      </c>
      <c r="U214" s="2071"/>
      <c r="V214" s="2071">
        <f>IF(V218="Yes",V196+J210-J211+J217-J218,IF(T219="Yes",IF(R220=V208,V210-V211-V220,0),V196))</f>
        <v>0</v>
      </c>
      <c r="W214" s="2072"/>
      <c r="X214" s="2071">
        <f>IF(AB218="Yes",X196+F210-F211+F217-F218,IF(V219="Yes",IF(X220=X208,X210-X211-AB220,0),X196))</f>
        <v>0</v>
      </c>
      <c r="Y214" s="2071"/>
      <c r="Z214" s="2071">
        <f>IF(AB218="Yes",Z196+H210-H211+H217-H218,IF(X219="Yes",IF(X220=Z208,Z210-Z211-AB220,0),Z196))</f>
        <v>0</v>
      </c>
      <c r="AA214" s="2071"/>
      <c r="AB214" s="2071">
        <f>IF(AB218="Yes",AB196+J210-J211+J217-J218,IF(Z219="Yes",IF(X220=AB208,AB210-AB211-AB220,0),AB196))</f>
        <v>0</v>
      </c>
      <c r="AC214" s="2072"/>
    </row>
    <row r="215" spans="1:29" ht="15.45">
      <c r="A215" s="288" t="s">
        <v>203</v>
      </c>
      <c r="B215" s="273"/>
      <c r="C215" s="273"/>
      <c r="D215" s="273"/>
      <c r="E215" s="273"/>
      <c r="F215" s="2110"/>
      <c r="G215" s="2111"/>
      <c r="H215" s="2111"/>
      <c r="I215" s="2111"/>
      <c r="J215" s="2111"/>
      <c r="K215" s="2112"/>
      <c r="L215" s="2113">
        <f>IF(P218="No",0,IF(L212-L213-L214&lt;0,0,SUM(L212,-L213,-L214)))</f>
        <v>0</v>
      </c>
      <c r="M215" s="2114"/>
      <c r="N215" s="2113">
        <f>IF(P218="No",0,IF(N212-N213-N214&lt;0,0,SUM(N212,-N213,-N214)))</f>
        <v>0</v>
      </c>
      <c r="O215" s="2114"/>
      <c r="P215" s="2079">
        <f>IF(P218="No",0,IF(P212-P213-P214&lt;0,0,SUM(P212,-P213,-P214)))</f>
        <v>0</v>
      </c>
      <c r="Q215" s="2080"/>
      <c r="R215" s="2127">
        <f>IF(V218="No",0,IF(R212-R213-R214&lt;0,0,SUM(R212,-R213,-R214)))</f>
        <v>0</v>
      </c>
      <c r="S215" s="2114"/>
      <c r="T215" s="2113">
        <f>IF(V218="No",0,IF(T212-T213-T214&lt;0,0,SUM(T212,-T213,-T214)))</f>
        <v>0</v>
      </c>
      <c r="U215" s="2114"/>
      <c r="V215" s="2079">
        <f>IF(V218="No",0,IF(V212-V213-V214&lt;0,0,SUM(V212,-V213,-V214)))</f>
        <v>0</v>
      </c>
      <c r="W215" s="2080"/>
      <c r="X215" s="2113">
        <f>IF(AB218="No",0,IF(X212-X213-X214&lt;0,0,SUM(X212,-X213,-X214)))</f>
        <v>0</v>
      </c>
      <c r="Y215" s="2114"/>
      <c r="Z215" s="2113">
        <f>IF(AB218="No",0,IF(Z212-Z213-Z214&lt;0,0,SUM(Z212,-Z213,-Z214)))</f>
        <v>0</v>
      </c>
      <c r="AA215" s="2114"/>
      <c r="AB215" s="2079">
        <f>IF(AB218="No",0,IF(AB212-AB213-AB214&lt;0,0,SUM(AB212,-AB213,-AB214)))</f>
        <v>0</v>
      </c>
      <c r="AC215" s="2080"/>
    </row>
    <row r="216" spans="1:29" ht="15.45">
      <c r="A216" s="1177" t="s">
        <v>929</v>
      </c>
      <c r="B216" s="273"/>
      <c r="C216" s="273"/>
      <c r="D216" s="273"/>
      <c r="E216" s="1176"/>
      <c r="F216" s="1166"/>
      <c r="G216" s="1167"/>
      <c r="H216" s="1167"/>
      <c r="I216" s="1167"/>
      <c r="J216" s="1167"/>
      <c r="K216" s="1168"/>
      <c r="L216" s="2131">
        <f>IF(P218="No",0,IF((L212-L213-L214)&lt;0,(L212-L213-L214)*-1,0))</f>
        <v>0</v>
      </c>
      <c r="M216" s="2131"/>
      <c r="N216" s="2131">
        <f>IF(R218="No",0,IF((N212-N213-N214)&lt;0,(N212-N213-N214)*-1,0))</f>
        <v>0</v>
      </c>
      <c r="O216" s="2131"/>
      <c r="P216" s="2131">
        <f>IF(T218="No",0,IF((P212-P213-P214)&lt;0,(P212-P213-P214)*-1,0))</f>
        <v>0</v>
      </c>
      <c r="Q216" s="2132"/>
      <c r="R216" s="2078">
        <f>IF(V218="No",0,IF((R212-R213-R214)&lt;0,(R212-R213-R214)*-1,0))</f>
        <v>0</v>
      </c>
      <c r="S216" s="2131"/>
      <c r="T216" s="2131">
        <f>IF(V218="No",0,IF((T212-T213-T214)&lt;0,(T212-T213-T214)*-1,0))</f>
        <v>0</v>
      </c>
      <c r="U216" s="2131"/>
      <c r="V216" s="2131">
        <f>IF(V218="No",0,IF((V212-V213-V214)&lt;0,(V212-V213-V214)*-1,0))</f>
        <v>0</v>
      </c>
      <c r="W216" s="2132"/>
      <c r="X216" s="2134">
        <f>IF(AB218="No",0,IF((X212-X213-X214)&lt;0,(X212-X213-X214)*-1,0))</f>
        <v>0</v>
      </c>
      <c r="Y216" s="2131"/>
      <c r="Z216" s="2131">
        <f>IF(AB218="No",0,IF((Z212-Z213-Z214)&lt;0,(Z212-Z213-Z214)*-1,0))</f>
        <v>0</v>
      </c>
      <c r="AA216" s="2131"/>
      <c r="AB216" s="2131">
        <f>IF(AB218="No",0,IF((AB212-AB213-AB214)&lt;0,(AB212-AB213-AB214)*-1,0))</f>
        <v>0</v>
      </c>
      <c r="AC216" s="2132"/>
    </row>
    <row r="217" spans="1:29" ht="16.100000000000001" thickBot="1">
      <c r="A217" s="505" t="s">
        <v>991</v>
      </c>
      <c r="B217" s="506"/>
      <c r="C217" s="506"/>
      <c r="D217" s="506"/>
      <c r="E217" s="291"/>
      <c r="F217" s="2073">
        <v>0</v>
      </c>
      <c r="G217" s="2074"/>
      <c r="H217" s="2075">
        <v>0</v>
      </c>
      <c r="I217" s="2074"/>
      <c r="J217" s="2101">
        <v>0</v>
      </c>
      <c r="K217" s="2102"/>
      <c r="L217" s="292"/>
      <c r="M217" s="293"/>
      <c r="N217" s="292"/>
      <c r="O217" s="293"/>
      <c r="P217" s="294"/>
      <c r="Q217" s="295"/>
      <c r="R217" s="296"/>
      <c r="S217" s="293"/>
      <c r="T217" s="292"/>
      <c r="U217" s="293"/>
      <c r="V217" s="292"/>
      <c r="W217" s="297"/>
      <c r="X217" s="296"/>
      <c r="Y217" s="293"/>
      <c r="Z217" s="292"/>
      <c r="AA217" s="293"/>
      <c r="AB217" s="292"/>
      <c r="AC217" s="297"/>
    </row>
    <row r="218" spans="1:29" ht="16.100000000000001" thickBot="1">
      <c r="A218" s="290" t="s">
        <v>992</v>
      </c>
      <c r="B218" s="21"/>
      <c r="C218" s="21"/>
      <c r="D218" s="21"/>
      <c r="F218" s="2096">
        <v>0</v>
      </c>
      <c r="G218" s="2097"/>
      <c r="H218" s="2098">
        <v>0</v>
      </c>
      <c r="I218" s="2097"/>
      <c r="J218" s="2103">
        <v>0</v>
      </c>
      <c r="K218" s="2104"/>
      <c r="L218" s="2093" t="s">
        <v>417</v>
      </c>
      <c r="M218" s="2094"/>
      <c r="N218" s="2094"/>
      <c r="O218" s="2095"/>
      <c r="P218" s="2106" t="str">
        <f>P200</f>
        <v>Yes</v>
      </c>
      <c r="Q218" s="2107"/>
      <c r="R218" s="2093" t="s">
        <v>417</v>
      </c>
      <c r="S218" s="2094"/>
      <c r="T218" s="2094"/>
      <c r="U218" s="2095"/>
      <c r="V218" s="2106" t="str">
        <f>V200</f>
        <v>No</v>
      </c>
      <c r="W218" s="2107"/>
      <c r="X218" s="2093" t="s">
        <v>417</v>
      </c>
      <c r="Y218" s="2094"/>
      <c r="Z218" s="2094"/>
      <c r="AA218" s="2095"/>
      <c r="AB218" s="2106" t="str">
        <f>AB200</f>
        <v>No</v>
      </c>
      <c r="AC218" s="2107"/>
    </row>
    <row r="219" spans="1:29" ht="13.75" thickBot="1">
      <c r="L219" s="2093" t="s">
        <v>419</v>
      </c>
      <c r="M219" s="2094"/>
      <c r="N219" s="2094"/>
      <c r="O219" s="2094"/>
      <c r="P219" s="2094"/>
      <c r="Q219" s="2095"/>
      <c r="R219" s="2106" t="str">
        <f>R201</f>
        <v>No</v>
      </c>
      <c r="S219" s="2107"/>
      <c r="T219" s="2093" t="s">
        <v>420</v>
      </c>
      <c r="U219" s="2095"/>
      <c r="V219" s="2121">
        <v>0</v>
      </c>
      <c r="W219" s="2122"/>
    </row>
    <row r="220" spans="1:29" ht="13.5" thickBot="1">
      <c r="L220" s="2093" t="s">
        <v>421</v>
      </c>
      <c r="M220" s="2094"/>
      <c r="N220" s="2094"/>
      <c r="O220" s="2094"/>
      <c r="P220" s="2094"/>
      <c r="Q220" s="2095"/>
      <c r="R220" s="2119">
        <v>0</v>
      </c>
      <c r="S220" s="2120"/>
      <c r="T220" s="2123" t="s">
        <v>422</v>
      </c>
      <c r="U220" s="2124"/>
      <c r="V220" s="2125">
        <v>0</v>
      </c>
      <c r="W220" s="2126"/>
    </row>
    <row r="221" spans="1:29" ht="13.75" thickBot="1">
      <c r="L221" s="2093" t="s">
        <v>921</v>
      </c>
      <c r="M221" s="2094"/>
      <c r="N221" s="2094"/>
      <c r="O221" s="2094"/>
      <c r="P221" s="2094"/>
      <c r="Q221" s="2095"/>
      <c r="R221" s="2106" t="str">
        <f>R203</f>
        <v>No</v>
      </c>
      <c r="S221" s="2107"/>
      <c r="T221" s="2093" t="s">
        <v>420</v>
      </c>
      <c r="U221" s="2095"/>
      <c r="V221" s="2121">
        <v>0</v>
      </c>
      <c r="W221" s="2122"/>
    </row>
    <row r="222" spans="1:29" ht="13.5" thickBot="1">
      <c r="L222" s="2093" t="s">
        <v>421</v>
      </c>
      <c r="M222" s="2094"/>
      <c r="N222" s="2094"/>
      <c r="O222" s="2094"/>
      <c r="P222" s="2094"/>
      <c r="Q222" s="2095"/>
      <c r="R222" s="2119">
        <v>0</v>
      </c>
      <c r="S222" s="2120"/>
      <c r="T222" s="2123" t="s">
        <v>422</v>
      </c>
      <c r="U222" s="2124"/>
      <c r="V222" s="2125">
        <v>0</v>
      </c>
      <c r="W222" s="2126"/>
    </row>
    <row r="223" spans="1:29" ht="13.1">
      <c r="A223" s="1644" t="s">
        <v>221</v>
      </c>
      <c r="B223" s="1644"/>
      <c r="C223" s="2130">
        <f>'Cost Control'!G83</f>
        <v>12</v>
      </c>
      <c r="D223" s="2130"/>
      <c r="E223" s="2130"/>
      <c r="F223" s="2130"/>
      <c r="G223" s="2130"/>
      <c r="H223" s="2130"/>
      <c r="I223" s="2130"/>
      <c r="L223" t="str">
        <f>IF(SUM(L215:Q215)=0," ","LTR SUMMARY:")</f>
        <v xml:space="preserve"> </v>
      </c>
      <c r="O223" s="1422">
        <f>SUM(L215:Q215)</f>
        <v>0</v>
      </c>
      <c r="P223" t="str">
        <f>IF(O223=0," ","m³")</f>
        <v xml:space="preserve"> </v>
      </c>
      <c r="R223" t="str">
        <f>IF(SUM(R215:W215)=0," ","LTR SUMMARY:")</f>
        <v xml:space="preserve"> </v>
      </c>
      <c r="U223" s="1422">
        <f>SUM(R215:W215)</f>
        <v>0</v>
      </c>
      <c r="V223" t="str">
        <f>IF(U223=0," ","m³")</f>
        <v xml:space="preserve"> </v>
      </c>
      <c r="X223" t="str">
        <f>IF(SUM(X215:AC215)=0," ","LTR SUMMARY:")</f>
        <v xml:space="preserve"> </v>
      </c>
      <c r="AA223" s="1422">
        <f>SUM(X215:AC215)</f>
        <v>0</v>
      </c>
      <c r="AB223" t="str">
        <f>IF(AA223=0," ","m³")</f>
        <v xml:space="preserve"> </v>
      </c>
    </row>
    <row r="224" spans="1:29" ht="13.5" thickBot="1"/>
    <row r="225" spans="1:29" ht="14.8" thickTop="1">
      <c r="A225" s="274" t="s">
        <v>190</v>
      </c>
      <c r="B225" s="275"/>
      <c r="C225" s="275"/>
      <c r="D225" s="275"/>
      <c r="E225" s="276"/>
      <c r="F225" s="277"/>
      <c r="G225" s="278"/>
      <c r="H225" s="271" t="s">
        <v>191</v>
      </c>
      <c r="I225" s="279"/>
      <c r="J225" s="279"/>
      <c r="K225" s="280"/>
      <c r="L225" s="279" t="str">
        <f>L207</f>
        <v xml:space="preserve">    Cum. to Date </v>
      </c>
      <c r="M225" s="281"/>
      <c r="N225" s="279"/>
      <c r="O225" s="334">
        <f>O207</f>
        <v>0</v>
      </c>
      <c r="P225" s="271"/>
      <c r="Q225" s="282"/>
      <c r="R225" s="283" t="str">
        <f>R207</f>
        <v xml:space="preserve">Cum. to Date </v>
      </c>
      <c r="S225" s="281"/>
      <c r="T225" s="279"/>
      <c r="U225" s="334">
        <f>U207</f>
        <v>0</v>
      </c>
      <c r="V225" s="284"/>
      <c r="W225" s="272"/>
      <c r="X225" s="283" t="str">
        <f>X207</f>
        <v xml:space="preserve">Cum. to Date </v>
      </c>
      <c r="Y225" s="281"/>
      <c r="Z225" s="279"/>
      <c r="AA225" s="334">
        <f>AA207</f>
        <v>0</v>
      </c>
      <c r="AB225" s="284"/>
      <c r="AC225" s="272"/>
    </row>
    <row r="226" spans="1:29" ht="14.8" thickBot="1">
      <c r="A226" s="285" t="s">
        <v>192</v>
      </c>
      <c r="B226" s="286"/>
      <c r="C226" s="286"/>
      <c r="D226" s="286"/>
      <c r="E226" s="287"/>
      <c r="F226" s="2067" t="s">
        <v>193</v>
      </c>
      <c r="G226" s="2068"/>
      <c r="H226" s="2069" t="s">
        <v>194</v>
      </c>
      <c r="I226" s="2070"/>
      <c r="J226" s="2069" t="str">
        <f>J208</f>
        <v>Other (1)</v>
      </c>
      <c r="K226" s="2091"/>
      <c r="L226" s="2092" t="s">
        <v>195</v>
      </c>
      <c r="M226" s="2070"/>
      <c r="N226" s="2069" t="s">
        <v>196</v>
      </c>
      <c r="O226" s="2070"/>
      <c r="P226" s="2069" t="str">
        <f>IF(P236="Yes",J226," ")</f>
        <v>Other (1)</v>
      </c>
      <c r="Q226" s="2091"/>
      <c r="R226" s="2092" t="str">
        <f>R208</f>
        <v>Water</v>
      </c>
      <c r="S226" s="2070"/>
      <c r="T226" s="2069" t="str">
        <f>T208</f>
        <v>Oil</v>
      </c>
      <c r="U226" s="2070"/>
      <c r="V226" s="2082" t="str">
        <f>IF(V236="Yes",J226," ")</f>
        <v xml:space="preserve"> </v>
      </c>
      <c r="W226" s="2083"/>
      <c r="X226" s="2092" t="str">
        <f>X208</f>
        <v>Water</v>
      </c>
      <c r="Y226" s="2070"/>
      <c r="Z226" s="2069" t="str">
        <f>Z208</f>
        <v>Oil</v>
      </c>
      <c r="AA226" s="2070"/>
      <c r="AB226" s="2082" t="str">
        <f>IF(AB236="Yes",J226," ")</f>
        <v xml:space="preserve"> </v>
      </c>
      <c r="AC226" s="2083"/>
    </row>
    <row r="227" spans="1:29" ht="16.100000000000001" thickTop="1">
      <c r="A227" s="288" t="s">
        <v>197</v>
      </c>
      <c r="B227" s="289"/>
      <c r="C227" s="289"/>
      <c r="D227" s="289"/>
      <c r="E227" s="289"/>
      <c r="F227" s="259"/>
      <c r="G227" s="260"/>
      <c r="H227" s="261"/>
      <c r="I227" s="260"/>
      <c r="J227" s="261"/>
      <c r="K227" s="262"/>
      <c r="L227" s="2084">
        <f>L209</f>
        <v>0</v>
      </c>
      <c r="M227" s="2084"/>
      <c r="N227" s="2085">
        <f>N209</f>
        <v>0</v>
      </c>
      <c r="O227" s="2086"/>
      <c r="P227" s="2085">
        <f>P209</f>
        <v>0</v>
      </c>
      <c r="Q227" s="2087"/>
      <c r="R227" s="2115">
        <f>R209</f>
        <v>0</v>
      </c>
      <c r="S227" s="2116"/>
      <c r="T227" s="2117">
        <f>T209</f>
        <v>0</v>
      </c>
      <c r="U227" s="2116"/>
      <c r="V227" s="2117">
        <f>V209</f>
        <v>0</v>
      </c>
      <c r="W227" s="2118"/>
      <c r="X227" s="2115">
        <f>X209</f>
        <v>0</v>
      </c>
      <c r="Y227" s="2116"/>
      <c r="Z227" s="2117">
        <f>Z209</f>
        <v>0</v>
      </c>
      <c r="AA227" s="2116"/>
      <c r="AB227" s="2117">
        <f>AB209</f>
        <v>0</v>
      </c>
      <c r="AC227" s="2118"/>
    </row>
    <row r="228" spans="1:29" ht="15.45">
      <c r="A228" s="288" t="s">
        <v>198</v>
      </c>
      <c r="B228" s="273"/>
      <c r="C228" s="273"/>
      <c r="D228" s="273"/>
      <c r="E228" s="273"/>
      <c r="F228" s="2073">
        <v>0</v>
      </c>
      <c r="G228" s="2074"/>
      <c r="H228" s="2075">
        <v>0</v>
      </c>
      <c r="I228" s="2074"/>
      <c r="J228" s="2075">
        <v>0</v>
      </c>
      <c r="K228" s="2076"/>
      <c r="L228" s="2077">
        <f>IF(P236="No",L210,F228+L210)</f>
        <v>0</v>
      </c>
      <c r="M228" s="2078"/>
      <c r="N228" s="2079">
        <f>IF(P236="No",N210,H228+N210)</f>
        <v>0</v>
      </c>
      <c r="O228" s="2078"/>
      <c r="P228" s="2079">
        <f>IF(P236="No",P210,J228+P210)</f>
        <v>0</v>
      </c>
      <c r="Q228" s="2080"/>
      <c r="R228" s="2081">
        <f>IF(V236="Yes",F228+R210,IF(R238="Water",IF(R237="Yes",V237,0),R210))</f>
        <v>0</v>
      </c>
      <c r="S228" s="2071"/>
      <c r="T228" s="2071">
        <f>IF(V236="Yes",H228+T210,IF(T238="Oil",IF(R237="Yes",V237,0),T210))</f>
        <v>0</v>
      </c>
      <c r="U228" s="2071"/>
      <c r="V228" s="2071">
        <f>IF(V236="Yes",J228+V210,IF(V238=V226,IF(R237="Yes",V237,0),V210))</f>
        <v>0</v>
      </c>
      <c r="W228" s="2072"/>
      <c r="X228" s="2081">
        <f>IF(AB236="Yes",F228+X210,IF(X238="Water",IF(X237="Yes",AB237,0),X210))</f>
        <v>0</v>
      </c>
      <c r="Y228" s="2071"/>
      <c r="Z228" s="2071">
        <f>IF(AB236="Yes",H228+Z210,IF(Z238=Z226,IF(X237="Yes",AB237,0),Z210))</f>
        <v>0</v>
      </c>
      <c r="AA228" s="2071"/>
      <c r="AB228" s="2071">
        <f>IF(AB236="Yes",J228+AB210,IF(AB238=AB226,IF(X237="Yes",AB237,0),AB210))</f>
        <v>0</v>
      </c>
      <c r="AC228" s="2072"/>
    </row>
    <row r="229" spans="1:29" ht="15.45">
      <c r="A229" s="288" t="s">
        <v>199</v>
      </c>
      <c r="B229" s="273"/>
      <c r="C229" s="273"/>
      <c r="D229" s="273"/>
      <c r="E229" s="273"/>
      <c r="F229" s="2073">
        <v>0</v>
      </c>
      <c r="G229" s="2074"/>
      <c r="H229" s="2075">
        <v>0</v>
      </c>
      <c r="I229" s="2074"/>
      <c r="J229" s="2075">
        <v>0</v>
      </c>
      <c r="K229" s="2076"/>
      <c r="L229" s="2077">
        <f>IF(P236="No",L211,F229+L211)</f>
        <v>0</v>
      </c>
      <c r="M229" s="2078"/>
      <c r="N229" s="2079">
        <f>IF(P236="No",N211,H229+N211)</f>
        <v>0</v>
      </c>
      <c r="O229" s="2078"/>
      <c r="P229" s="2079">
        <f>IF(P236="No",P211,J229+P211)</f>
        <v>0</v>
      </c>
      <c r="Q229" s="2080"/>
      <c r="R229" s="2081">
        <f>IF(V236="Yes",R211+F229,R211)</f>
        <v>0</v>
      </c>
      <c r="S229" s="2071"/>
      <c r="T229" s="2071">
        <f>IF(V236="Yes",T211+H229,T211)</f>
        <v>0</v>
      </c>
      <c r="U229" s="2071"/>
      <c r="V229" s="2071">
        <f>IF(V236="Yes",V211+J229,V211)</f>
        <v>0</v>
      </c>
      <c r="W229" s="2072"/>
      <c r="X229" s="2081">
        <f>IF(AB236="Yes",X211+F229,X211)</f>
        <v>0</v>
      </c>
      <c r="Y229" s="2071"/>
      <c r="Z229" s="2071">
        <f>IF(AB236="Yes",Z211+H229,Z211)</f>
        <v>0</v>
      </c>
      <c r="AA229" s="2071"/>
      <c r="AB229" s="2071">
        <f>IF(AB236="Yes",AB211+J229,AB211)</f>
        <v>0</v>
      </c>
      <c r="AC229" s="2072"/>
    </row>
    <row r="230" spans="1:29" ht="15.45">
      <c r="A230" s="288" t="s">
        <v>200</v>
      </c>
      <c r="B230" s="273"/>
      <c r="C230" s="273"/>
      <c r="D230" s="273"/>
      <c r="E230" s="273"/>
      <c r="F230" s="259"/>
      <c r="G230" s="260"/>
      <c r="H230" s="261"/>
      <c r="I230" s="263"/>
      <c r="J230" s="264"/>
      <c r="K230" s="265"/>
      <c r="L230" s="2077">
        <f>L227+L228-L229</f>
        <v>0</v>
      </c>
      <c r="M230" s="2078"/>
      <c r="N230" s="2079">
        <f>SUM(N227,N228,-N229)</f>
        <v>0</v>
      </c>
      <c r="O230" s="2078"/>
      <c r="P230" s="2079">
        <f>SUM(P227,P228,-P229)</f>
        <v>0</v>
      </c>
      <c r="Q230" s="2080"/>
      <c r="R230" s="2081">
        <f>SUM(R227,R228,-R229)</f>
        <v>0</v>
      </c>
      <c r="S230" s="2071"/>
      <c r="T230" s="2071">
        <f>SUM(T227,T228,-T229)</f>
        <v>0</v>
      </c>
      <c r="U230" s="2071"/>
      <c r="V230" s="2071">
        <f>SUM(V227,V228,-V229)</f>
        <v>0</v>
      </c>
      <c r="W230" s="2072"/>
      <c r="X230" s="2081">
        <f>SUM(X227,X228,-X229)</f>
        <v>0</v>
      </c>
      <c r="Y230" s="2071"/>
      <c r="Z230" s="2071">
        <f>SUM(Z227,Z228,-Z229)</f>
        <v>0</v>
      </c>
      <c r="AA230" s="2071"/>
      <c r="AB230" s="2071">
        <f>SUM(AB227,AB228,-AB229)</f>
        <v>0</v>
      </c>
      <c r="AC230" s="2072"/>
    </row>
    <row r="231" spans="1:29" ht="15.45">
      <c r="A231" s="288" t="s">
        <v>201</v>
      </c>
      <c r="B231" s="273"/>
      <c r="C231" s="273"/>
      <c r="D231" s="273"/>
      <c r="E231" s="273"/>
      <c r="F231" s="259"/>
      <c r="G231" s="260"/>
      <c r="H231" s="261"/>
      <c r="I231" s="263"/>
      <c r="J231" s="264"/>
      <c r="K231" s="265"/>
      <c r="L231" s="2073">
        <f>L213</f>
        <v>0</v>
      </c>
      <c r="M231" s="2074"/>
      <c r="N231" s="2075">
        <f>N213</f>
        <v>0</v>
      </c>
      <c r="O231" s="2074"/>
      <c r="P231" s="2075">
        <f>P213</f>
        <v>0</v>
      </c>
      <c r="Q231" s="2076"/>
      <c r="R231" s="2081">
        <f>R213</f>
        <v>0</v>
      </c>
      <c r="S231" s="2071"/>
      <c r="T231" s="2071">
        <f>T213</f>
        <v>0</v>
      </c>
      <c r="U231" s="2071"/>
      <c r="V231" s="2128">
        <f>V213</f>
        <v>0</v>
      </c>
      <c r="W231" s="2129"/>
      <c r="X231" s="2081">
        <f>X213</f>
        <v>0</v>
      </c>
      <c r="Y231" s="2071"/>
      <c r="Z231" s="2071">
        <f>Z213</f>
        <v>0</v>
      </c>
      <c r="AA231" s="2071"/>
      <c r="AB231" s="2128">
        <f>AB213</f>
        <v>0</v>
      </c>
      <c r="AC231" s="2129"/>
    </row>
    <row r="232" spans="1:29" ht="15.45">
      <c r="A232" s="288" t="s">
        <v>202</v>
      </c>
      <c r="B232" s="273"/>
      <c r="C232" s="273"/>
      <c r="D232" s="273"/>
      <c r="E232" s="273"/>
      <c r="F232" s="259"/>
      <c r="G232" s="260"/>
      <c r="H232" s="261"/>
      <c r="I232" s="263"/>
      <c r="J232" s="264"/>
      <c r="K232" s="265"/>
      <c r="L232" s="2077">
        <f>IF(P236="No",L214,L214+F228-F229+F235-F236)</f>
        <v>0</v>
      </c>
      <c r="M232" s="2078"/>
      <c r="N232" s="2079">
        <f>IF(P236="No",N214,N214+H228-H229+H235-H236)</f>
        <v>0</v>
      </c>
      <c r="O232" s="2078"/>
      <c r="P232" s="2079">
        <f>IF(P236="No",P214,P214+J228-J229+J235-J236)</f>
        <v>0</v>
      </c>
      <c r="Q232" s="2080"/>
      <c r="R232" s="2071">
        <f>IF(V236="Yes",R214+F228-F229+F235-F236,IF(P237="Yes",IF(R238=R226,R228-R229-V238,0),R214))</f>
        <v>0</v>
      </c>
      <c r="S232" s="2071"/>
      <c r="T232" s="2071">
        <f>IF(V236="Yes",T214+H228-H229+H235-H236,IF(R237="Yes",IF(R238=T226,T228-T229-V238,0),T214))</f>
        <v>0</v>
      </c>
      <c r="U232" s="2071"/>
      <c r="V232" s="2071">
        <f>IF(V236="Yes",V214+J228-J229+J235-J236,IF(T237="Yes",IF(R238=V226,V228-V229-V238,0),V214))</f>
        <v>0</v>
      </c>
      <c r="W232" s="2072"/>
      <c r="X232" s="2071">
        <f>IF(AB236="Yes",X214+F228-F229+F235-F236,IF(V237="Yes",IF(X238=X226,X228-X229-AB238,0),X214))</f>
        <v>0</v>
      </c>
      <c r="Y232" s="2071"/>
      <c r="Z232" s="2071">
        <f>IF(AB236="Yes",Z214+H228-H229+H235-H236,IF(X237="Yes",IF(X238=Z226,Z228-Z229-AB238,0),Z214))</f>
        <v>0</v>
      </c>
      <c r="AA232" s="2071"/>
      <c r="AB232" s="2071">
        <f>IF(AB236="Yes",AB214+J228-J229+J235-J236,IF(Z237="Yes",IF(X238=AB226,AB228-AB229-AB238,0),AB214))</f>
        <v>0</v>
      </c>
      <c r="AC232" s="2072"/>
    </row>
    <row r="233" spans="1:29" ht="15.45">
      <c r="A233" s="288" t="s">
        <v>203</v>
      </c>
      <c r="B233" s="273"/>
      <c r="C233" s="273"/>
      <c r="D233" s="273"/>
      <c r="E233" s="273"/>
      <c r="F233" s="2110"/>
      <c r="G233" s="2111"/>
      <c r="H233" s="2111"/>
      <c r="I233" s="2111"/>
      <c r="J233" s="2111"/>
      <c r="K233" s="2112"/>
      <c r="L233" s="2113">
        <f>IF(P236="No",0,IF(L230-L231-L232&lt;0,0,SUM(L230,-L231,-L232)))</f>
        <v>0</v>
      </c>
      <c r="M233" s="2114"/>
      <c r="N233" s="2113">
        <f>IF(P236="No",0,IF(N230-N231-N232&lt;0,0,SUM(N230,-N231,-N232)))</f>
        <v>0</v>
      </c>
      <c r="O233" s="2114"/>
      <c r="P233" s="2079">
        <f>IF(P236="No",0,IF(P230-P231-P232&lt;0,0,SUM(P230,-P231,-P232)))</f>
        <v>0</v>
      </c>
      <c r="Q233" s="2080"/>
      <c r="R233" s="2127">
        <f>IF(V236="No",0,IF(R230-R231-R232&lt;0,0,SUM(R230,-R231,-R232)))</f>
        <v>0</v>
      </c>
      <c r="S233" s="2114"/>
      <c r="T233" s="2113">
        <f>IF(V236="No",0,IF(T230-T231-T232&lt;0,0,SUM(T230,-T231,-T232)))</f>
        <v>0</v>
      </c>
      <c r="U233" s="2114"/>
      <c r="V233" s="2079">
        <f>IF(V236="No",0,IF(V230-V231-V232&lt;0,0,SUM(V230,-V231,-V232)))</f>
        <v>0</v>
      </c>
      <c r="W233" s="2080"/>
      <c r="X233" s="2113">
        <f>IF(AB236="No",0,IF(X230-X231-X232&lt;0,0,SUM(X230,-X231,-X232)))</f>
        <v>0</v>
      </c>
      <c r="Y233" s="2114"/>
      <c r="Z233" s="2113">
        <f>IF(AB236="No",0,IF(Z230-Z231-Z232&lt;0,0,SUM(Z230,-Z231,-Z232)))</f>
        <v>0</v>
      </c>
      <c r="AA233" s="2114"/>
      <c r="AB233" s="2079">
        <f>IF(AB236="No",0,IF(AB230-AB231-AB232&lt;0,0,SUM(AB230,-AB231,-AB232)))</f>
        <v>0</v>
      </c>
      <c r="AC233" s="2080"/>
    </row>
    <row r="234" spans="1:29" ht="15.45">
      <c r="A234" s="1177" t="s">
        <v>929</v>
      </c>
      <c r="B234" s="273"/>
      <c r="C234" s="273"/>
      <c r="D234" s="273"/>
      <c r="E234" s="1176"/>
      <c r="F234" s="1166"/>
      <c r="G234" s="1167"/>
      <c r="H234" s="1167"/>
      <c r="I234" s="1167"/>
      <c r="J234" s="1167"/>
      <c r="K234" s="1168"/>
      <c r="L234" s="2131">
        <f>IF(P236="No",0,IF((L230-L231-L232)&lt;0,(L230-L231-L232)*-1,0))</f>
        <v>0</v>
      </c>
      <c r="M234" s="2131"/>
      <c r="N234" s="2131">
        <f>IF(R236="No",0,IF((N230-N231-N232)&lt;0,(N230-N231-N232)*-1,0))</f>
        <v>0</v>
      </c>
      <c r="O234" s="2131"/>
      <c r="P234" s="2131">
        <f>IF(T236="No",0,IF((P230-P231-P232)&lt;0,(P230-P231-P232)*-1,0))</f>
        <v>0</v>
      </c>
      <c r="Q234" s="2132"/>
      <c r="R234" s="2078">
        <f>IF(V236="No",0,IF((R230-R231-R232)&lt;0,(R230-R231-R232)*-1,0))</f>
        <v>0</v>
      </c>
      <c r="S234" s="2131"/>
      <c r="T234" s="2131">
        <f>IF(V236="No",0,IF((T230-T231-T232)&lt;0,(T230-T231-T232)*-1,0))</f>
        <v>0</v>
      </c>
      <c r="U234" s="2131"/>
      <c r="V234" s="2131">
        <f>IF(V236="No",0,IF((V230-V231-V232)&lt;0,(V230-V231-V232)*-1,0))</f>
        <v>0</v>
      </c>
      <c r="W234" s="2132"/>
      <c r="X234" s="2134">
        <f>IF(AB236="No",0,IF((X230-X231-X232)&lt;0,(X230-X231-X232)*-1,0))</f>
        <v>0</v>
      </c>
      <c r="Y234" s="2131"/>
      <c r="Z234" s="2131">
        <f>IF(AB236="No",0,IF((Z230-Z231-Z232)&lt;0,(Z230-Z231-Z232)*-1,0))</f>
        <v>0</v>
      </c>
      <c r="AA234" s="2131"/>
      <c r="AB234" s="2131">
        <f>IF(AB236="No",0,IF((AB230-AB231-AB232)&lt;0,(AB230-AB231-AB232)*-1,0))</f>
        <v>0</v>
      </c>
      <c r="AC234" s="2132"/>
    </row>
    <row r="235" spans="1:29" ht="16.100000000000001" thickBot="1">
      <c r="A235" s="505" t="s">
        <v>991</v>
      </c>
      <c r="B235" s="506"/>
      <c r="C235" s="506"/>
      <c r="D235" s="506"/>
      <c r="E235" s="291"/>
      <c r="F235" s="2073">
        <v>0</v>
      </c>
      <c r="G235" s="2074"/>
      <c r="H235" s="2075">
        <v>0</v>
      </c>
      <c r="I235" s="2074"/>
      <c r="J235" s="2101">
        <v>0</v>
      </c>
      <c r="K235" s="2102"/>
      <c r="L235" s="292"/>
      <c r="M235" s="293"/>
      <c r="N235" s="292"/>
      <c r="O235" s="293"/>
      <c r="P235" s="294"/>
      <c r="Q235" s="295"/>
      <c r="R235" s="296"/>
      <c r="S235" s="293"/>
      <c r="T235" s="292"/>
      <c r="U235" s="293"/>
      <c r="V235" s="292"/>
      <c r="W235" s="297"/>
      <c r="X235" s="296"/>
      <c r="Y235" s="293"/>
      <c r="Z235" s="292"/>
      <c r="AA235" s="293"/>
      <c r="AB235" s="292"/>
      <c r="AC235" s="297"/>
    </row>
    <row r="236" spans="1:29" ht="16.100000000000001" thickBot="1">
      <c r="A236" s="290" t="s">
        <v>992</v>
      </c>
      <c r="B236" s="21"/>
      <c r="C236" s="21"/>
      <c r="D236" s="21"/>
      <c r="F236" s="2096">
        <v>0</v>
      </c>
      <c r="G236" s="2097"/>
      <c r="H236" s="2098">
        <v>0</v>
      </c>
      <c r="I236" s="2097"/>
      <c r="J236" s="2103">
        <v>0</v>
      </c>
      <c r="K236" s="2104"/>
      <c r="L236" s="2093" t="s">
        <v>417</v>
      </c>
      <c r="M236" s="2094"/>
      <c r="N236" s="2094"/>
      <c r="O236" s="2095"/>
      <c r="P236" s="2106" t="str">
        <f>P218</f>
        <v>Yes</v>
      </c>
      <c r="Q236" s="2107"/>
      <c r="R236" s="2093" t="s">
        <v>417</v>
      </c>
      <c r="S236" s="2094"/>
      <c r="T236" s="2094"/>
      <c r="U236" s="2095"/>
      <c r="V236" s="2106" t="str">
        <f>V218</f>
        <v>No</v>
      </c>
      <c r="W236" s="2107"/>
      <c r="X236" s="2093" t="s">
        <v>417</v>
      </c>
      <c r="Y236" s="2094"/>
      <c r="Z236" s="2094"/>
      <c r="AA236" s="2095"/>
      <c r="AB236" s="2106" t="str">
        <f>AB218</f>
        <v>No</v>
      </c>
      <c r="AC236" s="2107"/>
    </row>
    <row r="237" spans="1:29" ht="13.75" thickBot="1">
      <c r="L237" s="2093" t="s">
        <v>419</v>
      </c>
      <c r="M237" s="2094"/>
      <c r="N237" s="2094"/>
      <c r="O237" s="2094"/>
      <c r="P237" s="2094"/>
      <c r="Q237" s="2095"/>
      <c r="R237" s="2106" t="str">
        <f>R219</f>
        <v>No</v>
      </c>
      <c r="S237" s="2107"/>
      <c r="T237" s="2093" t="s">
        <v>420</v>
      </c>
      <c r="U237" s="2095"/>
      <c r="V237" s="2121">
        <v>0</v>
      </c>
      <c r="W237" s="2122"/>
    </row>
    <row r="238" spans="1:29" ht="13.5" thickBot="1">
      <c r="L238" s="2093" t="s">
        <v>421</v>
      </c>
      <c r="M238" s="2094"/>
      <c r="N238" s="2094"/>
      <c r="O238" s="2094"/>
      <c r="P238" s="2094"/>
      <c r="Q238" s="2095"/>
      <c r="R238" s="2119">
        <v>0</v>
      </c>
      <c r="S238" s="2120"/>
      <c r="T238" s="2123" t="s">
        <v>422</v>
      </c>
      <c r="U238" s="2124"/>
      <c r="V238" s="2125">
        <v>0</v>
      </c>
      <c r="W238" s="2126"/>
    </row>
    <row r="239" spans="1:29" ht="13.75" thickBot="1">
      <c r="L239" s="2093" t="s">
        <v>921</v>
      </c>
      <c r="M239" s="2094"/>
      <c r="N239" s="2094"/>
      <c r="O239" s="2094"/>
      <c r="P239" s="2094"/>
      <c r="Q239" s="2095"/>
      <c r="R239" s="2106" t="str">
        <f>R221</f>
        <v>No</v>
      </c>
      <c r="S239" s="2107"/>
      <c r="T239" s="2093" t="s">
        <v>420</v>
      </c>
      <c r="U239" s="2095"/>
      <c r="V239" s="2121">
        <v>0</v>
      </c>
      <c r="W239" s="2122"/>
    </row>
    <row r="240" spans="1:29" ht="13.5" thickBot="1">
      <c r="L240" s="2093" t="s">
        <v>421</v>
      </c>
      <c r="M240" s="2094"/>
      <c r="N240" s="2094"/>
      <c r="O240" s="2094"/>
      <c r="P240" s="2094"/>
      <c r="Q240" s="2095"/>
      <c r="R240" s="2119">
        <v>0</v>
      </c>
      <c r="S240" s="2120"/>
      <c r="T240" s="2123" t="s">
        <v>422</v>
      </c>
      <c r="U240" s="2124"/>
      <c r="V240" s="2125">
        <v>0</v>
      </c>
      <c r="W240" s="2126"/>
    </row>
    <row r="241" spans="1:29" ht="13.1">
      <c r="A241" s="1644" t="s">
        <v>221</v>
      </c>
      <c r="B241" s="1644"/>
      <c r="C241" s="2130">
        <f>'Cost Control'!H83</f>
        <v>13</v>
      </c>
      <c r="D241" s="2130"/>
      <c r="E241" s="2130"/>
      <c r="F241" s="2130"/>
      <c r="G241" s="2130"/>
      <c r="H241" s="2130"/>
      <c r="I241" s="2130"/>
      <c r="L241" t="str">
        <f>IF(SUM(L233:Q233)=0," ","LTR SUMMARY:")</f>
        <v xml:space="preserve"> </v>
      </c>
      <c r="O241" s="1422">
        <f>SUM(L233:Q233)</f>
        <v>0</v>
      </c>
      <c r="P241" t="str">
        <f>IF(O241=0," ","m³")</f>
        <v xml:space="preserve"> </v>
      </c>
      <c r="R241" t="str">
        <f>IF(SUM(R233:W233)=0," ","LTR SUMMARY:")</f>
        <v xml:space="preserve"> </v>
      </c>
      <c r="U241" s="1422">
        <f>SUM(R233:W233)</f>
        <v>0</v>
      </c>
      <c r="V241" t="str">
        <f>IF(U241=0," ","m³")</f>
        <v xml:space="preserve"> </v>
      </c>
      <c r="X241" t="str">
        <f>IF(SUM(X233:AC233)=0," ","LTR SUMMARY:")</f>
        <v xml:space="preserve"> </v>
      </c>
      <c r="AA241" s="1422">
        <f>SUM(X233:AC233)</f>
        <v>0</v>
      </c>
      <c r="AB241" t="str">
        <f>IF(AA241=0," ","m³")</f>
        <v xml:space="preserve"> </v>
      </c>
    </row>
    <row r="242" spans="1:29" ht="13.5" thickBot="1"/>
    <row r="243" spans="1:29" ht="14.8" thickTop="1">
      <c r="A243" s="274" t="s">
        <v>190</v>
      </c>
      <c r="B243" s="275"/>
      <c r="C243" s="275"/>
      <c r="D243" s="275"/>
      <c r="E243" s="276"/>
      <c r="F243" s="277"/>
      <c r="G243" s="278"/>
      <c r="H243" s="271" t="s">
        <v>191</v>
      </c>
      <c r="I243" s="279"/>
      <c r="J243" s="279"/>
      <c r="K243" s="280"/>
      <c r="L243" s="279" t="str">
        <f>L225</f>
        <v xml:space="preserve">    Cum. to Date </v>
      </c>
      <c r="M243" s="281"/>
      <c r="N243" s="279"/>
      <c r="O243" s="334">
        <f>O225</f>
        <v>0</v>
      </c>
      <c r="P243" s="271"/>
      <c r="Q243" s="282"/>
      <c r="R243" s="283" t="str">
        <f>R225</f>
        <v xml:space="preserve">Cum. to Date </v>
      </c>
      <c r="S243" s="281"/>
      <c r="T243" s="279"/>
      <c r="U243" s="334">
        <f>U225</f>
        <v>0</v>
      </c>
      <c r="V243" s="284"/>
      <c r="W243" s="272"/>
      <c r="X243" s="283" t="str">
        <f>X225</f>
        <v xml:space="preserve">Cum. to Date </v>
      </c>
      <c r="Y243" s="281"/>
      <c r="Z243" s="279"/>
      <c r="AA243" s="334">
        <f>AA225</f>
        <v>0</v>
      </c>
      <c r="AB243" s="284"/>
      <c r="AC243" s="272"/>
    </row>
    <row r="244" spans="1:29" ht="14.8" thickBot="1">
      <c r="A244" s="285" t="s">
        <v>192</v>
      </c>
      <c r="B244" s="286"/>
      <c r="C244" s="286"/>
      <c r="D244" s="286"/>
      <c r="E244" s="287"/>
      <c r="F244" s="2067" t="s">
        <v>193</v>
      </c>
      <c r="G244" s="2068"/>
      <c r="H244" s="2069" t="s">
        <v>194</v>
      </c>
      <c r="I244" s="2070"/>
      <c r="J244" s="2069" t="str">
        <f>J226</f>
        <v>Other (1)</v>
      </c>
      <c r="K244" s="2091"/>
      <c r="L244" s="2092" t="s">
        <v>195</v>
      </c>
      <c r="M244" s="2070"/>
      <c r="N244" s="2069" t="s">
        <v>196</v>
      </c>
      <c r="O244" s="2070"/>
      <c r="P244" s="2069" t="str">
        <f>IF(P254="Yes",J244," ")</f>
        <v>Other (1)</v>
      </c>
      <c r="Q244" s="2091"/>
      <c r="R244" s="2092" t="str">
        <f>R226</f>
        <v>Water</v>
      </c>
      <c r="S244" s="2070"/>
      <c r="T244" s="2069" t="str">
        <f>T226</f>
        <v>Oil</v>
      </c>
      <c r="U244" s="2070"/>
      <c r="V244" s="2082" t="str">
        <f>IF(V254="Yes",J244," ")</f>
        <v xml:space="preserve"> </v>
      </c>
      <c r="W244" s="2083"/>
      <c r="X244" s="2092" t="str">
        <f>X226</f>
        <v>Water</v>
      </c>
      <c r="Y244" s="2070"/>
      <c r="Z244" s="2069" t="str">
        <f>Z226</f>
        <v>Oil</v>
      </c>
      <c r="AA244" s="2070"/>
      <c r="AB244" s="2082" t="str">
        <f>IF(AB254="Yes",J244," ")</f>
        <v xml:space="preserve"> </v>
      </c>
      <c r="AC244" s="2083"/>
    </row>
    <row r="245" spans="1:29" ht="16.100000000000001" thickTop="1">
      <c r="A245" s="288" t="s">
        <v>197</v>
      </c>
      <c r="B245" s="289"/>
      <c r="C245" s="289"/>
      <c r="D245" s="289"/>
      <c r="E245" s="289"/>
      <c r="F245" s="259"/>
      <c r="G245" s="260"/>
      <c r="H245" s="261"/>
      <c r="I245" s="260"/>
      <c r="J245" s="261"/>
      <c r="K245" s="262"/>
      <c r="L245" s="2084">
        <f>L227</f>
        <v>0</v>
      </c>
      <c r="M245" s="2084"/>
      <c r="N245" s="2085">
        <f>N227</f>
        <v>0</v>
      </c>
      <c r="O245" s="2086"/>
      <c r="P245" s="2085">
        <f>P227</f>
        <v>0</v>
      </c>
      <c r="Q245" s="2087"/>
      <c r="R245" s="2115">
        <f>R227</f>
        <v>0</v>
      </c>
      <c r="S245" s="2116"/>
      <c r="T245" s="2117">
        <f>T227</f>
        <v>0</v>
      </c>
      <c r="U245" s="2116"/>
      <c r="V245" s="2117">
        <f>V227</f>
        <v>0</v>
      </c>
      <c r="W245" s="2118"/>
      <c r="X245" s="2115">
        <f>X227</f>
        <v>0</v>
      </c>
      <c r="Y245" s="2116"/>
      <c r="Z245" s="2117">
        <f>Z227</f>
        <v>0</v>
      </c>
      <c r="AA245" s="2116"/>
      <c r="AB245" s="2117">
        <f>AB227</f>
        <v>0</v>
      </c>
      <c r="AC245" s="2118"/>
    </row>
    <row r="246" spans="1:29" ht="15.45">
      <c r="A246" s="288" t="s">
        <v>198</v>
      </c>
      <c r="B246" s="273"/>
      <c r="C246" s="273"/>
      <c r="D246" s="273"/>
      <c r="E246" s="273"/>
      <c r="F246" s="2073">
        <v>0</v>
      </c>
      <c r="G246" s="2074"/>
      <c r="H246" s="2075">
        <v>0</v>
      </c>
      <c r="I246" s="2074"/>
      <c r="J246" s="2075">
        <v>0</v>
      </c>
      <c r="K246" s="2076"/>
      <c r="L246" s="2077">
        <f>IF(P254="No",L228,F246+L228)</f>
        <v>0</v>
      </c>
      <c r="M246" s="2078"/>
      <c r="N246" s="2079">
        <f>IF(P254="No",N228,H246+N228)</f>
        <v>0</v>
      </c>
      <c r="O246" s="2078"/>
      <c r="P246" s="2079">
        <f>IF(P254="No",P228,J246+P228)</f>
        <v>0</v>
      </c>
      <c r="Q246" s="2080"/>
      <c r="R246" s="2081">
        <f>IF(V254="Yes",F246+R228,IF(R256="Water",IF(R255="Yes",V255,0),R228))</f>
        <v>0</v>
      </c>
      <c r="S246" s="2071"/>
      <c r="T246" s="2071">
        <f>IF(V254="Yes",H246+T228,IF(T256="Oil",IF(R255="Yes",V255,0),T228))</f>
        <v>0</v>
      </c>
      <c r="U246" s="2071"/>
      <c r="V246" s="2071">
        <f>IF(V254="Yes",J246+V228,IF(V256=V244,IF(R255="Yes",V255,0),V228))</f>
        <v>0</v>
      </c>
      <c r="W246" s="2072"/>
      <c r="X246" s="2081">
        <f>IF(AB254="Yes",F246+X228,IF(X256="Water",IF(X255="Yes",AB255,0),X228))</f>
        <v>0</v>
      </c>
      <c r="Y246" s="2071"/>
      <c r="Z246" s="2071">
        <f>IF(AB254="Yes",H246+Z228,IF(Z256=Z244,IF(X255="Yes",AB255,0),Z228))</f>
        <v>0</v>
      </c>
      <c r="AA246" s="2071"/>
      <c r="AB246" s="2071">
        <f>IF(AB254="Yes",J246+AB228,IF(AB256=AB244,IF(X255="Yes",AB255,0),AB228))</f>
        <v>0</v>
      </c>
      <c r="AC246" s="2072"/>
    </row>
    <row r="247" spans="1:29" ht="15.45">
      <c r="A247" s="288" t="s">
        <v>199</v>
      </c>
      <c r="B247" s="273"/>
      <c r="C247" s="273"/>
      <c r="D247" s="273"/>
      <c r="E247" s="273"/>
      <c r="F247" s="2073">
        <v>0</v>
      </c>
      <c r="G247" s="2074"/>
      <c r="H247" s="2075">
        <v>0</v>
      </c>
      <c r="I247" s="2074"/>
      <c r="J247" s="2075">
        <v>0</v>
      </c>
      <c r="K247" s="2076"/>
      <c r="L247" s="2077">
        <f>IF(P254="No",L229,F247+L229)</f>
        <v>0</v>
      </c>
      <c r="M247" s="2078"/>
      <c r="N247" s="2079">
        <f>IF(P254="No",N229,H247+N229)</f>
        <v>0</v>
      </c>
      <c r="O247" s="2078"/>
      <c r="P247" s="2079">
        <f>IF(P254="No",P229,J247+P229)</f>
        <v>0</v>
      </c>
      <c r="Q247" s="2080"/>
      <c r="R247" s="2081">
        <f>IF(V254="Yes",R229+F247,R229)</f>
        <v>0</v>
      </c>
      <c r="S247" s="2071"/>
      <c r="T247" s="2071">
        <f>IF(V254="Yes",T229+H247,T229)</f>
        <v>0</v>
      </c>
      <c r="U247" s="2071"/>
      <c r="V247" s="2071">
        <f>IF(V254="Yes",V229+J247,V229)</f>
        <v>0</v>
      </c>
      <c r="W247" s="2072"/>
      <c r="X247" s="2081">
        <f>IF(AB254="Yes",X229+F247,X229)</f>
        <v>0</v>
      </c>
      <c r="Y247" s="2071"/>
      <c r="Z247" s="2071">
        <f>IF(AB254="Yes",Z229+H247,Z229)</f>
        <v>0</v>
      </c>
      <c r="AA247" s="2071"/>
      <c r="AB247" s="2071">
        <f>IF(AB254="Yes",AB229+J247,AB229)</f>
        <v>0</v>
      </c>
      <c r="AC247" s="2072"/>
    </row>
    <row r="248" spans="1:29" ht="15.45">
      <c r="A248" s="288" t="s">
        <v>200</v>
      </c>
      <c r="B248" s="273"/>
      <c r="C248" s="273"/>
      <c r="D248" s="273"/>
      <c r="E248" s="273"/>
      <c r="F248" s="259"/>
      <c r="G248" s="260"/>
      <c r="H248" s="261"/>
      <c r="I248" s="263"/>
      <c r="J248" s="264"/>
      <c r="K248" s="265"/>
      <c r="L248" s="2077">
        <f>L245+L246-L247</f>
        <v>0</v>
      </c>
      <c r="M248" s="2078"/>
      <c r="N248" s="2079">
        <f>SUM(N245,N246,-N247)</f>
        <v>0</v>
      </c>
      <c r="O248" s="2078"/>
      <c r="P248" s="2079">
        <f>SUM(P245,P246,-P247)</f>
        <v>0</v>
      </c>
      <c r="Q248" s="2080"/>
      <c r="R248" s="2081">
        <f>SUM(R245,R246,-R247)</f>
        <v>0</v>
      </c>
      <c r="S248" s="2071"/>
      <c r="T248" s="2071">
        <f>SUM(T245,T246,-T247)</f>
        <v>0</v>
      </c>
      <c r="U248" s="2071"/>
      <c r="V248" s="2071">
        <f>SUM(V245,V246,-V247)</f>
        <v>0</v>
      </c>
      <c r="W248" s="2072"/>
      <c r="X248" s="2081">
        <f>SUM(X245,X246,-X247)</f>
        <v>0</v>
      </c>
      <c r="Y248" s="2071"/>
      <c r="Z248" s="2071">
        <f>SUM(Z245,Z246,-Z247)</f>
        <v>0</v>
      </c>
      <c r="AA248" s="2071"/>
      <c r="AB248" s="2071">
        <f>SUM(AB245,AB246,-AB247)</f>
        <v>0</v>
      </c>
      <c r="AC248" s="2072"/>
    </row>
    <row r="249" spans="1:29" ht="15.45">
      <c r="A249" s="288" t="s">
        <v>201</v>
      </c>
      <c r="B249" s="273"/>
      <c r="C249" s="273"/>
      <c r="D249" s="273"/>
      <c r="E249" s="273"/>
      <c r="F249" s="259"/>
      <c r="G249" s="260"/>
      <c r="H249" s="261"/>
      <c r="I249" s="263"/>
      <c r="J249" s="264"/>
      <c r="K249" s="265"/>
      <c r="L249" s="2073">
        <f>L231</f>
        <v>0</v>
      </c>
      <c r="M249" s="2074"/>
      <c r="N249" s="2075">
        <f>N231</f>
        <v>0</v>
      </c>
      <c r="O249" s="2074"/>
      <c r="P249" s="2075">
        <f>P231</f>
        <v>0</v>
      </c>
      <c r="Q249" s="2076"/>
      <c r="R249" s="2081">
        <f>R231</f>
        <v>0</v>
      </c>
      <c r="S249" s="2071"/>
      <c r="T249" s="2071">
        <f>T231</f>
        <v>0</v>
      </c>
      <c r="U249" s="2071"/>
      <c r="V249" s="2128">
        <f>V231</f>
        <v>0</v>
      </c>
      <c r="W249" s="2129"/>
      <c r="X249" s="2081">
        <f>X231</f>
        <v>0</v>
      </c>
      <c r="Y249" s="2071"/>
      <c r="Z249" s="2071">
        <f>Z231</f>
        <v>0</v>
      </c>
      <c r="AA249" s="2071"/>
      <c r="AB249" s="2128">
        <f>AB231</f>
        <v>0</v>
      </c>
      <c r="AC249" s="2129"/>
    </row>
    <row r="250" spans="1:29" ht="15.45">
      <c r="A250" s="288" t="s">
        <v>202</v>
      </c>
      <c r="B250" s="273"/>
      <c r="C250" s="273"/>
      <c r="D250" s="273"/>
      <c r="E250" s="273"/>
      <c r="F250" s="259"/>
      <c r="G250" s="260"/>
      <c r="H250" s="261"/>
      <c r="I250" s="263"/>
      <c r="J250" s="264"/>
      <c r="K250" s="265"/>
      <c r="L250" s="2077">
        <f>IF(P254="No",L232,L232+F246-F247+F253-F254)</f>
        <v>0</v>
      </c>
      <c r="M250" s="2078"/>
      <c r="N250" s="2079">
        <f>IF(P254="No",N232,N232+H246-H247+H253-H254)</f>
        <v>0</v>
      </c>
      <c r="O250" s="2078"/>
      <c r="P250" s="2079">
        <f>IF(P254="No",P232,P232+J246-J247+J253-J254)</f>
        <v>0</v>
      </c>
      <c r="Q250" s="2080"/>
      <c r="R250" s="2071">
        <f>IF(V254="Yes",R232+F246-F247+F253-F254,IF(P255="Yes",IF(R256=R244,R246-R247-V256,0),R232))</f>
        <v>0</v>
      </c>
      <c r="S250" s="2071"/>
      <c r="T250" s="2071">
        <f>IF(V254="Yes",T232+H246-H247+H253-H254,IF(R255="Yes",IF(R256=T244,T246-T247-V256,0),T232))</f>
        <v>0</v>
      </c>
      <c r="U250" s="2071"/>
      <c r="V250" s="2071">
        <f>IF(V254="Yes",V232+J246-J247+J253-J254,IF(T255="Yes",IF(R256=V244,V246-V247-V256,0),V232))</f>
        <v>0</v>
      </c>
      <c r="W250" s="2072"/>
      <c r="X250" s="2071">
        <f>IF(AB254="Yes",X232+F246-F247+F253-F254,IF(V255="Yes",IF(X256=X244,X246-X247-AB256,0),X232))</f>
        <v>0</v>
      </c>
      <c r="Y250" s="2071"/>
      <c r="Z250" s="2071">
        <f>IF(AB254="Yes",Z232+H246-H247+H253-H254,IF(X255="Yes",IF(X256=Z244,Z246-Z247-AB256,0),Z232))</f>
        <v>0</v>
      </c>
      <c r="AA250" s="2071"/>
      <c r="AB250" s="2071">
        <f>IF(AB254="Yes",AB232+J246-J247+J253-J254,IF(Z255="Yes",IF(X256=AB244,AB246-AB247-AB256,0),AB232))</f>
        <v>0</v>
      </c>
      <c r="AC250" s="2072"/>
    </row>
    <row r="251" spans="1:29" ht="15.45">
      <c r="A251" s="288" t="s">
        <v>203</v>
      </c>
      <c r="B251" s="273"/>
      <c r="C251" s="273"/>
      <c r="D251" s="273"/>
      <c r="E251" s="273"/>
      <c r="F251" s="2110"/>
      <c r="G251" s="2111"/>
      <c r="H251" s="2111"/>
      <c r="I251" s="2111"/>
      <c r="J251" s="2111"/>
      <c r="K251" s="2112"/>
      <c r="L251" s="2113">
        <f>IF(P254="No",0,IF(L248-L249-L250&lt;0,0,SUM(L248,-L249,-L250)))</f>
        <v>0</v>
      </c>
      <c r="M251" s="2114"/>
      <c r="N251" s="2113">
        <f>IF(P254="No",0,IF(N248-N249-N250&lt;0,0,SUM(N248,-N249,-N250)))</f>
        <v>0</v>
      </c>
      <c r="O251" s="2114"/>
      <c r="P251" s="2079">
        <f>IF(P254="No",0,IF(P248-P249-P250&lt;0,0,SUM(P248,-P249,-P250)))</f>
        <v>0</v>
      </c>
      <c r="Q251" s="2080"/>
      <c r="R251" s="2127">
        <f>IF(V254="No",0,IF(R248-R249-R250&lt;0,0,SUM(R248,-R249,-R250)))</f>
        <v>0</v>
      </c>
      <c r="S251" s="2114"/>
      <c r="T251" s="2113">
        <f>IF(V254="No",0,IF(T248-T249-T250&lt;0,0,SUM(T248,-T249,-T250)))</f>
        <v>0</v>
      </c>
      <c r="U251" s="2114"/>
      <c r="V251" s="2079">
        <f>IF(V254="No",0,IF(V248-V249-V250&lt;0,0,SUM(V248,-V249,-V250)))</f>
        <v>0</v>
      </c>
      <c r="W251" s="2080"/>
      <c r="X251" s="2113">
        <f>IF(AB254="No",0,IF(X248-X249-X250&lt;0,0,SUM(X248,-X249,-X250)))</f>
        <v>0</v>
      </c>
      <c r="Y251" s="2114"/>
      <c r="Z251" s="2113">
        <f>IF(AB254="No",0,IF(Z248-Z249-Z250&lt;0,0,SUM(Z248,-Z249,-Z250)))</f>
        <v>0</v>
      </c>
      <c r="AA251" s="2114"/>
      <c r="AB251" s="2079">
        <f>IF(AB254="No",0,IF(AB248-AB249-AB250&lt;0,0,SUM(AB248,-AB249,-AB250)))</f>
        <v>0</v>
      </c>
      <c r="AC251" s="2080"/>
    </row>
    <row r="252" spans="1:29" ht="15.45">
      <c r="A252" s="1177" t="s">
        <v>929</v>
      </c>
      <c r="B252" s="273"/>
      <c r="C252" s="273"/>
      <c r="D252" s="273"/>
      <c r="E252" s="1176"/>
      <c r="F252" s="1166"/>
      <c r="G252" s="1167"/>
      <c r="H252" s="1167"/>
      <c r="I252" s="1167"/>
      <c r="J252" s="1167"/>
      <c r="K252" s="1168"/>
      <c r="L252" s="2131">
        <f>IF(P254="No",0,IF((L248-L249-L250)&lt;0,(L248-L249-L250)*-1,0))</f>
        <v>0</v>
      </c>
      <c r="M252" s="2131"/>
      <c r="N252" s="2131">
        <f>IF(R254="No",0,IF((N248-N249-N250)&lt;0,(N248-N249-N250)*-1,0))</f>
        <v>0</v>
      </c>
      <c r="O252" s="2131"/>
      <c r="P252" s="2131">
        <f>IF(T254="No",0,IF((P248-P249-P250)&lt;0,(P248-P249-P250)*-1,0))</f>
        <v>0</v>
      </c>
      <c r="Q252" s="2132"/>
      <c r="R252" s="2078">
        <f>IF(V254="No",0,IF((R248-R249-R250)&lt;0,(R248-R249-R250)*-1,0))</f>
        <v>0</v>
      </c>
      <c r="S252" s="2131"/>
      <c r="T252" s="2131">
        <f>IF(V254="No",0,IF((T248-T249-T250)&lt;0,(T248-T249-T250)*-1,0))</f>
        <v>0</v>
      </c>
      <c r="U252" s="2131"/>
      <c r="V252" s="2131">
        <f>IF(V254="No",0,IF((V248-V249-V250)&lt;0,(V248-V249-V250)*-1,0))</f>
        <v>0</v>
      </c>
      <c r="W252" s="2132"/>
      <c r="X252" s="2134">
        <f>IF(AB254="No",0,IF((X248-X249-X250)&lt;0,(X248-X249-X250)*-1,0))</f>
        <v>0</v>
      </c>
      <c r="Y252" s="2131"/>
      <c r="Z252" s="2131">
        <f>IF(AB254="No",0,IF((Z248-Z249-Z250)&lt;0,(Z248-Z249-Z250)*-1,0))</f>
        <v>0</v>
      </c>
      <c r="AA252" s="2131"/>
      <c r="AB252" s="2131">
        <f>IF(AB254="No",0,IF((AB248-AB249-AB250)&lt;0,(AB248-AB249-AB250)*-1,0))</f>
        <v>0</v>
      </c>
      <c r="AC252" s="2132"/>
    </row>
    <row r="253" spans="1:29" ht="16.100000000000001" thickBot="1">
      <c r="A253" s="505" t="s">
        <v>991</v>
      </c>
      <c r="B253" s="506"/>
      <c r="C253" s="506"/>
      <c r="D253" s="506"/>
      <c r="E253" s="291"/>
      <c r="F253" s="2073">
        <v>0</v>
      </c>
      <c r="G253" s="2074"/>
      <c r="H253" s="2075">
        <v>0</v>
      </c>
      <c r="I253" s="2074"/>
      <c r="J253" s="2101">
        <v>0</v>
      </c>
      <c r="K253" s="2102"/>
      <c r="L253" s="292"/>
      <c r="M253" s="293"/>
      <c r="N253" s="292"/>
      <c r="O253" s="293"/>
      <c r="P253" s="294"/>
      <c r="Q253" s="295"/>
      <c r="R253" s="296"/>
      <c r="S253" s="293"/>
      <c r="T253" s="292"/>
      <c r="U253" s="293"/>
      <c r="V253" s="292"/>
      <c r="W253" s="297"/>
      <c r="X253" s="296"/>
      <c r="Y253" s="293"/>
      <c r="Z253" s="292"/>
      <c r="AA253" s="293"/>
      <c r="AB253" s="292"/>
      <c r="AC253" s="297"/>
    </row>
    <row r="254" spans="1:29" ht="16.100000000000001" thickBot="1">
      <c r="A254" s="290" t="s">
        <v>992</v>
      </c>
      <c r="B254" s="21"/>
      <c r="C254" s="21"/>
      <c r="D254" s="21"/>
      <c r="F254" s="2096">
        <v>0</v>
      </c>
      <c r="G254" s="2097"/>
      <c r="H254" s="2098">
        <v>0</v>
      </c>
      <c r="I254" s="2097"/>
      <c r="J254" s="2103">
        <v>0</v>
      </c>
      <c r="K254" s="2104"/>
      <c r="L254" s="2093" t="s">
        <v>417</v>
      </c>
      <c r="M254" s="2094"/>
      <c r="N254" s="2094"/>
      <c r="O254" s="2095"/>
      <c r="P254" s="2106" t="str">
        <f>P236</f>
        <v>Yes</v>
      </c>
      <c r="Q254" s="2107"/>
      <c r="R254" s="2093" t="s">
        <v>417</v>
      </c>
      <c r="S254" s="2094"/>
      <c r="T254" s="2094"/>
      <c r="U254" s="2095"/>
      <c r="V254" s="2106" t="str">
        <f>V236</f>
        <v>No</v>
      </c>
      <c r="W254" s="2107"/>
      <c r="X254" s="2093" t="s">
        <v>417</v>
      </c>
      <c r="Y254" s="2094"/>
      <c r="Z254" s="2094"/>
      <c r="AA254" s="2095"/>
      <c r="AB254" s="2106" t="str">
        <f>AB236</f>
        <v>No</v>
      </c>
      <c r="AC254" s="2107"/>
    </row>
    <row r="255" spans="1:29" ht="13.75" thickBot="1">
      <c r="L255" s="2093" t="s">
        <v>419</v>
      </c>
      <c r="M255" s="2094"/>
      <c r="N255" s="2094"/>
      <c r="O255" s="2094"/>
      <c r="P255" s="2094"/>
      <c r="Q255" s="2095"/>
      <c r="R255" s="2106" t="str">
        <f>R237</f>
        <v>No</v>
      </c>
      <c r="S255" s="2107"/>
      <c r="T255" s="2093" t="s">
        <v>420</v>
      </c>
      <c r="U255" s="2095"/>
      <c r="V255" s="2121">
        <v>0</v>
      </c>
      <c r="W255" s="2122"/>
    </row>
    <row r="256" spans="1:29" ht="13.5" thickBot="1">
      <c r="L256" s="2093" t="s">
        <v>421</v>
      </c>
      <c r="M256" s="2094"/>
      <c r="N256" s="2094"/>
      <c r="O256" s="2094"/>
      <c r="P256" s="2094"/>
      <c r="Q256" s="2095"/>
      <c r="R256" s="2119">
        <v>0</v>
      </c>
      <c r="S256" s="2120"/>
      <c r="T256" s="2123" t="s">
        <v>422</v>
      </c>
      <c r="U256" s="2124"/>
      <c r="V256" s="2125">
        <v>0</v>
      </c>
      <c r="W256" s="2126"/>
    </row>
    <row r="257" spans="1:29" ht="13.75" thickBot="1">
      <c r="L257" s="2093" t="s">
        <v>921</v>
      </c>
      <c r="M257" s="2094"/>
      <c r="N257" s="2094"/>
      <c r="O257" s="2094"/>
      <c r="P257" s="2094"/>
      <c r="Q257" s="2095"/>
      <c r="R257" s="2106" t="str">
        <f>R239</f>
        <v>No</v>
      </c>
      <c r="S257" s="2107"/>
      <c r="T257" s="2093" t="s">
        <v>420</v>
      </c>
      <c r="U257" s="2095"/>
      <c r="V257" s="2121">
        <v>0</v>
      </c>
      <c r="W257" s="2122"/>
    </row>
    <row r="258" spans="1:29" ht="13.5" thickBot="1">
      <c r="L258" s="2093" t="s">
        <v>421</v>
      </c>
      <c r="M258" s="2094"/>
      <c r="N258" s="2094"/>
      <c r="O258" s="2094"/>
      <c r="P258" s="2094"/>
      <c r="Q258" s="2095"/>
      <c r="R258" s="2119">
        <v>0</v>
      </c>
      <c r="S258" s="2120"/>
      <c r="T258" s="2123" t="s">
        <v>422</v>
      </c>
      <c r="U258" s="2124"/>
      <c r="V258" s="2125">
        <v>0</v>
      </c>
      <c r="W258" s="2126"/>
    </row>
    <row r="259" spans="1:29" ht="13.1">
      <c r="A259" s="1644" t="s">
        <v>221</v>
      </c>
      <c r="B259" s="1644"/>
      <c r="C259" s="2130">
        <f>'Cost Control'!I83</f>
        <v>14</v>
      </c>
      <c r="D259" s="2130"/>
      <c r="E259" s="2130"/>
      <c r="F259" s="2130"/>
      <c r="G259" s="2130"/>
      <c r="H259" s="2130"/>
      <c r="I259" s="2130"/>
      <c r="L259" t="str">
        <f>IF(SUM(L251:Q251)=0," ","LTR SUMMARY:")</f>
        <v xml:space="preserve"> </v>
      </c>
      <c r="O259" s="1422">
        <f>SUM(L251:Q251)</f>
        <v>0</v>
      </c>
      <c r="P259" t="str">
        <f>IF(O259=0," ","m³")</f>
        <v xml:space="preserve"> </v>
      </c>
      <c r="R259" t="str">
        <f>IF(SUM(R251:W251)=0," ","LTR SUMMARY:")</f>
        <v xml:space="preserve"> </v>
      </c>
      <c r="U259" s="1422">
        <f>SUM(R251:W251)</f>
        <v>0</v>
      </c>
      <c r="V259" t="str">
        <f>IF(U259=0," ","m³")</f>
        <v xml:space="preserve"> </v>
      </c>
      <c r="X259" t="str">
        <f>IF(SUM(X251:AC251)=0," ","LTR SUMMARY:")</f>
        <v xml:space="preserve"> </v>
      </c>
      <c r="AA259" s="1422">
        <f>SUM(X251:AC251)</f>
        <v>0</v>
      </c>
      <c r="AB259" t="str">
        <f>IF(AA259=0," ","m³")</f>
        <v xml:space="preserve"> </v>
      </c>
    </row>
    <row r="260" spans="1:29" ht="13.5" thickBot="1"/>
    <row r="261" spans="1:29" ht="14.8" thickTop="1">
      <c r="A261" s="274" t="s">
        <v>190</v>
      </c>
      <c r="B261" s="275"/>
      <c r="C261" s="275"/>
      <c r="D261" s="275"/>
      <c r="E261" s="276"/>
      <c r="F261" s="277"/>
      <c r="G261" s="278"/>
      <c r="H261" s="271" t="s">
        <v>191</v>
      </c>
      <c r="I261" s="279"/>
      <c r="J261" s="279"/>
      <c r="K261" s="280"/>
      <c r="L261" s="279" t="str">
        <f>L243</f>
        <v xml:space="preserve">    Cum. to Date </v>
      </c>
      <c r="M261" s="281"/>
      <c r="N261" s="279"/>
      <c r="O261" s="334">
        <f>O243</f>
        <v>0</v>
      </c>
      <c r="P261" s="271"/>
      <c r="Q261" s="282"/>
      <c r="R261" s="283" t="str">
        <f>R243</f>
        <v xml:space="preserve">Cum. to Date </v>
      </c>
      <c r="S261" s="281"/>
      <c r="T261" s="279"/>
      <c r="U261" s="334">
        <f>U243</f>
        <v>0</v>
      </c>
      <c r="V261" s="284"/>
      <c r="W261" s="272"/>
      <c r="X261" s="283" t="str">
        <f>X243</f>
        <v xml:space="preserve">Cum. to Date </v>
      </c>
      <c r="Y261" s="281"/>
      <c r="Z261" s="279"/>
      <c r="AA261" s="334">
        <f>AA243</f>
        <v>0</v>
      </c>
      <c r="AB261" s="284"/>
      <c r="AC261" s="272"/>
    </row>
    <row r="262" spans="1:29" ht="14.8" thickBot="1">
      <c r="A262" s="285" t="s">
        <v>192</v>
      </c>
      <c r="B262" s="286"/>
      <c r="C262" s="286"/>
      <c r="D262" s="286"/>
      <c r="E262" s="287"/>
      <c r="F262" s="2067" t="s">
        <v>193</v>
      </c>
      <c r="G262" s="2068"/>
      <c r="H262" s="2069" t="s">
        <v>194</v>
      </c>
      <c r="I262" s="2070"/>
      <c r="J262" s="2069" t="str">
        <f>J244</f>
        <v>Other (1)</v>
      </c>
      <c r="K262" s="2091"/>
      <c r="L262" s="2092" t="s">
        <v>195</v>
      </c>
      <c r="M262" s="2070"/>
      <c r="N262" s="2069" t="s">
        <v>196</v>
      </c>
      <c r="O262" s="2070"/>
      <c r="P262" s="2069" t="str">
        <f>IF(P272="Yes",J262," ")</f>
        <v>Other (1)</v>
      </c>
      <c r="Q262" s="2091"/>
      <c r="R262" s="2092" t="str">
        <f>R244</f>
        <v>Water</v>
      </c>
      <c r="S262" s="2070"/>
      <c r="T262" s="2069" t="str">
        <f>T244</f>
        <v>Oil</v>
      </c>
      <c r="U262" s="2070"/>
      <c r="V262" s="2082" t="str">
        <f>IF(V272="Yes",J262," ")</f>
        <v xml:space="preserve"> </v>
      </c>
      <c r="W262" s="2083"/>
      <c r="X262" s="2092" t="str">
        <f>X244</f>
        <v>Water</v>
      </c>
      <c r="Y262" s="2070"/>
      <c r="Z262" s="2069" t="str">
        <f>Z244</f>
        <v>Oil</v>
      </c>
      <c r="AA262" s="2070"/>
      <c r="AB262" s="2082" t="str">
        <f>IF(AB272="Yes",J262," ")</f>
        <v xml:space="preserve"> </v>
      </c>
      <c r="AC262" s="2083"/>
    </row>
    <row r="263" spans="1:29" ht="16.100000000000001" thickTop="1">
      <c r="A263" s="288" t="s">
        <v>197</v>
      </c>
      <c r="B263" s="289"/>
      <c r="C263" s="289"/>
      <c r="D263" s="289"/>
      <c r="E263" s="289"/>
      <c r="F263" s="259"/>
      <c r="G263" s="260"/>
      <c r="H263" s="261"/>
      <c r="I263" s="260"/>
      <c r="J263" s="261"/>
      <c r="K263" s="262"/>
      <c r="L263" s="2084">
        <f>L245</f>
        <v>0</v>
      </c>
      <c r="M263" s="2084"/>
      <c r="N263" s="2085">
        <f>N245</f>
        <v>0</v>
      </c>
      <c r="O263" s="2086"/>
      <c r="P263" s="2085">
        <f>P245</f>
        <v>0</v>
      </c>
      <c r="Q263" s="2087"/>
      <c r="R263" s="2115">
        <f>R245</f>
        <v>0</v>
      </c>
      <c r="S263" s="2116"/>
      <c r="T263" s="2117">
        <f>T245</f>
        <v>0</v>
      </c>
      <c r="U263" s="2116"/>
      <c r="V263" s="2117">
        <f>V245</f>
        <v>0</v>
      </c>
      <c r="W263" s="2118"/>
      <c r="X263" s="2115">
        <f>X245</f>
        <v>0</v>
      </c>
      <c r="Y263" s="2116"/>
      <c r="Z263" s="2117">
        <f>Z245</f>
        <v>0</v>
      </c>
      <c r="AA263" s="2116"/>
      <c r="AB263" s="2117">
        <f>AB245</f>
        <v>0</v>
      </c>
      <c r="AC263" s="2118"/>
    </row>
    <row r="264" spans="1:29" ht="15.45">
      <c r="A264" s="288" t="s">
        <v>198</v>
      </c>
      <c r="B264" s="273"/>
      <c r="C264" s="273"/>
      <c r="D264" s="273"/>
      <c r="E264" s="273"/>
      <c r="F264" s="2073">
        <v>0</v>
      </c>
      <c r="G264" s="2074"/>
      <c r="H264" s="2075">
        <v>0</v>
      </c>
      <c r="I264" s="2074"/>
      <c r="J264" s="2075">
        <v>0</v>
      </c>
      <c r="K264" s="2076"/>
      <c r="L264" s="2077">
        <f>IF(P272="No",L246,F264+L246)</f>
        <v>0</v>
      </c>
      <c r="M264" s="2078"/>
      <c r="N264" s="2079">
        <f>IF(P272="No",N246,H264+N246)</f>
        <v>0</v>
      </c>
      <c r="O264" s="2078"/>
      <c r="P264" s="2079">
        <f>IF(P272="No",P246,J264+P246)</f>
        <v>0</v>
      </c>
      <c r="Q264" s="2080"/>
      <c r="R264" s="2081">
        <f>IF(V272="Yes",F264+R246,IF(R274="Water",IF(R273="Yes",V273,0),R246))</f>
        <v>0</v>
      </c>
      <c r="S264" s="2071"/>
      <c r="T264" s="2071">
        <f>IF(V272="Yes",H264+T246,IF(T274="Oil",IF(R273="Yes",V273,0),T246))</f>
        <v>0</v>
      </c>
      <c r="U264" s="2071"/>
      <c r="V264" s="2071">
        <f>IF(V272="Yes",J264+V246,IF(V274=V262,IF(R273="Yes",V273,0),V246))</f>
        <v>0</v>
      </c>
      <c r="W264" s="2072"/>
      <c r="X264" s="2081">
        <f>IF(AB272="Yes",F264+X246,IF(X274="Water",IF(X273="Yes",AB273,0),X246))</f>
        <v>0</v>
      </c>
      <c r="Y264" s="2071"/>
      <c r="Z264" s="2071">
        <f>IF(AB272="Yes",H264+Z246,IF(Z274=Z262,IF(X273="Yes",AB273,0),Z246))</f>
        <v>0</v>
      </c>
      <c r="AA264" s="2071"/>
      <c r="AB264" s="2071">
        <f>IF(AB272="Yes",J264+AB246,IF(AB274=AB262,IF(X273="Yes",AB273,0),AB246))</f>
        <v>0</v>
      </c>
      <c r="AC264" s="2072"/>
    </row>
    <row r="265" spans="1:29" ht="15.45">
      <c r="A265" s="288" t="s">
        <v>199</v>
      </c>
      <c r="B265" s="273"/>
      <c r="C265" s="273"/>
      <c r="D265" s="273"/>
      <c r="E265" s="273"/>
      <c r="F265" s="2073">
        <v>0</v>
      </c>
      <c r="G265" s="2074"/>
      <c r="H265" s="2075">
        <v>0</v>
      </c>
      <c r="I265" s="2074"/>
      <c r="J265" s="2075">
        <v>0</v>
      </c>
      <c r="K265" s="2076"/>
      <c r="L265" s="2077">
        <f>IF(P272="No",L247,F265+L247)</f>
        <v>0</v>
      </c>
      <c r="M265" s="2078"/>
      <c r="N265" s="2079">
        <f>IF(P272="No",N247,H265+N247)</f>
        <v>0</v>
      </c>
      <c r="O265" s="2078"/>
      <c r="P265" s="2079">
        <f>IF(P272="No",P247,J265+P247)</f>
        <v>0</v>
      </c>
      <c r="Q265" s="2080"/>
      <c r="R265" s="2081">
        <f>IF(V272="Yes",R247+F265,R247)</f>
        <v>0</v>
      </c>
      <c r="S265" s="2071"/>
      <c r="T265" s="2071">
        <f>IF(V272="Yes",T247+H265,T247)</f>
        <v>0</v>
      </c>
      <c r="U265" s="2071"/>
      <c r="V265" s="2071">
        <f>IF(V272="Yes",V247+J265,V247)</f>
        <v>0</v>
      </c>
      <c r="W265" s="2072"/>
      <c r="X265" s="2081">
        <f>IF(AB272="Yes",X247+F265,X247)</f>
        <v>0</v>
      </c>
      <c r="Y265" s="2071"/>
      <c r="Z265" s="2071">
        <f>IF(AB272="Yes",Z247+H265,Z247)</f>
        <v>0</v>
      </c>
      <c r="AA265" s="2071"/>
      <c r="AB265" s="2071">
        <f>IF(AB272="Yes",AB247+J265,AB247)</f>
        <v>0</v>
      </c>
      <c r="AC265" s="2072"/>
    </row>
    <row r="266" spans="1:29" ht="15.45">
      <c r="A266" s="288" t="s">
        <v>200</v>
      </c>
      <c r="B266" s="273"/>
      <c r="C266" s="273"/>
      <c r="D266" s="273"/>
      <c r="E266" s="273"/>
      <c r="F266" s="259"/>
      <c r="G266" s="260"/>
      <c r="H266" s="261"/>
      <c r="I266" s="263"/>
      <c r="J266" s="264"/>
      <c r="K266" s="265"/>
      <c r="L266" s="2077">
        <f>L263+L264-L265</f>
        <v>0</v>
      </c>
      <c r="M266" s="2078"/>
      <c r="N266" s="2079">
        <f>SUM(N263,N264,-N265)</f>
        <v>0</v>
      </c>
      <c r="O266" s="2078"/>
      <c r="P266" s="2079">
        <f>SUM(P263,P264,-P265)</f>
        <v>0</v>
      </c>
      <c r="Q266" s="2080"/>
      <c r="R266" s="2081">
        <f>SUM(R263,R264,-R265)</f>
        <v>0</v>
      </c>
      <c r="S266" s="2071"/>
      <c r="T266" s="2071">
        <f>SUM(T263,T264,-T265)</f>
        <v>0</v>
      </c>
      <c r="U266" s="2071"/>
      <c r="V266" s="2071">
        <f>SUM(V263,V264,-V265)</f>
        <v>0</v>
      </c>
      <c r="W266" s="2072"/>
      <c r="X266" s="2081">
        <f>SUM(X263,X264,-X265)</f>
        <v>0</v>
      </c>
      <c r="Y266" s="2071"/>
      <c r="Z266" s="2071">
        <f>SUM(Z263,Z264,-Z265)</f>
        <v>0</v>
      </c>
      <c r="AA266" s="2071"/>
      <c r="AB266" s="2071">
        <f>SUM(AB263,AB264,-AB265)</f>
        <v>0</v>
      </c>
      <c r="AC266" s="2072"/>
    </row>
    <row r="267" spans="1:29" ht="15.45">
      <c r="A267" s="288" t="s">
        <v>201</v>
      </c>
      <c r="B267" s="273"/>
      <c r="C267" s="273"/>
      <c r="D267" s="273"/>
      <c r="E267" s="273"/>
      <c r="F267" s="259"/>
      <c r="G267" s="260"/>
      <c r="H267" s="261"/>
      <c r="I267" s="263"/>
      <c r="J267" s="264"/>
      <c r="K267" s="265"/>
      <c r="L267" s="2073">
        <f>L249</f>
        <v>0</v>
      </c>
      <c r="M267" s="2074"/>
      <c r="N267" s="2075">
        <f>N249</f>
        <v>0</v>
      </c>
      <c r="O267" s="2074"/>
      <c r="P267" s="2075">
        <f>P249</f>
        <v>0</v>
      </c>
      <c r="Q267" s="2076"/>
      <c r="R267" s="2081">
        <f>R249</f>
        <v>0</v>
      </c>
      <c r="S267" s="2071"/>
      <c r="T267" s="2071">
        <f>T249</f>
        <v>0</v>
      </c>
      <c r="U267" s="2071"/>
      <c r="V267" s="2128">
        <f>V249</f>
        <v>0</v>
      </c>
      <c r="W267" s="2129"/>
      <c r="X267" s="2081">
        <f>X249</f>
        <v>0</v>
      </c>
      <c r="Y267" s="2071"/>
      <c r="Z267" s="2071">
        <f>Z249</f>
        <v>0</v>
      </c>
      <c r="AA267" s="2071"/>
      <c r="AB267" s="2128">
        <f>AB249</f>
        <v>0</v>
      </c>
      <c r="AC267" s="2129"/>
    </row>
    <row r="268" spans="1:29" ht="15.45">
      <c r="A268" s="288" t="s">
        <v>202</v>
      </c>
      <c r="B268" s="273"/>
      <c r="C268" s="273"/>
      <c r="D268" s="273"/>
      <c r="E268" s="273"/>
      <c r="F268" s="259"/>
      <c r="G268" s="260"/>
      <c r="H268" s="261"/>
      <c r="I268" s="263"/>
      <c r="J268" s="264"/>
      <c r="K268" s="265"/>
      <c r="L268" s="2077">
        <f>IF(P272="No",L250,L250+F264-F265+F271-F272)</f>
        <v>0</v>
      </c>
      <c r="M268" s="2078"/>
      <c r="N268" s="2079">
        <f>IF(P272="No",N250,N250+H264-H265+H271-H272)</f>
        <v>0</v>
      </c>
      <c r="O268" s="2078"/>
      <c r="P268" s="2079">
        <f>IF(P272="No",P250,P250+J264-J265+J271-J272)</f>
        <v>0</v>
      </c>
      <c r="Q268" s="2080"/>
      <c r="R268" s="2071">
        <f>IF(V272="Yes",R250+F264-F265+F271-F272,IF(P273="Yes",IF(R274=R262,R264-R265-V274,0),R250))</f>
        <v>0</v>
      </c>
      <c r="S268" s="2071"/>
      <c r="T268" s="2071">
        <f>IF(V272="Yes",T250+H264-H265+H271-H272,IF(R273="Yes",IF(R274=T262,T264-T265-V274,0),T250))</f>
        <v>0</v>
      </c>
      <c r="U268" s="2071"/>
      <c r="V268" s="2071">
        <f>IF(Z272="Yes",V250+J264-J265+J271-J272,IF(T273="Yes",IF(V274=V262,V264-V265-V274,0),V250))</f>
        <v>0</v>
      </c>
      <c r="W268" s="2072"/>
      <c r="X268" s="2071">
        <f>IF(AB272="Yes",X250+F264-F265+F271-F272,IF(V273="Yes",IF(X274=X262,X264-X265-AB274,0),X250))</f>
        <v>0</v>
      </c>
      <c r="Y268" s="2071"/>
      <c r="Z268" s="2071">
        <f>IF(AB272="Yes",Z250+H264-H265+H271-H272,IF(X273="Yes",IF(X274=Z262,Z264-Z265-AB274,0),Z250))</f>
        <v>0</v>
      </c>
      <c r="AA268" s="2071"/>
      <c r="AB268" s="2071">
        <f>IF(AB272="Yes",AB250+J264-J265+J271-J272,IF(Z273="Yes",IF(X274=AB262,AB264-AB265-AB274,0),AB250))</f>
        <v>0</v>
      </c>
      <c r="AC268" s="2072"/>
    </row>
    <row r="269" spans="1:29" ht="15.45">
      <c r="A269" s="288" t="s">
        <v>203</v>
      </c>
      <c r="B269" s="273"/>
      <c r="C269" s="273"/>
      <c r="D269" s="273"/>
      <c r="E269" s="273"/>
      <c r="F269" s="2110"/>
      <c r="G269" s="2111"/>
      <c r="H269" s="2111"/>
      <c r="I269" s="2111"/>
      <c r="J269" s="2111"/>
      <c r="K269" s="2112"/>
      <c r="L269" s="2113">
        <f>IF(P272="No",0,IF(L266-L267-L268&lt;0,0,SUM(L266,-L267,-L268)))</f>
        <v>0</v>
      </c>
      <c r="M269" s="2114"/>
      <c r="N269" s="2113">
        <f>IF(P272="No",0,IF(N266-N267-N268&lt;0,0,SUM(N266,-N267,-N268)))</f>
        <v>0</v>
      </c>
      <c r="O269" s="2114"/>
      <c r="P269" s="2079">
        <f>IF(P272="No",0,IF(P266-P267-P268&lt;0,0,SUM(P266,-P267,-P268)))</f>
        <v>0</v>
      </c>
      <c r="Q269" s="2080"/>
      <c r="R269" s="2127">
        <f>IF(V272="No",0,IF(R266-R267-R268&lt;0,0,SUM(R266,-R267,-R268)))</f>
        <v>0</v>
      </c>
      <c r="S269" s="2114"/>
      <c r="T269" s="2113">
        <f>IF(V272="No",0,IF(T266-T267-T268&lt;0,0,SUM(T266,-T267,-T268)))</f>
        <v>0</v>
      </c>
      <c r="U269" s="2114"/>
      <c r="V269" s="2079">
        <f>IF(V272="No",0,IF(V266-V267-V268&lt;0,0,SUM(V266,-V267,-V268)))</f>
        <v>0</v>
      </c>
      <c r="W269" s="2080"/>
      <c r="X269" s="2113">
        <f>IF(AB272="No",0,IF(X266-X267-X268&lt;0,0,SUM(X266,-X267,-X268)))</f>
        <v>0</v>
      </c>
      <c r="Y269" s="2114"/>
      <c r="Z269" s="2113">
        <f>IF(AB272="No",0,IF(Z266-Z267-Z268&lt;0,0,SUM(Z266,-Z267,-Z268)))</f>
        <v>0</v>
      </c>
      <c r="AA269" s="2114"/>
      <c r="AB269" s="2079">
        <f>IF(AB272="No",0,IF(AB266-AB267-AB268&lt;0,0,SUM(AB266,-AB267,-AB268)))</f>
        <v>0</v>
      </c>
      <c r="AC269" s="2080"/>
    </row>
    <row r="270" spans="1:29" ht="15.45">
      <c r="A270" s="1177" t="s">
        <v>929</v>
      </c>
      <c r="B270" s="273"/>
      <c r="C270" s="273"/>
      <c r="D270" s="273"/>
      <c r="E270" s="1176"/>
      <c r="F270" s="1166"/>
      <c r="G270" s="1167"/>
      <c r="H270" s="1167"/>
      <c r="I270" s="1167"/>
      <c r="J270" s="1167"/>
      <c r="K270" s="1168"/>
      <c r="L270" s="2131">
        <f>IF(P272="No",0,IF((L266-L267-L268)&lt;0,(L266-L267-L268)*-1,0))</f>
        <v>0</v>
      </c>
      <c r="M270" s="2131"/>
      <c r="N270" s="2131">
        <f>IF(R272="No",0,IF((N266-N267-N268)&lt;0,(N266-N267-N268)*-1,0))</f>
        <v>0</v>
      </c>
      <c r="O270" s="2131"/>
      <c r="P270" s="2131">
        <f>IF(T272="No",0,IF((P266-P267-P268)&lt;0,(P266-P267-P268)*-1,0))</f>
        <v>0</v>
      </c>
      <c r="Q270" s="2132"/>
      <c r="R270" s="2078">
        <f>IF(V272="No",0,IF((R266-R267-R268)&lt;0,(R266-R267-R268)*-1,0))</f>
        <v>0</v>
      </c>
      <c r="S270" s="2131"/>
      <c r="T270" s="2131">
        <f>IF(V272="No",0,IF((T266-T267-T268)&lt;0,(T266-T267-T268)*-1,0))</f>
        <v>0</v>
      </c>
      <c r="U270" s="2131"/>
      <c r="V270" s="2131">
        <f>IF(V272="No",0,IF((V266-V267-V268)&lt;0,(V266-V267-V268)*-1,0))</f>
        <v>0</v>
      </c>
      <c r="W270" s="2132"/>
      <c r="X270" s="2134">
        <f>IF(AB272="No",0,IF((X266-X267-X268)&lt;0,(X266-X267-X268)*-1,0))</f>
        <v>0</v>
      </c>
      <c r="Y270" s="2131"/>
      <c r="Z270" s="2131">
        <f>IF(AB272="No",0,IF((Z266-Z267-Z268)&lt;0,(Z266-Z267-Z268)*-1,0))</f>
        <v>0</v>
      </c>
      <c r="AA270" s="2131"/>
      <c r="AB270" s="2131">
        <f>IF(AB272="No",0,IF((AB266-AB267-AB268)&lt;0,(AB266-AB267-AB268)*-1,0))</f>
        <v>0</v>
      </c>
      <c r="AC270" s="2132"/>
    </row>
    <row r="271" spans="1:29" ht="16.100000000000001" thickBot="1">
      <c r="A271" s="505" t="s">
        <v>991</v>
      </c>
      <c r="B271" s="506"/>
      <c r="C271" s="506"/>
      <c r="D271" s="506"/>
      <c r="E271" s="291"/>
      <c r="F271" s="2073">
        <v>0</v>
      </c>
      <c r="G271" s="2074"/>
      <c r="H271" s="2075">
        <v>0</v>
      </c>
      <c r="I271" s="2074"/>
      <c r="J271" s="2101">
        <v>0</v>
      </c>
      <c r="K271" s="2102"/>
      <c r="L271" s="292"/>
      <c r="M271" s="293"/>
      <c r="N271" s="292"/>
      <c r="O271" s="293"/>
      <c r="P271" s="294"/>
      <c r="Q271" s="295"/>
      <c r="R271" s="296"/>
      <c r="S271" s="293"/>
      <c r="T271" s="292"/>
      <c r="U271" s="293"/>
      <c r="V271" s="292"/>
      <c r="W271" s="297"/>
      <c r="X271" s="296"/>
      <c r="Y271" s="293"/>
      <c r="Z271" s="292"/>
      <c r="AA271" s="293"/>
      <c r="AB271" s="292"/>
      <c r="AC271" s="297"/>
    </row>
    <row r="272" spans="1:29" ht="16.100000000000001" thickBot="1">
      <c r="A272" s="290" t="s">
        <v>992</v>
      </c>
      <c r="B272" s="21"/>
      <c r="C272" s="21"/>
      <c r="D272" s="21"/>
      <c r="F272" s="2096">
        <v>0</v>
      </c>
      <c r="G272" s="2097"/>
      <c r="H272" s="2098">
        <v>0</v>
      </c>
      <c r="I272" s="2097"/>
      <c r="J272" s="2103">
        <v>0</v>
      </c>
      <c r="K272" s="2104"/>
      <c r="L272" s="2093" t="s">
        <v>417</v>
      </c>
      <c r="M272" s="2094"/>
      <c r="N272" s="2094"/>
      <c r="O272" s="2095"/>
      <c r="P272" s="2106" t="str">
        <f>P254</f>
        <v>Yes</v>
      </c>
      <c r="Q272" s="2107"/>
      <c r="R272" s="2093" t="s">
        <v>417</v>
      </c>
      <c r="S272" s="2094"/>
      <c r="T272" s="2094"/>
      <c r="U272" s="2095"/>
      <c r="V272" s="2106" t="str">
        <f>V254</f>
        <v>No</v>
      </c>
      <c r="W272" s="2107"/>
      <c r="X272" s="2093" t="s">
        <v>417</v>
      </c>
      <c r="Y272" s="2094"/>
      <c r="Z272" s="2094"/>
      <c r="AA272" s="2095"/>
      <c r="AB272" s="2106" t="str">
        <f>AB254</f>
        <v>No</v>
      </c>
      <c r="AC272" s="2107"/>
    </row>
    <row r="273" spans="1:29" ht="13.75" thickBot="1">
      <c r="L273" s="2093" t="s">
        <v>419</v>
      </c>
      <c r="M273" s="2094"/>
      <c r="N273" s="2094"/>
      <c r="O273" s="2094"/>
      <c r="P273" s="2094"/>
      <c r="Q273" s="2095"/>
      <c r="R273" s="2106" t="str">
        <f>R255</f>
        <v>No</v>
      </c>
      <c r="S273" s="2107"/>
      <c r="T273" s="2093" t="s">
        <v>420</v>
      </c>
      <c r="U273" s="2095"/>
      <c r="V273" s="2121">
        <v>0</v>
      </c>
      <c r="W273" s="2122"/>
    </row>
    <row r="274" spans="1:29" ht="13.5" thickBot="1">
      <c r="L274" s="2093" t="s">
        <v>421</v>
      </c>
      <c r="M274" s="2094"/>
      <c r="N274" s="2094"/>
      <c r="O274" s="2094"/>
      <c r="P274" s="2094"/>
      <c r="Q274" s="2095"/>
      <c r="R274" s="2119">
        <v>0</v>
      </c>
      <c r="S274" s="2120"/>
      <c r="T274" s="2123" t="s">
        <v>422</v>
      </c>
      <c r="U274" s="2124"/>
      <c r="V274" s="2125">
        <v>0</v>
      </c>
      <c r="W274" s="2126"/>
    </row>
    <row r="275" spans="1:29" ht="13.75" thickBot="1">
      <c r="L275" s="2093" t="s">
        <v>921</v>
      </c>
      <c r="M275" s="2094"/>
      <c r="N275" s="2094"/>
      <c r="O275" s="2094"/>
      <c r="P275" s="2094"/>
      <c r="Q275" s="2095"/>
      <c r="R275" s="2106" t="str">
        <f>R257</f>
        <v>No</v>
      </c>
      <c r="S275" s="2107"/>
      <c r="T275" s="2093" t="s">
        <v>420</v>
      </c>
      <c r="U275" s="2095"/>
      <c r="V275" s="2121">
        <v>0</v>
      </c>
      <c r="W275" s="2122"/>
    </row>
    <row r="276" spans="1:29" ht="13.5" thickBot="1">
      <c r="L276" s="2093" t="s">
        <v>421</v>
      </c>
      <c r="M276" s="2094"/>
      <c r="N276" s="2094"/>
      <c r="O276" s="2094"/>
      <c r="P276" s="2094"/>
      <c r="Q276" s="2095"/>
      <c r="R276" s="2119">
        <v>0</v>
      </c>
      <c r="S276" s="2120"/>
      <c r="T276" s="2123" t="s">
        <v>422</v>
      </c>
      <c r="U276" s="2124"/>
      <c r="V276" s="2125">
        <v>0</v>
      </c>
      <c r="W276" s="2126"/>
    </row>
    <row r="277" spans="1:29" ht="13.1">
      <c r="A277" s="1644" t="s">
        <v>221</v>
      </c>
      <c r="B277" s="1644"/>
      <c r="C277" s="2130">
        <f>'Cost Control'!J83</f>
        <v>15</v>
      </c>
      <c r="D277" s="2130"/>
      <c r="E277" s="2130"/>
      <c r="F277" s="2130"/>
      <c r="G277" s="2130"/>
      <c r="H277" s="2130"/>
      <c r="I277" s="2130"/>
      <c r="L277" t="str">
        <f>IF(SUM(L269:Q269)=0," ","LTR SUMMARY:")</f>
        <v xml:space="preserve"> </v>
      </c>
      <c r="O277" s="1422">
        <f>SUM(L269:Q269)</f>
        <v>0</v>
      </c>
      <c r="P277" t="str">
        <f>IF(O277=0," ","m³")</f>
        <v xml:space="preserve"> </v>
      </c>
      <c r="R277" t="str">
        <f>IF(SUM(R269:W269)=0," ","LTR SUMMARY:")</f>
        <v xml:space="preserve"> </v>
      </c>
      <c r="U277" s="1422">
        <f>SUM(R269:W269)</f>
        <v>0</v>
      </c>
      <c r="V277" t="str">
        <f>IF(U277=0," ","m³")</f>
        <v xml:space="preserve"> </v>
      </c>
      <c r="X277" t="str">
        <f>IF(SUM(X269:AC269)=0," ","LTR SUMMARY:")</f>
        <v xml:space="preserve"> </v>
      </c>
      <c r="AA277" s="1422">
        <f>SUM(X269:AC269)</f>
        <v>0</v>
      </c>
      <c r="AB277" t="str">
        <f>IF(AA277=0," ","m³")</f>
        <v xml:space="preserve"> </v>
      </c>
    </row>
    <row r="278" spans="1:29" ht="13.5" thickBot="1"/>
    <row r="279" spans="1:29" ht="14.8" thickTop="1">
      <c r="A279" s="274" t="s">
        <v>190</v>
      </c>
      <c r="B279" s="275"/>
      <c r="C279" s="275"/>
      <c r="D279" s="275"/>
      <c r="E279" s="276"/>
      <c r="F279" s="277"/>
      <c r="G279" s="278"/>
      <c r="H279" s="271" t="s">
        <v>191</v>
      </c>
      <c r="I279" s="279"/>
      <c r="J279" s="279"/>
      <c r="K279" s="280"/>
      <c r="L279" s="279" t="str">
        <f>L261</f>
        <v xml:space="preserve">    Cum. to Date </v>
      </c>
      <c r="M279" s="281"/>
      <c r="N279" s="279"/>
      <c r="O279" s="334">
        <f>O261</f>
        <v>0</v>
      </c>
      <c r="P279" s="271"/>
      <c r="Q279" s="282"/>
      <c r="R279" s="283" t="str">
        <f>R261</f>
        <v xml:space="preserve">Cum. to Date </v>
      </c>
      <c r="S279" s="281"/>
      <c r="T279" s="279"/>
      <c r="U279" s="334">
        <f>U261</f>
        <v>0</v>
      </c>
      <c r="V279" s="284"/>
      <c r="W279" s="272"/>
      <c r="X279" s="283" t="str">
        <f>X261</f>
        <v xml:space="preserve">Cum. to Date </v>
      </c>
      <c r="Y279" s="281"/>
      <c r="Z279" s="279"/>
      <c r="AA279" s="334">
        <f>AA261</f>
        <v>0</v>
      </c>
      <c r="AB279" s="284"/>
      <c r="AC279" s="272"/>
    </row>
    <row r="280" spans="1:29" ht="14.8" thickBot="1">
      <c r="A280" s="285" t="s">
        <v>192</v>
      </c>
      <c r="B280" s="286"/>
      <c r="C280" s="286"/>
      <c r="D280" s="286"/>
      <c r="E280" s="287"/>
      <c r="F280" s="2067" t="s">
        <v>193</v>
      </c>
      <c r="G280" s="2068"/>
      <c r="H280" s="2069" t="s">
        <v>194</v>
      </c>
      <c r="I280" s="2070"/>
      <c r="J280" s="2069" t="str">
        <f>J262</f>
        <v>Other (1)</v>
      </c>
      <c r="K280" s="2091"/>
      <c r="L280" s="2092" t="s">
        <v>195</v>
      </c>
      <c r="M280" s="2070"/>
      <c r="N280" s="2069" t="s">
        <v>196</v>
      </c>
      <c r="O280" s="2070"/>
      <c r="P280" s="2069" t="str">
        <f>IF(P290="Yes",J280," ")</f>
        <v>Other (1)</v>
      </c>
      <c r="Q280" s="2091"/>
      <c r="R280" s="2092" t="str">
        <f>R262</f>
        <v>Water</v>
      </c>
      <c r="S280" s="2070"/>
      <c r="T280" s="2069" t="str">
        <f>T262</f>
        <v>Oil</v>
      </c>
      <c r="U280" s="2070"/>
      <c r="V280" s="2082" t="str">
        <f>IF(V290="Yes",J280," ")</f>
        <v xml:space="preserve"> </v>
      </c>
      <c r="W280" s="2083"/>
      <c r="X280" s="2092" t="str">
        <f>X262</f>
        <v>Water</v>
      </c>
      <c r="Y280" s="2070"/>
      <c r="Z280" s="2069" t="str">
        <f>Z262</f>
        <v>Oil</v>
      </c>
      <c r="AA280" s="2070"/>
      <c r="AB280" s="2082" t="str">
        <f>IF(AB290="Yes",J280," ")</f>
        <v xml:space="preserve"> </v>
      </c>
      <c r="AC280" s="2083"/>
    </row>
    <row r="281" spans="1:29" ht="16.100000000000001" thickTop="1">
      <c r="A281" s="288" t="s">
        <v>197</v>
      </c>
      <c r="B281" s="289"/>
      <c r="C281" s="289"/>
      <c r="D281" s="289"/>
      <c r="E281" s="289"/>
      <c r="F281" s="259"/>
      <c r="G281" s="260"/>
      <c r="H281" s="261"/>
      <c r="I281" s="260"/>
      <c r="J281" s="261"/>
      <c r="K281" s="262"/>
      <c r="L281" s="2084">
        <f>L263</f>
        <v>0</v>
      </c>
      <c r="M281" s="2084"/>
      <c r="N281" s="2085">
        <f>N263</f>
        <v>0</v>
      </c>
      <c r="O281" s="2086"/>
      <c r="P281" s="2085">
        <f>P263</f>
        <v>0</v>
      </c>
      <c r="Q281" s="2087"/>
      <c r="R281" s="2115">
        <f>R263</f>
        <v>0</v>
      </c>
      <c r="S281" s="2116"/>
      <c r="T281" s="2117">
        <f>T263</f>
        <v>0</v>
      </c>
      <c r="U281" s="2116"/>
      <c r="V281" s="2117">
        <f>V263</f>
        <v>0</v>
      </c>
      <c r="W281" s="2118"/>
      <c r="X281" s="2115">
        <f>X263</f>
        <v>0</v>
      </c>
      <c r="Y281" s="2116"/>
      <c r="Z281" s="2117">
        <f>Z263</f>
        <v>0</v>
      </c>
      <c r="AA281" s="2116"/>
      <c r="AB281" s="2117">
        <f>AB263</f>
        <v>0</v>
      </c>
      <c r="AC281" s="2118"/>
    </row>
    <row r="282" spans="1:29" ht="15.45">
      <c r="A282" s="288" t="s">
        <v>198</v>
      </c>
      <c r="B282" s="273"/>
      <c r="C282" s="273"/>
      <c r="D282" s="273"/>
      <c r="E282" s="273"/>
      <c r="F282" s="2073">
        <v>0</v>
      </c>
      <c r="G282" s="2074"/>
      <c r="H282" s="2075">
        <v>0</v>
      </c>
      <c r="I282" s="2074"/>
      <c r="J282" s="2075">
        <v>0</v>
      </c>
      <c r="K282" s="2076"/>
      <c r="L282" s="2077">
        <f>IF(P290="No",L264,F282+L264)</f>
        <v>0</v>
      </c>
      <c r="M282" s="2078"/>
      <c r="N282" s="2079">
        <f>IF(P290="No",N264,H282+N264)</f>
        <v>0</v>
      </c>
      <c r="O282" s="2078"/>
      <c r="P282" s="2079">
        <f>IF(P290="No",P264,J282+P264)</f>
        <v>0</v>
      </c>
      <c r="Q282" s="2080"/>
      <c r="R282" s="2081">
        <f>IF(V290="Yes",F282+R264,IF(R292="Water",IF(R291="Yes",V291,0),R264))</f>
        <v>0</v>
      </c>
      <c r="S282" s="2071"/>
      <c r="T282" s="2071">
        <f>IF(V290="Yes",H282+T264,IF(T292="Oil",IF(R291="Yes",V291,0),T264))</f>
        <v>0</v>
      </c>
      <c r="U282" s="2071"/>
      <c r="V282" s="2071">
        <f>IF(V290="Yes",J282+V264,IF(V292=V280,IF(R291="Yes",V291,0),V264))</f>
        <v>0</v>
      </c>
      <c r="W282" s="2072"/>
      <c r="X282" s="2081">
        <f>IF(AB290="Yes",F282+X264,IF(X292="Water",IF(X291="Yes",AB291,0),X264))</f>
        <v>0</v>
      </c>
      <c r="Y282" s="2071"/>
      <c r="Z282" s="2071">
        <f>IF(AB290="Yes",H282+Z264,IF(Z292=Z280,IF(X291="Yes",AB291,0),Z264))</f>
        <v>0</v>
      </c>
      <c r="AA282" s="2071"/>
      <c r="AB282" s="2071">
        <f>IF(AB290="Yes",J282+AB264,IF(AB292=AB280,IF(X291="Yes",AB291,0),AB264))</f>
        <v>0</v>
      </c>
      <c r="AC282" s="2072"/>
    </row>
    <row r="283" spans="1:29" ht="15.45">
      <c r="A283" s="288" t="s">
        <v>199</v>
      </c>
      <c r="B283" s="273"/>
      <c r="C283" s="273"/>
      <c r="D283" s="273"/>
      <c r="E283" s="273"/>
      <c r="F283" s="2073">
        <v>0</v>
      </c>
      <c r="G283" s="2074"/>
      <c r="H283" s="2075">
        <v>0</v>
      </c>
      <c r="I283" s="2074"/>
      <c r="J283" s="2075">
        <v>0</v>
      </c>
      <c r="K283" s="2076"/>
      <c r="L283" s="2077">
        <f>IF(P290="No",L265,F283+L265)</f>
        <v>0</v>
      </c>
      <c r="M283" s="2078"/>
      <c r="N283" s="2079">
        <f>IF(P290="No",N265,H283+N265)</f>
        <v>0</v>
      </c>
      <c r="O283" s="2078"/>
      <c r="P283" s="2079">
        <f>IF(P290="No",P265,J283+P265)</f>
        <v>0</v>
      </c>
      <c r="Q283" s="2080"/>
      <c r="R283" s="2081">
        <f>IF(V290="Yes",R265+F283,R265)</f>
        <v>0</v>
      </c>
      <c r="S283" s="2071"/>
      <c r="T283" s="2071">
        <f>IF(V290="Yes",T265+H283,T265)</f>
        <v>0</v>
      </c>
      <c r="U283" s="2071"/>
      <c r="V283" s="2071">
        <f>IF(V290="Yes",V265+J283,V265)</f>
        <v>0</v>
      </c>
      <c r="W283" s="2072"/>
      <c r="X283" s="2081">
        <f>IF(AB290="Yes",X265+F283,X265)</f>
        <v>0</v>
      </c>
      <c r="Y283" s="2071"/>
      <c r="Z283" s="2071">
        <f>IF(AB290="Yes",Z265+H283,Z265)</f>
        <v>0</v>
      </c>
      <c r="AA283" s="2071"/>
      <c r="AB283" s="2071">
        <f>IF(AB290="Yes",AB265+J283,AB265)</f>
        <v>0</v>
      </c>
      <c r="AC283" s="2072"/>
    </row>
    <row r="284" spans="1:29" ht="15.45">
      <c r="A284" s="288" t="s">
        <v>200</v>
      </c>
      <c r="B284" s="273"/>
      <c r="C284" s="273"/>
      <c r="D284" s="273"/>
      <c r="E284" s="273"/>
      <c r="F284" s="259"/>
      <c r="G284" s="260"/>
      <c r="H284" s="261"/>
      <c r="I284" s="263"/>
      <c r="J284" s="264"/>
      <c r="K284" s="265"/>
      <c r="L284" s="2077">
        <f>L281+L282-L283</f>
        <v>0</v>
      </c>
      <c r="M284" s="2078"/>
      <c r="N284" s="2079">
        <f>SUM(N281,N282,-N283)</f>
        <v>0</v>
      </c>
      <c r="O284" s="2078"/>
      <c r="P284" s="2079">
        <f>SUM(P281,P282,-P283)</f>
        <v>0</v>
      </c>
      <c r="Q284" s="2080"/>
      <c r="R284" s="2081">
        <f>SUM(R281,R282,-R283)</f>
        <v>0</v>
      </c>
      <c r="S284" s="2071"/>
      <c r="T284" s="2071">
        <f>SUM(T281,T282,-T283)</f>
        <v>0</v>
      </c>
      <c r="U284" s="2071"/>
      <c r="V284" s="2071">
        <f>SUM(V281,V282,-V283)</f>
        <v>0</v>
      </c>
      <c r="W284" s="2072"/>
      <c r="X284" s="2081">
        <f>SUM(X281,X282,-X283)</f>
        <v>0</v>
      </c>
      <c r="Y284" s="2071"/>
      <c r="Z284" s="2071">
        <f>SUM(Z281,Z282,-Z283)</f>
        <v>0</v>
      </c>
      <c r="AA284" s="2071"/>
      <c r="AB284" s="2071">
        <f>SUM(AB281,AB282,-AB283)</f>
        <v>0</v>
      </c>
      <c r="AC284" s="2072"/>
    </row>
    <row r="285" spans="1:29" ht="15.45">
      <c r="A285" s="288" t="s">
        <v>201</v>
      </c>
      <c r="B285" s="273"/>
      <c r="C285" s="273"/>
      <c r="D285" s="273"/>
      <c r="E285" s="273"/>
      <c r="F285" s="259"/>
      <c r="G285" s="260"/>
      <c r="H285" s="261"/>
      <c r="I285" s="263"/>
      <c r="J285" s="264"/>
      <c r="K285" s="265"/>
      <c r="L285" s="2073">
        <f>L267</f>
        <v>0</v>
      </c>
      <c r="M285" s="2074"/>
      <c r="N285" s="2075">
        <f>N267</f>
        <v>0</v>
      </c>
      <c r="O285" s="2074"/>
      <c r="P285" s="2075">
        <f>P267</f>
        <v>0</v>
      </c>
      <c r="Q285" s="2076"/>
      <c r="R285" s="2081">
        <f>R267</f>
        <v>0</v>
      </c>
      <c r="S285" s="2071"/>
      <c r="T285" s="2071">
        <f>T267</f>
        <v>0</v>
      </c>
      <c r="U285" s="2071"/>
      <c r="V285" s="2128">
        <f>V267</f>
        <v>0</v>
      </c>
      <c r="W285" s="2129"/>
      <c r="X285" s="2081">
        <f>X267</f>
        <v>0</v>
      </c>
      <c r="Y285" s="2071"/>
      <c r="Z285" s="2071">
        <f>Z267</f>
        <v>0</v>
      </c>
      <c r="AA285" s="2071"/>
      <c r="AB285" s="2128">
        <f>AB267</f>
        <v>0</v>
      </c>
      <c r="AC285" s="2129"/>
    </row>
    <row r="286" spans="1:29" ht="15.45">
      <c r="A286" s="288" t="s">
        <v>202</v>
      </c>
      <c r="B286" s="273"/>
      <c r="C286" s="273"/>
      <c r="D286" s="273"/>
      <c r="E286" s="273"/>
      <c r="F286" s="259"/>
      <c r="G286" s="260"/>
      <c r="H286" s="261"/>
      <c r="I286" s="263"/>
      <c r="J286" s="264"/>
      <c r="K286" s="265"/>
      <c r="L286" s="2077">
        <f>IF(P290="No",L268,L268+F282-F283+F289-F290)</f>
        <v>0</v>
      </c>
      <c r="M286" s="2078"/>
      <c r="N286" s="2079">
        <f>IF(P290="No",N268,N268+H282-H283+H289-H290)</f>
        <v>0</v>
      </c>
      <c r="O286" s="2078"/>
      <c r="P286" s="2079">
        <f>IF(P290="No",P268,P268+J282-J283+J289-J290)</f>
        <v>0</v>
      </c>
      <c r="Q286" s="2080"/>
      <c r="R286" s="2071">
        <f>IF(V290="Yes",R268+F282-F283+F289-F290,IF(P291="Yes",IF(R292=R280,R282-R283-V292,0),R268))</f>
        <v>0</v>
      </c>
      <c r="S286" s="2071"/>
      <c r="T286" s="2071">
        <f>IF(V290="Yes",T268+H282-H283+H289-H290,IF(R291="Yes",IF(R292=T280,T282-T283-V292,0),T268))</f>
        <v>0</v>
      </c>
      <c r="U286" s="2071"/>
      <c r="V286" s="2071">
        <f>IF(V290="Yes",V268+J282-J283+J289-J290,IF(T291="Yes",IF(R292=V280,V282-V283-V292,0),V268))</f>
        <v>0</v>
      </c>
      <c r="W286" s="2072"/>
      <c r="X286" s="2071">
        <f>IF(AB290="Yes",X268+F282-F283+F289-F290,IF(V291="Yes",IF(X292=X280,X282-X283-AB292,0),X268))</f>
        <v>0</v>
      </c>
      <c r="Y286" s="2071"/>
      <c r="Z286" s="2071">
        <f>IF(AB290="Yes",Z268+H282-H283+H289-H290,IF(X291="Yes",IF(X292=Z280,Z282-Z283-AB292,0),Z268))</f>
        <v>0</v>
      </c>
      <c r="AA286" s="2071"/>
      <c r="AB286" s="2071">
        <f>IF(AB290="Yes",AB268+J282-J283+J289-J290,IF(Z291="Yes",IF(X292=AB280,AB282-AB283-AB292,0),AB268))</f>
        <v>0</v>
      </c>
      <c r="AC286" s="2072"/>
    </row>
    <row r="287" spans="1:29" ht="15.45">
      <c r="A287" s="288" t="s">
        <v>203</v>
      </c>
      <c r="B287" s="273"/>
      <c r="C287" s="273"/>
      <c r="D287" s="273"/>
      <c r="E287" s="273"/>
      <c r="F287" s="2110"/>
      <c r="G287" s="2111"/>
      <c r="H287" s="2111"/>
      <c r="I287" s="2111"/>
      <c r="J287" s="2111"/>
      <c r="K287" s="2112"/>
      <c r="L287" s="2113">
        <f>IF(P290="No",0,IF(L284-L285-L286&lt;0,0,SUM(L284,-L285,-L286)))</f>
        <v>0</v>
      </c>
      <c r="M287" s="2114"/>
      <c r="N287" s="2113">
        <f>IF(P290="No",0,IF(N284-N285-N286&lt;0,0,SUM(N284,-N285,-N286)))</f>
        <v>0</v>
      </c>
      <c r="O287" s="2114"/>
      <c r="P287" s="2079">
        <f>IF(P290="No",0,IF(P284-P285-P286&lt;0,0,SUM(P284,-P285,-P286)))</f>
        <v>0</v>
      </c>
      <c r="Q287" s="2080"/>
      <c r="R287" s="2127">
        <f>IF(V290="No",0,IF(R284-R285-R286&lt;0,0,SUM(R284,-R285,-R286)))</f>
        <v>0</v>
      </c>
      <c r="S287" s="2114"/>
      <c r="T287" s="2113">
        <f>IF(V290="No",0,IF(T284-T285-T286&lt;0,0,SUM(T284,-T285,-T286)))</f>
        <v>0</v>
      </c>
      <c r="U287" s="2114"/>
      <c r="V287" s="2079">
        <f>IF(V290="No",0,IF(V284-V285-V286&lt;0,0,SUM(V284,-V285,-V286)))</f>
        <v>0</v>
      </c>
      <c r="W287" s="2080"/>
      <c r="X287" s="2113">
        <f>IF(AB290="No",0,IF(X284-X285-X286&lt;0,0,SUM(X284,-X285,-X286)))</f>
        <v>0</v>
      </c>
      <c r="Y287" s="2114"/>
      <c r="Z287" s="2113">
        <f>IF(AB290="No",0,IF(Z284-Z285-Z286&lt;0,0,SUM(Z284,-Z285,-Z286)))</f>
        <v>0</v>
      </c>
      <c r="AA287" s="2114"/>
      <c r="AB287" s="2079">
        <f>IF(AB290="No",0,IF(AB284-AB285-AB286&lt;0,0,SUM(AB284,-AB285,-AB286)))</f>
        <v>0</v>
      </c>
      <c r="AC287" s="2080"/>
    </row>
    <row r="288" spans="1:29" ht="15.45">
      <c r="A288" s="1177" t="s">
        <v>929</v>
      </c>
      <c r="B288" s="273"/>
      <c r="C288" s="273"/>
      <c r="D288" s="273"/>
      <c r="E288" s="1176"/>
      <c r="F288" s="1166"/>
      <c r="G288" s="1167"/>
      <c r="H288" s="1167"/>
      <c r="I288" s="1167"/>
      <c r="J288" s="1167"/>
      <c r="K288" s="1168"/>
      <c r="L288" s="2131">
        <f>IF(P290="No",0,IF((L284-L285-L286)&lt;0,(L284-L285-L286)*-1,0))</f>
        <v>0</v>
      </c>
      <c r="M288" s="2131"/>
      <c r="N288" s="2131">
        <f>IF(R290="No",0,IF((N284-N285-N286)&lt;0,(N284-N285-N286)*-1,0))</f>
        <v>0</v>
      </c>
      <c r="O288" s="2131"/>
      <c r="P288" s="2131">
        <f>IF(T290="No",0,IF((P284-P285-P286)&lt;0,(P284-P285-P286)*-1,0))</f>
        <v>0</v>
      </c>
      <c r="Q288" s="2132"/>
      <c r="R288" s="2078">
        <f>IF(V290="No",0,IF((R284-R285-R286)&lt;0,(R284-R285-R286)*-1,0))</f>
        <v>0</v>
      </c>
      <c r="S288" s="2131"/>
      <c r="T288" s="2131">
        <f>IF(V290="No",0,IF((T284-T285-T286)&lt;0,(T284-T285-T286)*-1,0))</f>
        <v>0</v>
      </c>
      <c r="U288" s="2131"/>
      <c r="V288" s="2131">
        <f>IF(V290="No",0,IF((V284-V285-V286)&lt;0,(V284-V285-V286)*-1,0))</f>
        <v>0</v>
      </c>
      <c r="W288" s="2132"/>
      <c r="X288" s="2134">
        <f>IF(AB290="No",0,IF((X284-X285-X286)&lt;0,(X284-X285-X286)*-1,0))</f>
        <v>0</v>
      </c>
      <c r="Y288" s="2131"/>
      <c r="Z288" s="2131">
        <f>IF(AB290="No",0,IF((Z284-Z285-Z286)&lt;0,(Z284-Z285-Z286)*-1,0))</f>
        <v>0</v>
      </c>
      <c r="AA288" s="2131"/>
      <c r="AB288" s="2131">
        <f>IF(AB290="No",0,IF((AB284-AB285-AB286)&lt;0,(AB284-AB285-AB286)*-1,0))</f>
        <v>0</v>
      </c>
      <c r="AC288" s="2132"/>
    </row>
    <row r="289" spans="1:29" ht="16.100000000000001" thickBot="1">
      <c r="A289" s="505" t="s">
        <v>991</v>
      </c>
      <c r="B289" s="506"/>
      <c r="C289" s="506"/>
      <c r="D289" s="506"/>
      <c r="E289" s="291"/>
      <c r="F289" s="2073">
        <v>0</v>
      </c>
      <c r="G289" s="2074"/>
      <c r="H289" s="2075">
        <v>0</v>
      </c>
      <c r="I289" s="2074"/>
      <c r="J289" s="2101">
        <v>0</v>
      </c>
      <c r="K289" s="2102"/>
      <c r="L289" s="292"/>
      <c r="M289" s="293"/>
      <c r="N289" s="292"/>
      <c r="O289" s="293"/>
      <c r="P289" s="294"/>
      <c r="Q289" s="295"/>
      <c r="R289" s="296"/>
      <c r="S289" s="293"/>
      <c r="T289" s="292"/>
      <c r="U289" s="293"/>
      <c r="V289" s="292"/>
      <c r="W289" s="297"/>
      <c r="X289" s="296"/>
      <c r="Y289" s="293"/>
      <c r="Z289" s="292"/>
      <c r="AA289" s="293"/>
      <c r="AB289" s="292"/>
      <c r="AC289" s="297"/>
    </row>
    <row r="290" spans="1:29" ht="16.100000000000001" thickBot="1">
      <c r="A290" s="290" t="s">
        <v>992</v>
      </c>
      <c r="B290" s="21"/>
      <c r="C290" s="21"/>
      <c r="D290" s="21"/>
      <c r="F290" s="2096">
        <v>0</v>
      </c>
      <c r="G290" s="2097"/>
      <c r="H290" s="2098">
        <v>0</v>
      </c>
      <c r="I290" s="2097"/>
      <c r="J290" s="2103">
        <v>0</v>
      </c>
      <c r="K290" s="2104"/>
      <c r="L290" s="2093" t="s">
        <v>417</v>
      </c>
      <c r="M290" s="2094"/>
      <c r="N290" s="2094"/>
      <c r="O290" s="2095"/>
      <c r="P290" s="2106" t="str">
        <f>P272</f>
        <v>Yes</v>
      </c>
      <c r="Q290" s="2107"/>
      <c r="R290" s="2093" t="s">
        <v>417</v>
      </c>
      <c r="S290" s="2094"/>
      <c r="T290" s="2094"/>
      <c r="U290" s="2095"/>
      <c r="V290" s="2106" t="str">
        <f>V272</f>
        <v>No</v>
      </c>
      <c r="W290" s="2107"/>
      <c r="X290" s="2093" t="s">
        <v>417</v>
      </c>
      <c r="Y290" s="2094"/>
      <c r="Z290" s="2094"/>
      <c r="AA290" s="2095"/>
      <c r="AB290" s="2106" t="str">
        <f>AB272</f>
        <v>No</v>
      </c>
      <c r="AC290" s="2107"/>
    </row>
    <row r="291" spans="1:29" ht="13.75" thickBot="1">
      <c r="L291" s="2093" t="s">
        <v>419</v>
      </c>
      <c r="M291" s="2094"/>
      <c r="N291" s="2094"/>
      <c r="O291" s="2094"/>
      <c r="P291" s="2094"/>
      <c r="Q291" s="2095"/>
      <c r="R291" s="2106" t="str">
        <f>R273</f>
        <v>No</v>
      </c>
      <c r="S291" s="2107"/>
      <c r="T291" s="2093" t="s">
        <v>420</v>
      </c>
      <c r="U291" s="2095"/>
      <c r="V291" s="2121">
        <v>0</v>
      </c>
      <c r="W291" s="2122"/>
    </row>
    <row r="292" spans="1:29" ht="13.5" thickBot="1">
      <c r="L292" s="2093" t="s">
        <v>421</v>
      </c>
      <c r="M292" s="2094"/>
      <c r="N292" s="2094"/>
      <c r="O292" s="2094"/>
      <c r="P292" s="2094"/>
      <c r="Q292" s="2095"/>
      <c r="R292" s="2119">
        <v>0</v>
      </c>
      <c r="S292" s="2120"/>
      <c r="T292" s="2123" t="s">
        <v>422</v>
      </c>
      <c r="U292" s="2124"/>
      <c r="V292" s="2125">
        <v>0</v>
      </c>
      <c r="W292" s="2126"/>
    </row>
    <row r="293" spans="1:29" ht="13.75" thickBot="1">
      <c r="L293" s="2093" t="s">
        <v>921</v>
      </c>
      <c r="M293" s="2094"/>
      <c r="N293" s="2094"/>
      <c r="O293" s="2094"/>
      <c r="P293" s="2094"/>
      <c r="Q293" s="2095"/>
      <c r="R293" s="2106" t="str">
        <f>R275</f>
        <v>No</v>
      </c>
      <c r="S293" s="2107"/>
      <c r="T293" s="2093" t="s">
        <v>420</v>
      </c>
      <c r="U293" s="2095"/>
      <c r="V293" s="2121">
        <v>0</v>
      </c>
      <c r="W293" s="2122"/>
    </row>
    <row r="294" spans="1:29" ht="13.5" thickBot="1">
      <c r="L294" s="2093" t="s">
        <v>421</v>
      </c>
      <c r="M294" s="2094"/>
      <c r="N294" s="2094"/>
      <c r="O294" s="2094"/>
      <c r="P294" s="2094"/>
      <c r="Q294" s="2095"/>
      <c r="R294" s="2119">
        <v>0</v>
      </c>
      <c r="S294" s="2120"/>
      <c r="T294" s="2123" t="s">
        <v>422</v>
      </c>
      <c r="U294" s="2124"/>
      <c r="V294" s="2125">
        <v>0</v>
      </c>
      <c r="W294" s="2126"/>
    </row>
    <row r="295" spans="1:29" ht="13.1">
      <c r="A295" s="1644" t="s">
        <v>221</v>
      </c>
      <c r="B295" s="1644"/>
      <c r="C295" s="2130">
        <f>'Cost Control'!K83</f>
        <v>16</v>
      </c>
      <c r="D295" s="2130"/>
      <c r="E295" s="2130"/>
      <c r="F295" s="2130"/>
      <c r="G295" s="2130"/>
      <c r="H295" s="2130"/>
      <c r="I295" s="2130"/>
      <c r="L295" t="str">
        <f>IF(SUM(L287:Q287)=0," ","LTR SUMMARY:")</f>
        <v xml:space="preserve"> </v>
      </c>
      <c r="O295" s="1422">
        <f>SUM(L287:Q287)</f>
        <v>0</v>
      </c>
      <c r="P295" t="str">
        <f>IF(O295=0," ","m³")</f>
        <v xml:space="preserve"> </v>
      </c>
      <c r="R295" t="str">
        <f>IF(SUM(R287:W287)=0," ","LTR SUMMARY:")</f>
        <v xml:space="preserve"> </v>
      </c>
      <c r="U295" s="1422">
        <f>SUM(R287:W287)</f>
        <v>0</v>
      </c>
      <c r="V295" t="str">
        <f>IF(U295=0," ","m³")</f>
        <v xml:space="preserve"> </v>
      </c>
      <c r="X295" t="str">
        <f>IF(SUM(X287:AC287)=0," ","LTR SUMMARY:")</f>
        <v xml:space="preserve"> </v>
      </c>
      <c r="AA295" s="1422">
        <f>SUM(X287:AC287)</f>
        <v>0</v>
      </c>
      <c r="AB295" t="str">
        <f>IF(AA295=0," ","m³")</f>
        <v xml:space="preserve"> </v>
      </c>
    </row>
    <row r="296" spans="1:29" ht="13.5" thickBot="1"/>
    <row r="297" spans="1:29" ht="14.8" thickTop="1">
      <c r="A297" s="274" t="s">
        <v>190</v>
      </c>
      <c r="B297" s="275"/>
      <c r="C297" s="275"/>
      <c r="D297" s="275"/>
      <c r="E297" s="276"/>
      <c r="F297" s="277"/>
      <c r="G297" s="278"/>
      <c r="H297" s="271" t="s">
        <v>191</v>
      </c>
      <c r="I297" s="279"/>
      <c r="J297" s="279"/>
      <c r="K297" s="280"/>
      <c r="L297" s="279" t="str">
        <f>L279</f>
        <v xml:space="preserve">    Cum. to Date </v>
      </c>
      <c r="M297" s="281"/>
      <c r="N297" s="279"/>
      <c r="O297" s="334">
        <f>O279</f>
        <v>0</v>
      </c>
      <c r="P297" s="271"/>
      <c r="Q297" s="282"/>
      <c r="R297" s="283" t="str">
        <f>R279</f>
        <v xml:space="preserve">Cum. to Date </v>
      </c>
      <c r="S297" s="281"/>
      <c r="T297" s="279"/>
      <c r="U297" s="334">
        <f>U279</f>
        <v>0</v>
      </c>
      <c r="V297" s="284"/>
      <c r="W297" s="272"/>
      <c r="X297" s="283" t="str">
        <f>X279</f>
        <v xml:space="preserve">Cum. to Date </v>
      </c>
      <c r="Y297" s="281"/>
      <c r="Z297" s="279"/>
      <c r="AA297" s="334">
        <f>AA279</f>
        <v>0</v>
      </c>
      <c r="AB297" s="284"/>
      <c r="AC297" s="272"/>
    </row>
    <row r="298" spans="1:29" ht="14.8" thickBot="1">
      <c r="A298" s="285" t="s">
        <v>192</v>
      </c>
      <c r="B298" s="286"/>
      <c r="C298" s="286"/>
      <c r="D298" s="286"/>
      <c r="E298" s="287"/>
      <c r="F298" s="2067" t="s">
        <v>193</v>
      </c>
      <c r="G298" s="2068"/>
      <c r="H298" s="2069" t="s">
        <v>194</v>
      </c>
      <c r="I298" s="2070"/>
      <c r="J298" s="2069" t="str">
        <f>J280</f>
        <v>Other (1)</v>
      </c>
      <c r="K298" s="2091"/>
      <c r="L298" s="2092" t="s">
        <v>195</v>
      </c>
      <c r="M298" s="2070"/>
      <c r="N298" s="2069" t="s">
        <v>196</v>
      </c>
      <c r="O298" s="2070"/>
      <c r="P298" s="2069" t="str">
        <f>IF(P308="Yes",J298," ")</f>
        <v>Other (1)</v>
      </c>
      <c r="Q298" s="2091"/>
      <c r="R298" s="2092" t="str">
        <f>R280</f>
        <v>Water</v>
      </c>
      <c r="S298" s="2070"/>
      <c r="T298" s="2069" t="str">
        <f>T280</f>
        <v>Oil</v>
      </c>
      <c r="U298" s="2070"/>
      <c r="V298" s="2082" t="str">
        <f>IF(V308="Yes",J298," ")</f>
        <v xml:space="preserve"> </v>
      </c>
      <c r="W298" s="2083"/>
      <c r="X298" s="2092" t="str">
        <f>X280</f>
        <v>Water</v>
      </c>
      <c r="Y298" s="2070"/>
      <c r="Z298" s="2069" t="str">
        <f>Z280</f>
        <v>Oil</v>
      </c>
      <c r="AA298" s="2070"/>
      <c r="AB298" s="2082" t="str">
        <f>IF(AB308="Yes",J298," ")</f>
        <v xml:space="preserve"> </v>
      </c>
      <c r="AC298" s="2083"/>
    </row>
    <row r="299" spans="1:29" ht="16.100000000000001" thickTop="1">
      <c r="A299" s="288" t="s">
        <v>197</v>
      </c>
      <c r="B299" s="289"/>
      <c r="C299" s="289"/>
      <c r="D299" s="289"/>
      <c r="E299" s="289"/>
      <c r="F299" s="259"/>
      <c r="G299" s="260"/>
      <c r="H299" s="261"/>
      <c r="I299" s="260"/>
      <c r="J299" s="261"/>
      <c r="K299" s="262"/>
      <c r="L299" s="2084">
        <f>L281</f>
        <v>0</v>
      </c>
      <c r="M299" s="2084"/>
      <c r="N299" s="2085">
        <f>N281</f>
        <v>0</v>
      </c>
      <c r="O299" s="2086"/>
      <c r="P299" s="2085">
        <f>P281</f>
        <v>0</v>
      </c>
      <c r="Q299" s="2087"/>
      <c r="R299" s="2115">
        <f>R281</f>
        <v>0</v>
      </c>
      <c r="S299" s="2116"/>
      <c r="T299" s="2117">
        <f>T281</f>
        <v>0</v>
      </c>
      <c r="U299" s="2116"/>
      <c r="V299" s="2117">
        <f>V281</f>
        <v>0</v>
      </c>
      <c r="W299" s="2118"/>
      <c r="X299" s="2115">
        <f>X281</f>
        <v>0</v>
      </c>
      <c r="Y299" s="2116"/>
      <c r="Z299" s="2117">
        <f>Z281</f>
        <v>0</v>
      </c>
      <c r="AA299" s="2116"/>
      <c r="AB299" s="2117">
        <f>AB281</f>
        <v>0</v>
      </c>
      <c r="AC299" s="2118"/>
    </row>
    <row r="300" spans="1:29" ht="15.45">
      <c r="A300" s="288" t="s">
        <v>198</v>
      </c>
      <c r="B300" s="273"/>
      <c r="C300" s="273"/>
      <c r="D300" s="273"/>
      <c r="E300" s="273"/>
      <c r="F300" s="2073">
        <v>0</v>
      </c>
      <c r="G300" s="2074"/>
      <c r="H300" s="2075">
        <v>0</v>
      </c>
      <c r="I300" s="2074"/>
      <c r="J300" s="2075">
        <v>0</v>
      </c>
      <c r="K300" s="2076"/>
      <c r="L300" s="2077">
        <f>IF(P308="No",L282,F300+L282)</f>
        <v>0</v>
      </c>
      <c r="M300" s="2078"/>
      <c r="N300" s="2079">
        <f>IF(P308="No",N282,H300+N282)</f>
        <v>0</v>
      </c>
      <c r="O300" s="2078"/>
      <c r="P300" s="2079">
        <f>IF(P308="No",P282,J300+P282)</f>
        <v>0</v>
      </c>
      <c r="Q300" s="2080"/>
      <c r="R300" s="2081">
        <f>IF(V308="Yes",F300+R282,IF(R310="Water",IF(R309="Yes",V309,0),R282))</f>
        <v>0</v>
      </c>
      <c r="S300" s="2071"/>
      <c r="T300" s="2071">
        <f>IF(V308="Yes",H300+T282,IF(T310="Oil",IF(R309="Yes",V309,0),T282))</f>
        <v>0</v>
      </c>
      <c r="U300" s="2071"/>
      <c r="V300" s="2071">
        <f>IF(V308="Yes",J300+V282,IF(V310=V298,IF(R309="Yes",V309,0),V282))</f>
        <v>0</v>
      </c>
      <c r="W300" s="2072"/>
      <c r="X300" s="2081">
        <f>IF(AB308="Yes",F300+X282,IF(X310="Water",IF(X309="Yes",AB309,0),X282))</f>
        <v>0</v>
      </c>
      <c r="Y300" s="2071"/>
      <c r="Z300" s="2071">
        <f>IF(AB308="Yes",H300+Z282,IF(Z310=Z298,IF(X309="Yes",AB309,0),Z282))</f>
        <v>0</v>
      </c>
      <c r="AA300" s="2071"/>
      <c r="AB300" s="2071">
        <f>IF(AB308="Yes",J300+AB282,IF(AB310=AB298,IF(X309="Yes",AB309,0),AB282))</f>
        <v>0</v>
      </c>
      <c r="AC300" s="2072"/>
    </row>
    <row r="301" spans="1:29" ht="15.45">
      <c r="A301" s="288" t="s">
        <v>199</v>
      </c>
      <c r="B301" s="273"/>
      <c r="C301" s="273"/>
      <c r="D301" s="273"/>
      <c r="E301" s="273"/>
      <c r="F301" s="2073">
        <v>0</v>
      </c>
      <c r="G301" s="2074"/>
      <c r="H301" s="2075">
        <v>0</v>
      </c>
      <c r="I301" s="2074"/>
      <c r="J301" s="2075">
        <v>0</v>
      </c>
      <c r="K301" s="2076"/>
      <c r="L301" s="2077">
        <f>IF(P308="No",L283,F301+L283)</f>
        <v>0</v>
      </c>
      <c r="M301" s="2078"/>
      <c r="N301" s="2079">
        <f>IF(P308="No",N283,H301+N283)</f>
        <v>0</v>
      </c>
      <c r="O301" s="2078"/>
      <c r="P301" s="2079">
        <f>IF(P308="No",P283,J301+P283)</f>
        <v>0</v>
      </c>
      <c r="Q301" s="2080"/>
      <c r="R301" s="2081">
        <f>IF(V308="Yes",R283+F301,R283)</f>
        <v>0</v>
      </c>
      <c r="S301" s="2071"/>
      <c r="T301" s="2071">
        <f>IF(V308="Yes",T283+H301,T283)</f>
        <v>0</v>
      </c>
      <c r="U301" s="2071"/>
      <c r="V301" s="2071">
        <f>IF(V308="Yes",V283+J301,V283)</f>
        <v>0</v>
      </c>
      <c r="W301" s="2072"/>
      <c r="X301" s="2081">
        <f>IF(AB308="Yes",X283+F301,X283)</f>
        <v>0</v>
      </c>
      <c r="Y301" s="2071"/>
      <c r="Z301" s="2071">
        <f>IF(AB308="Yes",Z283+H301,Z283)</f>
        <v>0</v>
      </c>
      <c r="AA301" s="2071"/>
      <c r="AB301" s="2071">
        <f>IF(AB308="Yes",AB283+J301,AB283)</f>
        <v>0</v>
      </c>
      <c r="AC301" s="2072"/>
    </row>
    <row r="302" spans="1:29" ht="15.45">
      <c r="A302" s="288" t="s">
        <v>200</v>
      </c>
      <c r="B302" s="273"/>
      <c r="C302" s="273"/>
      <c r="D302" s="273"/>
      <c r="E302" s="273"/>
      <c r="F302" s="259"/>
      <c r="G302" s="260"/>
      <c r="H302" s="261"/>
      <c r="I302" s="263"/>
      <c r="J302" s="264"/>
      <c r="K302" s="265"/>
      <c r="L302" s="2077">
        <f>L299+L300-L301</f>
        <v>0</v>
      </c>
      <c r="M302" s="2078"/>
      <c r="N302" s="2079">
        <f>SUM(N299,N300,-N301)</f>
        <v>0</v>
      </c>
      <c r="O302" s="2078"/>
      <c r="P302" s="2079">
        <f>SUM(P299,P300,-P301)</f>
        <v>0</v>
      </c>
      <c r="Q302" s="2080"/>
      <c r="R302" s="2081">
        <f>SUM(R299,R300,-R301)</f>
        <v>0</v>
      </c>
      <c r="S302" s="2071"/>
      <c r="T302" s="2071">
        <f>SUM(T299,T300,-T301)</f>
        <v>0</v>
      </c>
      <c r="U302" s="2071"/>
      <c r="V302" s="2071">
        <f>SUM(V299,V300,-V301)</f>
        <v>0</v>
      </c>
      <c r="W302" s="2072"/>
      <c r="X302" s="2081">
        <f>SUM(X299,X300,-X301)</f>
        <v>0</v>
      </c>
      <c r="Y302" s="2071"/>
      <c r="Z302" s="2071">
        <f>SUM(Z299,Z300,-Z301)</f>
        <v>0</v>
      </c>
      <c r="AA302" s="2071"/>
      <c r="AB302" s="2071">
        <f>SUM(AB299,AB300,-AB301)</f>
        <v>0</v>
      </c>
      <c r="AC302" s="2072"/>
    </row>
    <row r="303" spans="1:29" ht="15.45">
      <c r="A303" s="288" t="s">
        <v>201</v>
      </c>
      <c r="B303" s="273"/>
      <c r="C303" s="273"/>
      <c r="D303" s="273"/>
      <c r="E303" s="273"/>
      <c r="F303" s="259"/>
      <c r="G303" s="260"/>
      <c r="H303" s="261"/>
      <c r="I303" s="263"/>
      <c r="J303" s="264"/>
      <c r="K303" s="265"/>
      <c r="L303" s="2073">
        <f>L285</f>
        <v>0</v>
      </c>
      <c r="M303" s="2074"/>
      <c r="N303" s="2075">
        <f>N285</f>
        <v>0</v>
      </c>
      <c r="O303" s="2074"/>
      <c r="P303" s="2075">
        <f>P285</f>
        <v>0</v>
      </c>
      <c r="Q303" s="2076"/>
      <c r="R303" s="2081">
        <f>R285</f>
        <v>0</v>
      </c>
      <c r="S303" s="2071"/>
      <c r="T303" s="2071">
        <f>T285</f>
        <v>0</v>
      </c>
      <c r="U303" s="2071"/>
      <c r="V303" s="2128">
        <f>V285</f>
        <v>0</v>
      </c>
      <c r="W303" s="2129"/>
      <c r="X303" s="2081">
        <f>X285</f>
        <v>0</v>
      </c>
      <c r="Y303" s="2071"/>
      <c r="Z303" s="2071">
        <f>Z285</f>
        <v>0</v>
      </c>
      <c r="AA303" s="2071"/>
      <c r="AB303" s="2128">
        <f>AB285</f>
        <v>0</v>
      </c>
      <c r="AC303" s="2129"/>
    </row>
    <row r="304" spans="1:29" ht="15.45">
      <c r="A304" s="288" t="s">
        <v>202</v>
      </c>
      <c r="B304" s="273"/>
      <c r="C304" s="273"/>
      <c r="D304" s="273"/>
      <c r="E304" s="273"/>
      <c r="F304" s="259"/>
      <c r="G304" s="260"/>
      <c r="H304" s="261"/>
      <c r="I304" s="263"/>
      <c r="J304" s="264"/>
      <c r="K304" s="265"/>
      <c r="L304" s="2077">
        <f>IF(P308="No",L286,L286+F300-F301+F307-F308)</f>
        <v>0</v>
      </c>
      <c r="M304" s="2078"/>
      <c r="N304" s="2079">
        <f>IF(P308="No",N286,N286+H300-H301+H307-H308)</f>
        <v>0</v>
      </c>
      <c r="O304" s="2078"/>
      <c r="P304" s="2079">
        <f>IF(P308="No",P286,P286+J300-J301+J307-J308)</f>
        <v>0</v>
      </c>
      <c r="Q304" s="2080"/>
      <c r="R304" s="2071">
        <f>IF(V308="Yes",R286+F300-F301+F307-F308,IF(P309="Yes",IF(R310=R298,R300-R301-V310,0),R286))</f>
        <v>0</v>
      </c>
      <c r="S304" s="2071"/>
      <c r="T304" s="2071">
        <f>IF(V308="Yes",T286+H300-H301+H307-H308,IF(R309="Yes",IF(R310=T298,T300-T301-V310,0),T286))</f>
        <v>0</v>
      </c>
      <c r="U304" s="2071"/>
      <c r="V304" s="2071">
        <f>IF(V308="Yes",V286+J300-J301+J307-J308,IF(T309="Yes",IF(R310=V298,V300-V301-V310,0),V286))</f>
        <v>0</v>
      </c>
      <c r="W304" s="2072"/>
      <c r="X304" s="2071">
        <f>IF(AB308="Yes",X286+F300-F301+F307-F308,IF(V309="Yes",IF(X310=X298,X300-X301-AB310,0),X286))</f>
        <v>0</v>
      </c>
      <c r="Y304" s="2071"/>
      <c r="Z304" s="2071">
        <f>IF(AB308="Yes",Z286+H300-H301+H307-H308,IF(X309="Yes",IF(X310=Z298,Z300-Z301-AB310,0),Z286))</f>
        <v>0</v>
      </c>
      <c r="AA304" s="2071"/>
      <c r="AB304" s="2071">
        <f>IF(AB308="Yes",AB286+J300-J301+J307-J308,IF(Z309="Yes",IF(X310=AB298,AB300-AB301-AB310,0),AB286))</f>
        <v>0</v>
      </c>
      <c r="AC304" s="2072"/>
    </row>
    <row r="305" spans="1:29" ht="15.45">
      <c r="A305" s="288" t="s">
        <v>203</v>
      </c>
      <c r="B305" s="273"/>
      <c r="C305" s="273"/>
      <c r="D305" s="273"/>
      <c r="E305" s="273"/>
      <c r="F305" s="2110"/>
      <c r="G305" s="2111"/>
      <c r="H305" s="2111"/>
      <c r="I305" s="2111"/>
      <c r="J305" s="2111"/>
      <c r="K305" s="2112"/>
      <c r="L305" s="2113">
        <f>IF(P308="No",0,IF(L302-L303-L304&lt;0,0,SUM(L302,-L303,-L304)))</f>
        <v>0</v>
      </c>
      <c r="M305" s="2114"/>
      <c r="N305" s="2113">
        <f>IF(P308="No",0,IF(N302-N303-N304&lt;0,0,SUM(N302,-N303,-N304)))</f>
        <v>0</v>
      </c>
      <c r="O305" s="2114"/>
      <c r="P305" s="2079">
        <f>IF(P308="No",0,IF(P302-P303-P304&lt;0,0,SUM(P302,-P303,-P304)))</f>
        <v>0</v>
      </c>
      <c r="Q305" s="2080"/>
      <c r="R305" s="2127">
        <f>IF(V308="No",0,IF(R302-R303-R304&lt;0,0,SUM(R302,-R303,-R304)))</f>
        <v>0</v>
      </c>
      <c r="S305" s="2114"/>
      <c r="T305" s="2113">
        <f>IF(V308="No",0,IF(T302-T303-T304&lt;0,0,SUM(T302,-T303,-T304)))</f>
        <v>0</v>
      </c>
      <c r="U305" s="2114"/>
      <c r="V305" s="2079">
        <f>IF(V308="No",0,IF(V302-V303-V304&lt;0,0,SUM(V302,-V303,-V304)))</f>
        <v>0</v>
      </c>
      <c r="W305" s="2080"/>
      <c r="X305" s="2113">
        <f>IF(AB308="No",0,IF(X302-X303-X304&lt;0,0,SUM(X302,-X303,-X304)))</f>
        <v>0</v>
      </c>
      <c r="Y305" s="2114"/>
      <c r="Z305" s="2113">
        <f>IF(AB308="No",0,IF(Z302-Z303-Z304&lt;0,0,SUM(Z302,-Z303,-Z304)))</f>
        <v>0</v>
      </c>
      <c r="AA305" s="2114"/>
      <c r="AB305" s="2079">
        <f>IF(AB308="No",0,IF(AB302-AB303-AB304&lt;0,0,SUM(AB302,-AB303,-AB304)))</f>
        <v>0</v>
      </c>
      <c r="AC305" s="2080"/>
    </row>
    <row r="306" spans="1:29" ht="15.45">
      <c r="A306" s="1177" t="s">
        <v>929</v>
      </c>
      <c r="B306" s="273"/>
      <c r="C306" s="273"/>
      <c r="D306" s="273"/>
      <c r="E306" s="1176"/>
      <c r="F306" s="1166"/>
      <c r="G306" s="1167"/>
      <c r="H306" s="1167"/>
      <c r="I306" s="1167"/>
      <c r="J306" s="1167"/>
      <c r="K306" s="1168"/>
      <c r="L306" s="2131">
        <f>IF(P308="No",0,IF((L302-L303-L304)&lt;0,(L302-L303-L304)*-1,0))</f>
        <v>0</v>
      </c>
      <c r="M306" s="2131"/>
      <c r="N306" s="2131">
        <f>IF(R308="No",0,IF((N302-N303-N304)&lt;0,(N302-N303-N304)*-1,0))</f>
        <v>0</v>
      </c>
      <c r="O306" s="2131"/>
      <c r="P306" s="2131">
        <f>IF(T308="No",0,IF((P302-P303-P304)&lt;0,(P302-P303-P304)*-1,0))</f>
        <v>0</v>
      </c>
      <c r="Q306" s="2132"/>
      <c r="R306" s="2078">
        <f>IF(V308="No",0,IF((R302-R303-R304)&lt;0,(R302-R303-R304)*-1,0))</f>
        <v>0</v>
      </c>
      <c r="S306" s="2131"/>
      <c r="T306" s="2131">
        <f>IF(V308="No",0,IF((T302-T303-T304)&lt;0,(T302-T303-T304)*-1,0))</f>
        <v>0</v>
      </c>
      <c r="U306" s="2131"/>
      <c r="V306" s="2131">
        <f>IF(V308="No",0,IF((V302-V303-V304)&lt;0,(V302-V303-V304)*-1,0))</f>
        <v>0</v>
      </c>
      <c r="W306" s="2132"/>
      <c r="X306" s="2134">
        <f>IF(AB308="No",0,IF((X302-X303-X304)&lt;0,(X302-X303-X304)*-1,0))</f>
        <v>0</v>
      </c>
      <c r="Y306" s="2131"/>
      <c r="Z306" s="2131">
        <f>IF(AB308="No",0,IF((Z302-Z303-Z304)&lt;0,(Z302-Z303-Z304)*-1,0))</f>
        <v>0</v>
      </c>
      <c r="AA306" s="2131"/>
      <c r="AB306" s="2131">
        <f>IF(AB308="No",0,IF((AB302-AB303-AB304)&lt;0,(AB302-AB303-AB304)*-1,0))</f>
        <v>0</v>
      </c>
      <c r="AC306" s="2132"/>
    </row>
    <row r="307" spans="1:29" ht="16.100000000000001" thickBot="1">
      <c r="A307" s="505" t="s">
        <v>991</v>
      </c>
      <c r="B307" s="506"/>
      <c r="C307" s="506"/>
      <c r="D307" s="506"/>
      <c r="E307" s="291"/>
      <c r="F307" s="2073">
        <v>0</v>
      </c>
      <c r="G307" s="2074"/>
      <c r="H307" s="2075">
        <v>0</v>
      </c>
      <c r="I307" s="2074"/>
      <c r="J307" s="2101">
        <v>0</v>
      </c>
      <c r="K307" s="2102"/>
      <c r="L307" s="292"/>
      <c r="M307" s="293"/>
      <c r="N307" s="292"/>
      <c r="O307" s="293"/>
      <c r="P307" s="294"/>
      <c r="Q307" s="295"/>
      <c r="R307" s="296"/>
      <c r="S307" s="293"/>
      <c r="T307" s="292"/>
      <c r="U307" s="293"/>
      <c r="V307" s="292"/>
      <c r="W307" s="297"/>
      <c r="X307" s="296"/>
      <c r="Y307" s="293"/>
      <c r="Z307" s="292"/>
      <c r="AA307" s="293"/>
      <c r="AB307" s="292"/>
      <c r="AC307" s="297"/>
    </row>
    <row r="308" spans="1:29" ht="16.100000000000001" thickBot="1">
      <c r="A308" s="290" t="s">
        <v>992</v>
      </c>
      <c r="B308" s="21"/>
      <c r="C308" s="21"/>
      <c r="D308" s="21"/>
      <c r="F308" s="2096">
        <v>0</v>
      </c>
      <c r="G308" s="2097"/>
      <c r="H308" s="2098">
        <v>0</v>
      </c>
      <c r="I308" s="2097"/>
      <c r="J308" s="2103">
        <v>0</v>
      </c>
      <c r="K308" s="2104"/>
      <c r="L308" s="2093" t="s">
        <v>417</v>
      </c>
      <c r="M308" s="2094"/>
      <c r="N308" s="2094"/>
      <c r="O308" s="2095"/>
      <c r="P308" s="2106" t="str">
        <f>P290</f>
        <v>Yes</v>
      </c>
      <c r="Q308" s="2107"/>
      <c r="R308" s="2093" t="s">
        <v>417</v>
      </c>
      <c r="S308" s="2094"/>
      <c r="T308" s="2094"/>
      <c r="U308" s="2095"/>
      <c r="V308" s="2106" t="str">
        <f>V290</f>
        <v>No</v>
      </c>
      <c r="W308" s="2107"/>
      <c r="X308" s="2093" t="s">
        <v>417</v>
      </c>
      <c r="Y308" s="2094"/>
      <c r="Z308" s="2094"/>
      <c r="AA308" s="2095"/>
      <c r="AB308" s="2106" t="str">
        <f>AB290</f>
        <v>No</v>
      </c>
      <c r="AC308" s="2107"/>
    </row>
    <row r="309" spans="1:29" ht="13.75" thickBot="1">
      <c r="L309" s="2093" t="s">
        <v>419</v>
      </c>
      <c r="M309" s="2094"/>
      <c r="N309" s="2094"/>
      <c r="O309" s="2094"/>
      <c r="P309" s="2094"/>
      <c r="Q309" s="2095"/>
      <c r="R309" s="2106" t="str">
        <f>R291</f>
        <v>No</v>
      </c>
      <c r="S309" s="2107"/>
      <c r="T309" s="2093" t="s">
        <v>420</v>
      </c>
      <c r="U309" s="2095"/>
      <c r="V309" s="2121">
        <v>0</v>
      </c>
      <c r="W309" s="2122"/>
    </row>
    <row r="310" spans="1:29" ht="13.5" thickBot="1">
      <c r="L310" s="2093" t="s">
        <v>421</v>
      </c>
      <c r="M310" s="2094"/>
      <c r="N310" s="2094"/>
      <c r="O310" s="2094"/>
      <c r="P310" s="2094"/>
      <c r="Q310" s="2095"/>
      <c r="R310" s="2119">
        <v>0</v>
      </c>
      <c r="S310" s="2120"/>
      <c r="T310" s="2123" t="s">
        <v>422</v>
      </c>
      <c r="U310" s="2124"/>
      <c r="V310" s="2125">
        <v>0</v>
      </c>
      <c r="W310" s="2126"/>
    </row>
    <row r="311" spans="1:29" ht="13.75" thickBot="1">
      <c r="L311" s="2093" t="s">
        <v>921</v>
      </c>
      <c r="M311" s="2094"/>
      <c r="N311" s="2094"/>
      <c r="O311" s="2094"/>
      <c r="P311" s="2094"/>
      <c r="Q311" s="2095"/>
      <c r="R311" s="2106" t="str">
        <f>R293</f>
        <v>No</v>
      </c>
      <c r="S311" s="2107"/>
      <c r="T311" s="2093" t="s">
        <v>420</v>
      </c>
      <c r="U311" s="2095"/>
      <c r="V311" s="2121">
        <v>0</v>
      </c>
      <c r="W311" s="2122"/>
    </row>
    <row r="312" spans="1:29" ht="13.5" thickBot="1">
      <c r="L312" s="2093" t="s">
        <v>421</v>
      </c>
      <c r="M312" s="2094"/>
      <c r="N312" s="2094"/>
      <c r="O312" s="2094"/>
      <c r="P312" s="2094"/>
      <c r="Q312" s="2095"/>
      <c r="R312" s="2119">
        <v>0</v>
      </c>
      <c r="S312" s="2120"/>
      <c r="T312" s="2123" t="s">
        <v>422</v>
      </c>
      <c r="U312" s="2124"/>
      <c r="V312" s="2125">
        <v>0</v>
      </c>
      <c r="W312" s="2126"/>
    </row>
    <row r="313" spans="1:29" ht="13.1">
      <c r="A313" s="1644" t="s">
        <v>221</v>
      </c>
      <c r="B313" s="1644"/>
      <c r="C313" s="2130">
        <f>'Cost Control'!L83</f>
        <v>17</v>
      </c>
      <c r="D313" s="2130"/>
      <c r="E313" s="2130"/>
      <c r="F313" s="2130"/>
      <c r="G313" s="2130"/>
      <c r="H313" s="2130"/>
      <c r="I313" s="2130"/>
      <c r="L313" t="str">
        <f>IF(SUM(L305:Q305)=0," ","LTR SUMMARY:")</f>
        <v xml:space="preserve"> </v>
      </c>
      <c r="O313" s="1422">
        <f>SUM(L305:Q305)</f>
        <v>0</v>
      </c>
      <c r="P313" t="str">
        <f>IF(O313=0," ","m³")</f>
        <v xml:space="preserve"> </v>
      </c>
      <c r="R313" t="str">
        <f>IF(SUM(R305:W305)=0," ","LTR SUMMARY:")</f>
        <v xml:space="preserve"> </v>
      </c>
      <c r="U313" s="1422">
        <f>SUM(R305:W305)</f>
        <v>0</v>
      </c>
      <c r="V313" t="str">
        <f>IF(U313=0," ","m³")</f>
        <v xml:space="preserve"> </v>
      </c>
      <c r="X313" t="str">
        <f>IF(SUM(X305:AC305)=0," ","LTR SUMMARY:")</f>
        <v xml:space="preserve"> </v>
      </c>
      <c r="AA313" s="1422">
        <f>SUM(X305:AC305)</f>
        <v>0</v>
      </c>
      <c r="AB313" t="str">
        <f>IF(AA313=0," ","m³")</f>
        <v xml:space="preserve"> </v>
      </c>
    </row>
    <row r="314" spans="1:29" ht="13.5" thickBot="1"/>
    <row r="315" spans="1:29" ht="14.8" thickTop="1">
      <c r="A315" s="274" t="s">
        <v>190</v>
      </c>
      <c r="B315" s="275"/>
      <c r="C315" s="275"/>
      <c r="D315" s="275"/>
      <c r="E315" s="276"/>
      <c r="F315" s="277"/>
      <c r="G315" s="278"/>
      <c r="H315" s="271" t="s">
        <v>191</v>
      </c>
      <c r="I315" s="279"/>
      <c r="J315" s="279"/>
      <c r="K315" s="280"/>
      <c r="L315" s="279" t="str">
        <f>L297</f>
        <v xml:space="preserve">    Cum. to Date </v>
      </c>
      <c r="M315" s="281"/>
      <c r="N315" s="279"/>
      <c r="O315" s="334">
        <f>O297</f>
        <v>0</v>
      </c>
      <c r="P315" s="271"/>
      <c r="Q315" s="282"/>
      <c r="R315" s="283" t="str">
        <f>R297</f>
        <v xml:space="preserve">Cum. to Date </v>
      </c>
      <c r="S315" s="281"/>
      <c r="T315" s="279"/>
      <c r="U315" s="334">
        <f>U297</f>
        <v>0</v>
      </c>
      <c r="V315" s="284"/>
      <c r="W315" s="272"/>
      <c r="X315" s="283" t="str">
        <f>X297</f>
        <v xml:space="preserve">Cum. to Date </v>
      </c>
      <c r="Y315" s="281"/>
      <c r="Z315" s="279"/>
      <c r="AA315" s="334">
        <f>AA297</f>
        <v>0</v>
      </c>
      <c r="AB315" s="284"/>
      <c r="AC315" s="272"/>
    </row>
    <row r="316" spans="1:29" ht="14.8" thickBot="1">
      <c r="A316" s="285" t="s">
        <v>192</v>
      </c>
      <c r="B316" s="286"/>
      <c r="C316" s="286"/>
      <c r="D316" s="286"/>
      <c r="E316" s="287"/>
      <c r="F316" s="2067" t="s">
        <v>193</v>
      </c>
      <c r="G316" s="2068"/>
      <c r="H316" s="2069" t="s">
        <v>194</v>
      </c>
      <c r="I316" s="2070"/>
      <c r="J316" s="2069" t="str">
        <f>J298</f>
        <v>Other (1)</v>
      </c>
      <c r="K316" s="2091"/>
      <c r="L316" s="2092" t="s">
        <v>195</v>
      </c>
      <c r="M316" s="2070"/>
      <c r="N316" s="2069" t="s">
        <v>196</v>
      </c>
      <c r="O316" s="2070"/>
      <c r="P316" s="2069" t="str">
        <f>IF(P326="Yes",J316," ")</f>
        <v>Other (1)</v>
      </c>
      <c r="Q316" s="2091"/>
      <c r="R316" s="2092" t="str">
        <f>R298</f>
        <v>Water</v>
      </c>
      <c r="S316" s="2070"/>
      <c r="T316" s="2069" t="str">
        <f>T298</f>
        <v>Oil</v>
      </c>
      <c r="U316" s="2070"/>
      <c r="V316" s="2082" t="str">
        <f>IF(V326="Yes",J316," ")</f>
        <v xml:space="preserve"> </v>
      </c>
      <c r="W316" s="2083"/>
      <c r="X316" s="2092" t="str">
        <f>X298</f>
        <v>Water</v>
      </c>
      <c r="Y316" s="2070"/>
      <c r="Z316" s="2069" t="str">
        <f>Z298</f>
        <v>Oil</v>
      </c>
      <c r="AA316" s="2070"/>
      <c r="AB316" s="2082" t="str">
        <f>IF(AB326="Yes",J316," ")</f>
        <v xml:space="preserve"> </v>
      </c>
      <c r="AC316" s="2083"/>
    </row>
    <row r="317" spans="1:29" ht="16.100000000000001" thickTop="1">
      <c r="A317" s="288" t="s">
        <v>197</v>
      </c>
      <c r="B317" s="289"/>
      <c r="C317" s="289"/>
      <c r="D317" s="289"/>
      <c r="E317" s="289"/>
      <c r="F317" s="259"/>
      <c r="G317" s="260"/>
      <c r="H317" s="261"/>
      <c r="I317" s="260"/>
      <c r="J317" s="261"/>
      <c r="K317" s="262"/>
      <c r="L317" s="2084">
        <f>L299</f>
        <v>0</v>
      </c>
      <c r="M317" s="2084"/>
      <c r="N317" s="2085">
        <f>N299</f>
        <v>0</v>
      </c>
      <c r="O317" s="2086"/>
      <c r="P317" s="2085">
        <f>P299</f>
        <v>0</v>
      </c>
      <c r="Q317" s="2087"/>
      <c r="R317" s="2115">
        <f>R299</f>
        <v>0</v>
      </c>
      <c r="S317" s="2116"/>
      <c r="T317" s="2117">
        <f>T299</f>
        <v>0</v>
      </c>
      <c r="U317" s="2116"/>
      <c r="V317" s="2117">
        <f>V299</f>
        <v>0</v>
      </c>
      <c r="W317" s="2118"/>
      <c r="X317" s="2115">
        <f>X299</f>
        <v>0</v>
      </c>
      <c r="Y317" s="2116"/>
      <c r="Z317" s="2117">
        <f>Z299</f>
        <v>0</v>
      </c>
      <c r="AA317" s="2116"/>
      <c r="AB317" s="2117">
        <f>AB299</f>
        <v>0</v>
      </c>
      <c r="AC317" s="2118"/>
    </row>
    <row r="318" spans="1:29" ht="15.45">
      <c r="A318" s="288" t="s">
        <v>198</v>
      </c>
      <c r="B318" s="273"/>
      <c r="C318" s="273"/>
      <c r="D318" s="273"/>
      <c r="E318" s="273"/>
      <c r="F318" s="2073">
        <v>0</v>
      </c>
      <c r="G318" s="2074"/>
      <c r="H318" s="2075">
        <v>0</v>
      </c>
      <c r="I318" s="2074"/>
      <c r="J318" s="2075">
        <v>0</v>
      </c>
      <c r="K318" s="2076"/>
      <c r="L318" s="2077">
        <f>IF(P326="No",L300,F318+L300)</f>
        <v>0</v>
      </c>
      <c r="M318" s="2078"/>
      <c r="N318" s="2079">
        <f>IF(P326="No",N300,H318+N300)</f>
        <v>0</v>
      </c>
      <c r="O318" s="2078"/>
      <c r="P318" s="2079">
        <f>IF(P326="No",P300,J318+P300)</f>
        <v>0</v>
      </c>
      <c r="Q318" s="2080"/>
      <c r="R318" s="2081">
        <f>IF(V326="Yes",F318+R300,IF(R328="Water",IF(R327="Yes",V327,0),R300))</f>
        <v>0</v>
      </c>
      <c r="S318" s="2071"/>
      <c r="T318" s="2071">
        <f>IF(V326="Yes",H318+T300,IF(T328="Oil",IF(R327="Yes",V327,0),T300))</f>
        <v>0</v>
      </c>
      <c r="U318" s="2071"/>
      <c r="V318" s="2071">
        <f>IF(V326="Yes",J318+V300,IF(V328=V316,IF(R327="Yes",V327,0),V300))</f>
        <v>0</v>
      </c>
      <c r="W318" s="2072"/>
      <c r="X318" s="2081">
        <f>IF(AB326="Yes",F318+X300,IF(X328="Water",IF(X327="Yes",AB327,0),X300))</f>
        <v>0</v>
      </c>
      <c r="Y318" s="2071"/>
      <c r="Z318" s="2071">
        <f>IF(AB326="Yes",H318+Z300,IF(Z328=Z316,IF(X327="Yes",AB327,0),Z300))</f>
        <v>0</v>
      </c>
      <c r="AA318" s="2071"/>
      <c r="AB318" s="2071">
        <f>IF(AB326="Yes",J318+AB300,IF(AB328=AB316,IF(X327="Yes",AB327,0),AB300))</f>
        <v>0</v>
      </c>
      <c r="AC318" s="2072"/>
    </row>
    <row r="319" spans="1:29" ht="15.45">
      <c r="A319" s="288" t="s">
        <v>199</v>
      </c>
      <c r="B319" s="273"/>
      <c r="C319" s="273"/>
      <c r="D319" s="273"/>
      <c r="E319" s="273"/>
      <c r="F319" s="2073">
        <v>0</v>
      </c>
      <c r="G319" s="2074"/>
      <c r="H319" s="2075">
        <v>0</v>
      </c>
      <c r="I319" s="2074"/>
      <c r="J319" s="2075">
        <v>0</v>
      </c>
      <c r="K319" s="2076"/>
      <c r="L319" s="2077">
        <f>IF(P326="No",L301,F319+L301)</f>
        <v>0</v>
      </c>
      <c r="M319" s="2078"/>
      <c r="N319" s="2079">
        <f>IF(P326="No",N301,H319+N301)</f>
        <v>0</v>
      </c>
      <c r="O319" s="2078"/>
      <c r="P319" s="2079">
        <f>IF(P326="No",P301,J319+P301)</f>
        <v>0</v>
      </c>
      <c r="Q319" s="2080"/>
      <c r="R319" s="2081">
        <f>IF(V326="Yes",R301+F319,R301)</f>
        <v>0</v>
      </c>
      <c r="S319" s="2071"/>
      <c r="T319" s="2071">
        <f>IF(V326="Yes",T301+H319,T301)</f>
        <v>0</v>
      </c>
      <c r="U319" s="2071"/>
      <c r="V319" s="2071">
        <f>IF(V326="Yes",V301+J319,V301)</f>
        <v>0</v>
      </c>
      <c r="W319" s="2072"/>
      <c r="X319" s="2081">
        <f>IF(AB326="Yes",X301+F319,X301)</f>
        <v>0</v>
      </c>
      <c r="Y319" s="2071"/>
      <c r="Z319" s="2071">
        <f>IF(AB326="Yes",Z301+H319,Z301)</f>
        <v>0</v>
      </c>
      <c r="AA319" s="2071"/>
      <c r="AB319" s="2071">
        <f>IF(AB326="Yes",AB301+J319,AB301)</f>
        <v>0</v>
      </c>
      <c r="AC319" s="2072"/>
    </row>
    <row r="320" spans="1:29" ht="15.45">
      <c r="A320" s="288" t="s">
        <v>200</v>
      </c>
      <c r="B320" s="273"/>
      <c r="C320" s="273"/>
      <c r="D320" s="273"/>
      <c r="E320" s="273"/>
      <c r="F320" s="259"/>
      <c r="G320" s="260"/>
      <c r="H320" s="261"/>
      <c r="I320" s="263"/>
      <c r="J320" s="264"/>
      <c r="K320" s="265"/>
      <c r="L320" s="2077">
        <f>L317+L318-L319</f>
        <v>0</v>
      </c>
      <c r="M320" s="2078"/>
      <c r="N320" s="2079">
        <f>SUM(N317,N318,-N319)</f>
        <v>0</v>
      </c>
      <c r="O320" s="2078"/>
      <c r="P320" s="2079">
        <f>SUM(P317,P318,-P319)</f>
        <v>0</v>
      </c>
      <c r="Q320" s="2080"/>
      <c r="R320" s="2081">
        <f>SUM(R317,R318,-R319)</f>
        <v>0</v>
      </c>
      <c r="S320" s="2071"/>
      <c r="T320" s="2071">
        <f>SUM(T317,T318,-T319)</f>
        <v>0</v>
      </c>
      <c r="U320" s="2071"/>
      <c r="V320" s="2071">
        <f>SUM(V317,V318,-V319)</f>
        <v>0</v>
      </c>
      <c r="W320" s="2072"/>
      <c r="X320" s="2081">
        <f>SUM(X317,X318,-X319)</f>
        <v>0</v>
      </c>
      <c r="Y320" s="2071"/>
      <c r="Z320" s="2071">
        <f>SUM(Z317,Z318,-Z319)</f>
        <v>0</v>
      </c>
      <c r="AA320" s="2071"/>
      <c r="AB320" s="2071">
        <f>SUM(AB317,AB318,-AB319)</f>
        <v>0</v>
      </c>
      <c r="AC320" s="2072"/>
    </row>
    <row r="321" spans="1:29" ht="15.45">
      <c r="A321" s="288" t="s">
        <v>201</v>
      </c>
      <c r="B321" s="273"/>
      <c r="C321" s="273"/>
      <c r="D321" s="273"/>
      <c r="E321" s="273"/>
      <c r="F321" s="259"/>
      <c r="G321" s="260"/>
      <c r="H321" s="261"/>
      <c r="I321" s="263"/>
      <c r="J321" s="264"/>
      <c r="K321" s="265"/>
      <c r="L321" s="2073">
        <f>L303</f>
        <v>0</v>
      </c>
      <c r="M321" s="2074"/>
      <c r="N321" s="2075">
        <f>N303</f>
        <v>0</v>
      </c>
      <c r="O321" s="2074"/>
      <c r="P321" s="2075">
        <f>P303</f>
        <v>0</v>
      </c>
      <c r="Q321" s="2076"/>
      <c r="R321" s="2081">
        <f>R303</f>
        <v>0</v>
      </c>
      <c r="S321" s="2071"/>
      <c r="T321" s="2071">
        <f>T303</f>
        <v>0</v>
      </c>
      <c r="U321" s="2071"/>
      <c r="V321" s="2128">
        <f>V303</f>
        <v>0</v>
      </c>
      <c r="W321" s="2129"/>
      <c r="X321" s="2081">
        <f>X303</f>
        <v>0</v>
      </c>
      <c r="Y321" s="2071"/>
      <c r="Z321" s="2071">
        <f>Z303</f>
        <v>0</v>
      </c>
      <c r="AA321" s="2071"/>
      <c r="AB321" s="2128">
        <f>AB303</f>
        <v>0</v>
      </c>
      <c r="AC321" s="2129"/>
    </row>
    <row r="322" spans="1:29" ht="15.45">
      <c r="A322" s="288" t="s">
        <v>202</v>
      </c>
      <c r="B322" s="273"/>
      <c r="C322" s="273"/>
      <c r="D322" s="273"/>
      <c r="E322" s="273"/>
      <c r="F322" s="259"/>
      <c r="G322" s="260"/>
      <c r="H322" s="261"/>
      <c r="I322" s="263"/>
      <c r="J322" s="264"/>
      <c r="K322" s="265"/>
      <c r="L322" s="2077">
        <f>IF(P326="No",L304,L304+F318-F319+F325-F326)</f>
        <v>0</v>
      </c>
      <c r="M322" s="2078"/>
      <c r="N322" s="2079">
        <f>IF(P326="No",N304,N304+H318-H319+H325-H326)</f>
        <v>0</v>
      </c>
      <c r="O322" s="2078"/>
      <c r="P322" s="2079">
        <f>IF(P326="No",P304,P304+J318-J319+J325-J326)</f>
        <v>0</v>
      </c>
      <c r="Q322" s="2080"/>
      <c r="R322" s="2071">
        <f>IF(V326="Yes",R304+F318-F319+F325-F326,IF(P327="Yes",IF(R328=R316,R318-R319-V328,0),R304))</f>
        <v>0</v>
      </c>
      <c r="S322" s="2071"/>
      <c r="T322" s="2071">
        <f>IF(V326="Yes",T304+H318-H319+H325-H326,IF(R327="Yes",IF(R328=T316,T318-T319-V328,0),T304))</f>
        <v>0</v>
      </c>
      <c r="U322" s="2071"/>
      <c r="V322" s="2071">
        <f>IF(V326="Yes",V304+J318-J319+J325-J326,IF(T327="Yes",IF(R328=V316,V318-V319-V328,0),V304))</f>
        <v>0</v>
      </c>
      <c r="W322" s="2072"/>
      <c r="X322" s="2071">
        <f>IF(AB326="Yes",X304+F318-F319+F325-F326,IF(V327="Yes",IF(X328=X316,X318-X319-AB328,0),X304))</f>
        <v>0</v>
      </c>
      <c r="Y322" s="2071"/>
      <c r="Z322" s="2071">
        <f>IF(AB326="Yes",Z304+H318-H319+H325-H326,IF(X327="Yes",IF(X328=Z316,Z318-Z319-AB328,0),Z304))</f>
        <v>0</v>
      </c>
      <c r="AA322" s="2071"/>
      <c r="AB322" s="2071">
        <f>IF(AB326="Yes",AB304+J318-J319+J325-J326,IF(Z327="Yes",IF(X328=AB316,AB318-AB319-AB328,0),AB304))</f>
        <v>0</v>
      </c>
      <c r="AC322" s="2072"/>
    </row>
    <row r="323" spans="1:29" ht="15.45">
      <c r="A323" s="288" t="s">
        <v>203</v>
      </c>
      <c r="B323" s="273"/>
      <c r="C323" s="273"/>
      <c r="D323" s="273"/>
      <c r="E323" s="273"/>
      <c r="F323" s="2110"/>
      <c r="G323" s="2111"/>
      <c r="H323" s="2111"/>
      <c r="I323" s="2111"/>
      <c r="J323" s="2111"/>
      <c r="K323" s="2112"/>
      <c r="L323" s="2113">
        <f>IF(P326="No",0,IF(L320-L321-L322&lt;0,0,SUM(L320,-L321,-L322)))</f>
        <v>0</v>
      </c>
      <c r="M323" s="2114"/>
      <c r="N323" s="2113">
        <f>IF(P326="No",0,IF(N320-N321-N322&lt;0,0,SUM(N320,-N321,-N322)))</f>
        <v>0</v>
      </c>
      <c r="O323" s="2114"/>
      <c r="P323" s="2079">
        <f>IF(P326="No",0,IF(P320-P321-P322&lt;0,0,SUM(P320,-P321,-P322)))</f>
        <v>0</v>
      </c>
      <c r="Q323" s="2080"/>
      <c r="R323" s="2127">
        <f>IF(V326="No",0,IF(R320-R321-R322&lt;0,0,SUM(R320,-R321,-R322)))</f>
        <v>0</v>
      </c>
      <c r="S323" s="2114"/>
      <c r="T323" s="2113">
        <f>IF(V326="No",0,IF(T320-T321-T322&lt;0,0,SUM(T320,-T321,-T322)))</f>
        <v>0</v>
      </c>
      <c r="U323" s="2114"/>
      <c r="V323" s="2079">
        <f>IF(V326="No",0,IF(V320-V321-V322&lt;0,0,SUM(V320,-V321,-V322)))</f>
        <v>0</v>
      </c>
      <c r="W323" s="2080"/>
      <c r="X323" s="2113">
        <f>IF(AB326="No",0,IF(X320-X321-X322&lt;0,0,SUM(X320,-X321,-X322)))</f>
        <v>0</v>
      </c>
      <c r="Y323" s="2114"/>
      <c r="Z323" s="2113">
        <f>IF(AB326="No",0,IF(Z320-Z321-Z322&lt;0,0,SUM(Z320,-Z321,-Z322)))</f>
        <v>0</v>
      </c>
      <c r="AA323" s="2114"/>
      <c r="AB323" s="2079">
        <f>IF(AB326="No",0,IF(AB320-AB321-AB322&lt;0,0,SUM(AB320,-AB321,-AB322)))</f>
        <v>0</v>
      </c>
      <c r="AC323" s="2080"/>
    </row>
    <row r="324" spans="1:29" ht="15.45">
      <c r="A324" s="1177" t="s">
        <v>929</v>
      </c>
      <c r="B324" s="273"/>
      <c r="C324" s="273"/>
      <c r="D324" s="273"/>
      <c r="E324" s="1176"/>
      <c r="F324" s="1166"/>
      <c r="G324" s="1167"/>
      <c r="H324" s="1167"/>
      <c r="I324" s="1167"/>
      <c r="J324" s="1167"/>
      <c r="K324" s="1168"/>
      <c r="L324" s="2131">
        <f>IF(P326="No",0,IF((L320-L321-L322)&lt;0,(L320-L321-L322)*-1,0))</f>
        <v>0</v>
      </c>
      <c r="M324" s="2131"/>
      <c r="N324" s="2131">
        <f>IF(R326="No",0,IF((N320-N321-N322)&lt;0,(N320-N321-N322)*-1,0))</f>
        <v>0</v>
      </c>
      <c r="O324" s="2131"/>
      <c r="P324" s="2131">
        <f>IF(T326="No",0,IF((P320-P321-P322)&lt;0,(P320-P321-P322)*-1,0))</f>
        <v>0</v>
      </c>
      <c r="Q324" s="2132"/>
      <c r="R324" s="2078">
        <f>IF(V326="No",0,IF((R320-R321-R322)&lt;0,(R320-R321-R322)*-1,0))</f>
        <v>0</v>
      </c>
      <c r="S324" s="2131"/>
      <c r="T324" s="2131">
        <f>IF(V326="No",0,IF((T320-T321-T322)&lt;0,(T320-T321-T322)*-1,0))</f>
        <v>0</v>
      </c>
      <c r="U324" s="2131"/>
      <c r="V324" s="2131">
        <f>IF(V326="No",0,IF((V320-V321-V322)&lt;0,(V320-V321-V322)*-1,0))</f>
        <v>0</v>
      </c>
      <c r="W324" s="2132"/>
      <c r="X324" s="2134">
        <f>IF(AB326="No",0,IF((X320-X321-X322)&lt;0,(X320-X321-X322)*-1,0))</f>
        <v>0</v>
      </c>
      <c r="Y324" s="2131"/>
      <c r="Z324" s="2131">
        <f>IF(AB326="No",0,IF((Z320-Z321-Z322)&lt;0,(Z320-Z321-Z322)*-1,0))</f>
        <v>0</v>
      </c>
      <c r="AA324" s="2131"/>
      <c r="AB324" s="2131">
        <f>IF(AB326="No",0,IF((AB320-AB321-AB322)&lt;0,(AB320-AB321-AB322)*-1,0))</f>
        <v>0</v>
      </c>
      <c r="AC324" s="2132"/>
    </row>
    <row r="325" spans="1:29" ht="16.100000000000001" thickBot="1">
      <c r="A325" s="505" t="s">
        <v>991</v>
      </c>
      <c r="B325" s="506"/>
      <c r="C325" s="506"/>
      <c r="D325" s="506"/>
      <c r="E325" s="291"/>
      <c r="F325" s="2073">
        <v>0</v>
      </c>
      <c r="G325" s="2074"/>
      <c r="H325" s="2075">
        <v>0</v>
      </c>
      <c r="I325" s="2074"/>
      <c r="J325" s="2101">
        <v>0</v>
      </c>
      <c r="K325" s="2102"/>
      <c r="L325" s="292"/>
      <c r="M325" s="293"/>
      <c r="N325" s="292"/>
      <c r="O325" s="293"/>
      <c r="P325" s="294"/>
      <c r="Q325" s="295"/>
      <c r="R325" s="296"/>
      <c r="S325" s="293"/>
      <c r="T325" s="292"/>
      <c r="U325" s="293"/>
      <c r="V325" s="292"/>
      <c r="W325" s="297"/>
      <c r="X325" s="296"/>
      <c r="Y325" s="293"/>
      <c r="Z325" s="292"/>
      <c r="AA325" s="293"/>
      <c r="AB325" s="292"/>
      <c r="AC325" s="297"/>
    </row>
    <row r="326" spans="1:29" ht="16.100000000000001" thickBot="1">
      <c r="A326" s="290" t="s">
        <v>992</v>
      </c>
      <c r="B326" s="21"/>
      <c r="C326" s="21"/>
      <c r="D326" s="21"/>
      <c r="F326" s="2096">
        <v>0</v>
      </c>
      <c r="G326" s="2097"/>
      <c r="H326" s="2098">
        <v>0</v>
      </c>
      <c r="I326" s="2097"/>
      <c r="J326" s="2103">
        <v>0</v>
      </c>
      <c r="K326" s="2104"/>
      <c r="L326" s="2093" t="s">
        <v>417</v>
      </c>
      <c r="M326" s="2094"/>
      <c r="N326" s="2094"/>
      <c r="O326" s="2095"/>
      <c r="P326" s="2106" t="str">
        <f>P308</f>
        <v>Yes</v>
      </c>
      <c r="Q326" s="2107"/>
      <c r="R326" s="2093" t="s">
        <v>417</v>
      </c>
      <c r="S326" s="2094"/>
      <c r="T326" s="2094"/>
      <c r="U326" s="2095"/>
      <c r="V326" s="2106" t="str">
        <f>V308</f>
        <v>No</v>
      </c>
      <c r="W326" s="2107"/>
      <c r="X326" s="2093" t="s">
        <v>417</v>
      </c>
      <c r="Y326" s="2094"/>
      <c r="Z326" s="2094"/>
      <c r="AA326" s="2095"/>
      <c r="AB326" s="2106" t="str">
        <f>AB308</f>
        <v>No</v>
      </c>
      <c r="AC326" s="2107"/>
    </row>
    <row r="327" spans="1:29" ht="13.75" thickBot="1">
      <c r="L327" s="2093" t="s">
        <v>419</v>
      </c>
      <c r="M327" s="2094"/>
      <c r="N327" s="2094"/>
      <c r="O327" s="2094"/>
      <c r="P327" s="2094"/>
      <c r="Q327" s="2095"/>
      <c r="R327" s="2106" t="str">
        <f>R309</f>
        <v>No</v>
      </c>
      <c r="S327" s="2107"/>
      <c r="T327" s="2093" t="s">
        <v>420</v>
      </c>
      <c r="U327" s="2095"/>
      <c r="V327" s="2121">
        <v>0</v>
      </c>
      <c r="W327" s="2122"/>
    </row>
    <row r="328" spans="1:29" ht="13.5" thickBot="1">
      <c r="L328" s="2093" t="s">
        <v>421</v>
      </c>
      <c r="M328" s="2094"/>
      <c r="N328" s="2094"/>
      <c r="O328" s="2094"/>
      <c r="P328" s="2094"/>
      <c r="Q328" s="2095"/>
      <c r="R328" s="2119">
        <v>0</v>
      </c>
      <c r="S328" s="2120"/>
      <c r="T328" s="2123" t="s">
        <v>422</v>
      </c>
      <c r="U328" s="2124"/>
      <c r="V328" s="2125">
        <v>0</v>
      </c>
      <c r="W328" s="2126"/>
    </row>
    <row r="329" spans="1:29" ht="13.75" thickBot="1">
      <c r="L329" s="2093" t="s">
        <v>921</v>
      </c>
      <c r="M329" s="2094"/>
      <c r="N329" s="2094"/>
      <c r="O329" s="2094"/>
      <c r="P329" s="2094"/>
      <c r="Q329" s="2095"/>
      <c r="R329" s="2106" t="str">
        <f>R311</f>
        <v>No</v>
      </c>
      <c r="S329" s="2107"/>
      <c r="T329" s="2093" t="s">
        <v>420</v>
      </c>
      <c r="U329" s="2095"/>
      <c r="V329" s="2121">
        <v>0</v>
      </c>
      <c r="W329" s="2122"/>
    </row>
    <row r="330" spans="1:29" ht="13.5" thickBot="1">
      <c r="L330" s="2093" t="s">
        <v>421</v>
      </c>
      <c r="M330" s="2094"/>
      <c r="N330" s="2094"/>
      <c r="O330" s="2094"/>
      <c r="P330" s="2094"/>
      <c r="Q330" s="2095"/>
      <c r="R330" s="2119">
        <v>0</v>
      </c>
      <c r="S330" s="2120"/>
      <c r="T330" s="2123" t="s">
        <v>422</v>
      </c>
      <c r="U330" s="2124"/>
      <c r="V330" s="2125">
        <v>0</v>
      </c>
      <c r="W330" s="2126"/>
    </row>
    <row r="331" spans="1:29" ht="13.1">
      <c r="A331" s="1644" t="s">
        <v>221</v>
      </c>
      <c r="B331" s="1644"/>
      <c r="C331" s="2130">
        <f>'Cost Control'!M83</f>
        <v>18</v>
      </c>
      <c r="D331" s="2130"/>
      <c r="E331" s="2130"/>
      <c r="F331" s="2130"/>
      <c r="G331" s="2130"/>
      <c r="H331" s="2130"/>
      <c r="I331" s="2130"/>
      <c r="L331" t="str">
        <f>IF(SUM(L323:Q323)=0," ","LTR SUMMARY:")</f>
        <v xml:space="preserve"> </v>
      </c>
      <c r="O331" s="1422">
        <f>SUM(L323:Q323)</f>
        <v>0</v>
      </c>
      <c r="P331" t="str">
        <f>IF(O331=0," ","m³")</f>
        <v xml:space="preserve"> </v>
      </c>
      <c r="R331" t="str">
        <f>IF(SUM(R323:W323)=0," ","LTR SUMMARY:")</f>
        <v xml:space="preserve"> </v>
      </c>
      <c r="U331" s="1422">
        <f>SUM(R323:W323)</f>
        <v>0</v>
      </c>
      <c r="V331" t="str">
        <f>IF(U331=0," ","m³")</f>
        <v xml:space="preserve"> </v>
      </c>
      <c r="X331" t="str">
        <f>IF(SUM(X323:AC323)=0," ","LTR SUMMARY:")</f>
        <v xml:space="preserve"> </v>
      </c>
      <c r="AA331" s="1422">
        <f>SUM(X323:AC323)</f>
        <v>0</v>
      </c>
      <c r="AB331" t="str">
        <f>IF(AA331=0," ","m³")</f>
        <v xml:space="preserve"> </v>
      </c>
    </row>
    <row r="332" spans="1:29" ht="13.5" thickBot="1"/>
    <row r="333" spans="1:29" ht="14.8" thickTop="1">
      <c r="A333" s="274" t="s">
        <v>190</v>
      </c>
      <c r="B333" s="275"/>
      <c r="C333" s="275"/>
      <c r="D333" s="275"/>
      <c r="E333" s="276"/>
      <c r="F333" s="277"/>
      <c r="G333" s="278"/>
      <c r="H333" s="271" t="s">
        <v>191</v>
      </c>
      <c r="I333" s="279"/>
      <c r="J333" s="279"/>
      <c r="K333" s="280"/>
      <c r="L333" s="279" t="str">
        <f>L315</f>
        <v xml:space="preserve">    Cum. to Date </v>
      </c>
      <c r="M333" s="281"/>
      <c r="N333" s="279"/>
      <c r="O333" s="334">
        <f>O315</f>
        <v>0</v>
      </c>
      <c r="P333" s="271"/>
      <c r="Q333" s="282"/>
      <c r="R333" s="283" t="str">
        <f>R315</f>
        <v xml:space="preserve">Cum. to Date </v>
      </c>
      <c r="S333" s="281"/>
      <c r="T333" s="279"/>
      <c r="U333" s="334">
        <f>U315</f>
        <v>0</v>
      </c>
      <c r="V333" s="284"/>
      <c r="W333" s="272"/>
      <c r="X333" s="283" t="str">
        <f>X315</f>
        <v xml:space="preserve">Cum. to Date </v>
      </c>
      <c r="Y333" s="281"/>
      <c r="Z333" s="279"/>
      <c r="AA333" s="334">
        <f>AA315</f>
        <v>0</v>
      </c>
      <c r="AB333" s="284"/>
      <c r="AC333" s="272"/>
    </row>
    <row r="334" spans="1:29" ht="14.8" thickBot="1">
      <c r="A334" s="285" t="s">
        <v>192</v>
      </c>
      <c r="B334" s="286"/>
      <c r="C334" s="286"/>
      <c r="D334" s="286"/>
      <c r="E334" s="287"/>
      <c r="F334" s="2067" t="s">
        <v>193</v>
      </c>
      <c r="G334" s="2068"/>
      <c r="H334" s="2069" t="s">
        <v>194</v>
      </c>
      <c r="I334" s="2070"/>
      <c r="J334" s="2069" t="str">
        <f>J316</f>
        <v>Other (1)</v>
      </c>
      <c r="K334" s="2091"/>
      <c r="L334" s="2092" t="s">
        <v>195</v>
      </c>
      <c r="M334" s="2070"/>
      <c r="N334" s="2069" t="s">
        <v>196</v>
      </c>
      <c r="O334" s="2070"/>
      <c r="P334" s="2069" t="str">
        <f>IF(P344="Yes",J334," ")</f>
        <v>Other (1)</v>
      </c>
      <c r="Q334" s="2091"/>
      <c r="R334" s="2092" t="str">
        <f>R316</f>
        <v>Water</v>
      </c>
      <c r="S334" s="2070"/>
      <c r="T334" s="2069" t="str">
        <f>T316</f>
        <v>Oil</v>
      </c>
      <c r="U334" s="2070"/>
      <c r="V334" s="2082" t="str">
        <f>IF(V344="Yes",J334," ")</f>
        <v xml:space="preserve"> </v>
      </c>
      <c r="W334" s="2083"/>
      <c r="X334" s="2092" t="str">
        <f>X316</f>
        <v>Water</v>
      </c>
      <c r="Y334" s="2070"/>
      <c r="Z334" s="2069" t="str">
        <f>Z316</f>
        <v>Oil</v>
      </c>
      <c r="AA334" s="2070"/>
      <c r="AB334" s="2082" t="str">
        <f>IF(AB344="Yes",J334," ")</f>
        <v xml:space="preserve"> </v>
      </c>
      <c r="AC334" s="2083"/>
    </row>
    <row r="335" spans="1:29" ht="16.100000000000001" thickTop="1">
      <c r="A335" s="288" t="s">
        <v>197</v>
      </c>
      <c r="B335" s="289"/>
      <c r="C335" s="289"/>
      <c r="D335" s="289"/>
      <c r="E335" s="289"/>
      <c r="F335" s="259"/>
      <c r="G335" s="260"/>
      <c r="H335" s="261"/>
      <c r="I335" s="260"/>
      <c r="J335" s="261"/>
      <c r="K335" s="262"/>
      <c r="L335" s="2084">
        <f>L317</f>
        <v>0</v>
      </c>
      <c r="M335" s="2084"/>
      <c r="N335" s="2085">
        <f>N317</f>
        <v>0</v>
      </c>
      <c r="O335" s="2086"/>
      <c r="P335" s="2085">
        <f>P317</f>
        <v>0</v>
      </c>
      <c r="Q335" s="2087"/>
      <c r="R335" s="2115">
        <f>R317</f>
        <v>0</v>
      </c>
      <c r="S335" s="2116"/>
      <c r="T335" s="2117">
        <f>T317</f>
        <v>0</v>
      </c>
      <c r="U335" s="2116"/>
      <c r="V335" s="2117">
        <f>V317</f>
        <v>0</v>
      </c>
      <c r="W335" s="2118"/>
      <c r="X335" s="2115">
        <f>X317</f>
        <v>0</v>
      </c>
      <c r="Y335" s="2116"/>
      <c r="Z335" s="2117">
        <f>Z317</f>
        <v>0</v>
      </c>
      <c r="AA335" s="2116"/>
      <c r="AB335" s="2117">
        <f>AB317</f>
        <v>0</v>
      </c>
      <c r="AC335" s="2118"/>
    </row>
    <row r="336" spans="1:29" ht="15.45">
      <c r="A336" s="288" t="s">
        <v>198</v>
      </c>
      <c r="B336" s="273"/>
      <c r="C336" s="273"/>
      <c r="D336" s="273"/>
      <c r="E336" s="273"/>
      <c r="F336" s="2073">
        <v>0</v>
      </c>
      <c r="G336" s="2074"/>
      <c r="H336" s="2075">
        <v>0</v>
      </c>
      <c r="I336" s="2074"/>
      <c r="J336" s="2075">
        <v>0</v>
      </c>
      <c r="K336" s="2076"/>
      <c r="L336" s="2077">
        <f>IF(P344="No",L318,F336+L318)</f>
        <v>0</v>
      </c>
      <c r="M336" s="2078"/>
      <c r="N336" s="2079">
        <f>IF(P344="No",N318,H336+N318)</f>
        <v>0</v>
      </c>
      <c r="O336" s="2078"/>
      <c r="P336" s="2079">
        <f>IF(P344="No",P318,J336+P318)</f>
        <v>0</v>
      </c>
      <c r="Q336" s="2080"/>
      <c r="R336" s="2081">
        <f>IF(V344="Yes",F336+R318,IF(R346="Water",IF(R345="Yes",V345,0),R318))</f>
        <v>0</v>
      </c>
      <c r="S336" s="2071"/>
      <c r="T336" s="2071">
        <f>IF(V344="Yes",H336+T318,IF(T346="Oil",IF(R345="Yes",V345,0),T318))</f>
        <v>0</v>
      </c>
      <c r="U336" s="2071"/>
      <c r="V336" s="2071">
        <f>IF(V344="Yes",J336+V318,IF(V346=V334,IF(R345="Yes",V345,0),V318))</f>
        <v>0</v>
      </c>
      <c r="W336" s="2072"/>
      <c r="X336" s="2081">
        <f>IF(AB344="Yes",F336+X318,IF(X346="Water",IF(X345="Yes",AB345,0),X318))</f>
        <v>0</v>
      </c>
      <c r="Y336" s="2071"/>
      <c r="Z336" s="2071">
        <f>IF(AB344="Yes",H336+Z318,IF(Z346=Z334,IF(X345="Yes",AB345,0),Z318))</f>
        <v>0</v>
      </c>
      <c r="AA336" s="2071"/>
      <c r="AB336" s="2071">
        <f>IF(AB344="Yes",J336+AB318,IF(AB346=AB334,IF(X345="Yes",AB345,0),AB318))</f>
        <v>0</v>
      </c>
      <c r="AC336" s="2072"/>
    </row>
    <row r="337" spans="1:29" ht="15.45">
      <c r="A337" s="288" t="s">
        <v>199</v>
      </c>
      <c r="B337" s="273"/>
      <c r="C337" s="273"/>
      <c r="D337" s="273"/>
      <c r="E337" s="273"/>
      <c r="F337" s="2073">
        <v>0</v>
      </c>
      <c r="G337" s="2074"/>
      <c r="H337" s="2075">
        <v>0</v>
      </c>
      <c r="I337" s="2074"/>
      <c r="J337" s="2075">
        <v>0</v>
      </c>
      <c r="K337" s="2076"/>
      <c r="L337" s="2077">
        <f>IF(P344="No",L319,F337+L319)</f>
        <v>0</v>
      </c>
      <c r="M337" s="2078"/>
      <c r="N337" s="2079">
        <f>IF(P344="No",N319,H337+N319)</f>
        <v>0</v>
      </c>
      <c r="O337" s="2078"/>
      <c r="P337" s="2079">
        <f>IF(P344="No",P319,J337+P319)</f>
        <v>0</v>
      </c>
      <c r="Q337" s="2080"/>
      <c r="R337" s="2081">
        <f>IF(V344="Yes",R319+F337,R319)</f>
        <v>0</v>
      </c>
      <c r="S337" s="2071"/>
      <c r="T337" s="2071">
        <f>IF(V344="Yes",T319+H337,T319)</f>
        <v>0</v>
      </c>
      <c r="U337" s="2071"/>
      <c r="V337" s="2071">
        <f>IF(V344="Yes",V319+J337,V319)</f>
        <v>0</v>
      </c>
      <c r="W337" s="2072"/>
      <c r="X337" s="2081">
        <f>IF(AB344="Yes",X319+F337,X319)</f>
        <v>0</v>
      </c>
      <c r="Y337" s="2071"/>
      <c r="Z337" s="2071">
        <f>IF(AB344="Yes",Z319+H337,Z319)</f>
        <v>0</v>
      </c>
      <c r="AA337" s="2071"/>
      <c r="AB337" s="2071">
        <f>IF(AB344="Yes",AB319+J337,AB319)</f>
        <v>0</v>
      </c>
      <c r="AC337" s="2072"/>
    </row>
    <row r="338" spans="1:29" ht="15.45">
      <c r="A338" s="288" t="s">
        <v>200</v>
      </c>
      <c r="B338" s="273"/>
      <c r="C338" s="273"/>
      <c r="D338" s="273"/>
      <c r="E338" s="273"/>
      <c r="F338" s="259"/>
      <c r="G338" s="260"/>
      <c r="H338" s="261"/>
      <c r="I338" s="263"/>
      <c r="J338" s="264"/>
      <c r="K338" s="265"/>
      <c r="L338" s="2077">
        <f>L335+L336-L337</f>
        <v>0</v>
      </c>
      <c r="M338" s="2078"/>
      <c r="N338" s="2079">
        <f>SUM(N335,N336,-N337)</f>
        <v>0</v>
      </c>
      <c r="O338" s="2078"/>
      <c r="P338" s="2079">
        <f>SUM(P335,P336,-P337)</f>
        <v>0</v>
      </c>
      <c r="Q338" s="2080"/>
      <c r="R338" s="2081">
        <f>SUM(R335,R336,-R337)</f>
        <v>0</v>
      </c>
      <c r="S338" s="2071"/>
      <c r="T338" s="2071">
        <f>SUM(T335,T336,-T337)</f>
        <v>0</v>
      </c>
      <c r="U338" s="2071"/>
      <c r="V338" s="2071">
        <f>SUM(V335,V336,-V337)</f>
        <v>0</v>
      </c>
      <c r="W338" s="2072"/>
      <c r="X338" s="2081">
        <f>SUM(X335,X336,-X337)</f>
        <v>0</v>
      </c>
      <c r="Y338" s="2071"/>
      <c r="Z338" s="2071">
        <f>SUM(Z335,Z336,-Z337)</f>
        <v>0</v>
      </c>
      <c r="AA338" s="2071"/>
      <c r="AB338" s="2071">
        <f>SUM(AB335,AB336,-AB337)</f>
        <v>0</v>
      </c>
      <c r="AC338" s="2072"/>
    </row>
    <row r="339" spans="1:29" ht="15.45">
      <c r="A339" s="288" t="s">
        <v>201</v>
      </c>
      <c r="B339" s="273"/>
      <c r="C339" s="273"/>
      <c r="D339" s="273"/>
      <c r="E339" s="273"/>
      <c r="F339" s="259"/>
      <c r="G339" s="260"/>
      <c r="H339" s="261"/>
      <c r="I339" s="263"/>
      <c r="J339" s="264"/>
      <c r="K339" s="265"/>
      <c r="L339" s="2073">
        <f>L321</f>
        <v>0</v>
      </c>
      <c r="M339" s="2074"/>
      <c r="N339" s="2075">
        <f>N321</f>
        <v>0</v>
      </c>
      <c r="O339" s="2074"/>
      <c r="P339" s="2075">
        <f>P321</f>
        <v>0</v>
      </c>
      <c r="Q339" s="2076"/>
      <c r="R339" s="2081">
        <f>R321</f>
        <v>0</v>
      </c>
      <c r="S339" s="2071"/>
      <c r="T339" s="2071">
        <f>T321</f>
        <v>0</v>
      </c>
      <c r="U339" s="2071"/>
      <c r="V339" s="2128">
        <f>V321</f>
        <v>0</v>
      </c>
      <c r="W339" s="2129"/>
      <c r="X339" s="2081">
        <f>X321</f>
        <v>0</v>
      </c>
      <c r="Y339" s="2071"/>
      <c r="Z339" s="2071">
        <f>Z321</f>
        <v>0</v>
      </c>
      <c r="AA339" s="2071"/>
      <c r="AB339" s="2128">
        <f>AB321</f>
        <v>0</v>
      </c>
      <c r="AC339" s="2129"/>
    </row>
    <row r="340" spans="1:29" ht="15.45">
      <c r="A340" s="288" t="s">
        <v>202</v>
      </c>
      <c r="B340" s="273"/>
      <c r="C340" s="273"/>
      <c r="D340" s="273"/>
      <c r="E340" s="273"/>
      <c r="F340" s="259"/>
      <c r="G340" s="260"/>
      <c r="H340" s="261"/>
      <c r="I340" s="263"/>
      <c r="J340" s="264"/>
      <c r="K340" s="265"/>
      <c r="L340" s="2077">
        <f>IF(P344="No",L322,L322+F336-F337+F343-F344)</f>
        <v>0</v>
      </c>
      <c r="M340" s="2078"/>
      <c r="N340" s="2079">
        <f>IF(P344="No",N322,N322+H336-H337+H343-H344)</f>
        <v>0</v>
      </c>
      <c r="O340" s="2078"/>
      <c r="P340" s="2079">
        <f>IF(P344="No",P322,P322+J336-J337+J343-J344)</f>
        <v>0</v>
      </c>
      <c r="Q340" s="2080"/>
      <c r="R340" s="2071">
        <f>IF(V344="Yes",R322+F336-F337+F343-F344,IF(P345="Yes",IF(R346=R334,R336-R337-V346,0),R322))</f>
        <v>0</v>
      </c>
      <c r="S340" s="2071"/>
      <c r="T340" s="2071">
        <f>IF(V344="Yes",T322+H336-H337+H343-H344,IF(R345="Yes",IF(R346=T334,T336-T337-V346,0),T322))</f>
        <v>0</v>
      </c>
      <c r="U340" s="2071"/>
      <c r="V340" s="2071">
        <f>IF(V344="Yes",V322+J336-J337+J343-J344,IF(T345="Yes",IF(R346=V334,V336-V337-V346,0),V322))</f>
        <v>0</v>
      </c>
      <c r="W340" s="2072"/>
      <c r="X340" s="2071">
        <f>IF(AB344="Yes",X322+F336-F337+F343-F344,IF(V345="Yes",IF(X346=X334,X336-X337-AB346,0),X322))</f>
        <v>0</v>
      </c>
      <c r="Y340" s="2071"/>
      <c r="Z340" s="2071">
        <f>IF(AB344="Yes",Z322+H336-H337+H343-H344,IF(X345="Yes",IF(X346=Z334,Z336-Z337-AB346,0),Z322))</f>
        <v>0</v>
      </c>
      <c r="AA340" s="2071"/>
      <c r="AB340" s="2071">
        <f>IF(AB344="Yes",AB322+J336-J337+J343-J344,IF(Z345="Yes",IF(X346=AB334,AB336-AB337-AB346,0),AB322))</f>
        <v>0</v>
      </c>
      <c r="AC340" s="2072"/>
    </row>
    <row r="341" spans="1:29" ht="15.45">
      <c r="A341" s="288" t="s">
        <v>203</v>
      </c>
      <c r="B341" s="273"/>
      <c r="C341" s="273"/>
      <c r="D341" s="273"/>
      <c r="E341" s="273"/>
      <c r="F341" s="2110"/>
      <c r="G341" s="2111"/>
      <c r="H341" s="2111"/>
      <c r="I341" s="2111"/>
      <c r="J341" s="2111"/>
      <c r="K341" s="2112"/>
      <c r="L341" s="2113">
        <f>IF(P344="No",0,IF(L338-L339-L340&lt;0,0,SUM(L338,-L339,-L340)))</f>
        <v>0</v>
      </c>
      <c r="M341" s="2114"/>
      <c r="N341" s="2113">
        <f>IF(P344="No",0,IF(N338-N339-N340&lt;0,0,SUM(N338,-N339,-N340)))</f>
        <v>0</v>
      </c>
      <c r="O341" s="2114"/>
      <c r="P341" s="2079">
        <f>IF(P344="No",0,IF(P338-P339-P340&lt;0,0,SUM(P338,-P339,-P340)))</f>
        <v>0</v>
      </c>
      <c r="Q341" s="2080"/>
      <c r="R341" s="2127">
        <f>IF(V344="No",0,IF(R338-R339-R340&lt;0,0,SUM(R338,-R339,-R340)))</f>
        <v>0</v>
      </c>
      <c r="S341" s="2114"/>
      <c r="T341" s="2113">
        <f>IF(V344="No",0,IF(T338-T339-T340&lt;0,0,SUM(T338,-T339,-T340)))</f>
        <v>0</v>
      </c>
      <c r="U341" s="2114"/>
      <c r="V341" s="2079">
        <f>IF(V344="No",0,IF(V338-V339-V340&lt;0,0,SUM(V338,-V339,-V340)))</f>
        <v>0</v>
      </c>
      <c r="W341" s="2080"/>
      <c r="X341" s="2113">
        <f>IF(AB344="No",0,IF(X338-X339-X340&lt;0,0,SUM(X338,-X339,-X340)))</f>
        <v>0</v>
      </c>
      <c r="Y341" s="2114"/>
      <c r="Z341" s="2113">
        <f>IF(AB344="No",0,IF(Z338-Z339-Z340&lt;0,0,SUM(Z338,-Z339,-Z340)))</f>
        <v>0</v>
      </c>
      <c r="AA341" s="2114"/>
      <c r="AB341" s="2079">
        <f>IF(AB344="No",0,IF(AB338-AB339-AB340&lt;0,0,SUM(AB338,-AB339,-AB340)))</f>
        <v>0</v>
      </c>
      <c r="AC341" s="2080"/>
    </row>
    <row r="342" spans="1:29" ht="15.45">
      <c r="A342" s="1177" t="s">
        <v>929</v>
      </c>
      <c r="B342" s="273"/>
      <c r="C342" s="273"/>
      <c r="D342" s="273"/>
      <c r="E342" s="1176"/>
      <c r="F342" s="1166"/>
      <c r="G342" s="1167"/>
      <c r="H342" s="1167"/>
      <c r="I342" s="1167"/>
      <c r="J342" s="1167"/>
      <c r="K342" s="1168"/>
      <c r="L342" s="2131">
        <f>IF(P344="No",0,IF((L338-L339-L340)&lt;0,(L338-L339-L340)*-1,0))</f>
        <v>0</v>
      </c>
      <c r="M342" s="2131"/>
      <c r="N342" s="2131">
        <f>IF(R344="No",0,IF((N338-N339-N340)&lt;0,(N338-N339-N340)*-1,0))</f>
        <v>0</v>
      </c>
      <c r="O342" s="2131"/>
      <c r="P342" s="2131">
        <f>IF(T344="No",0,IF((P338-P339-P340)&lt;0,(P338-P339-P340)*-1,0))</f>
        <v>0</v>
      </c>
      <c r="Q342" s="2132"/>
      <c r="R342" s="2078">
        <f>IF(V344="No",0,IF((R338-R339-R340)&lt;0,(R338-R339-R340)*-1,0))</f>
        <v>0</v>
      </c>
      <c r="S342" s="2131"/>
      <c r="T342" s="2131">
        <f>IF(V344="No",0,IF((T338-T339-T340)&lt;0,(T338-T339-T340)*-1,0))</f>
        <v>0</v>
      </c>
      <c r="U342" s="2131"/>
      <c r="V342" s="2131">
        <f>IF(V344="No",0,IF((V338-V339-V340)&lt;0,(V338-V339-V340)*-1,0))</f>
        <v>0</v>
      </c>
      <c r="W342" s="2132"/>
      <c r="X342" s="2134">
        <f>IF(AB344="No",0,IF((X338-X339-X340)&lt;0,(X338-X339-X340)*-1,0))</f>
        <v>0</v>
      </c>
      <c r="Y342" s="2131"/>
      <c r="Z342" s="2131">
        <f>IF(AB344="No",0,IF((Z338-Z339-Z340)&lt;0,(Z338-Z339-Z340)*-1,0))</f>
        <v>0</v>
      </c>
      <c r="AA342" s="2131"/>
      <c r="AB342" s="2131">
        <f>IF(AB344="No",0,IF((AB338-AB339-AB340)&lt;0,(AB338-AB339-AB340)*-1,0))</f>
        <v>0</v>
      </c>
      <c r="AC342" s="2132"/>
    </row>
    <row r="343" spans="1:29" ht="16.100000000000001" thickBot="1">
      <c r="A343" s="505" t="s">
        <v>991</v>
      </c>
      <c r="B343" s="506"/>
      <c r="C343" s="506"/>
      <c r="D343" s="506"/>
      <c r="E343" s="291"/>
      <c r="F343" s="2073">
        <v>0</v>
      </c>
      <c r="G343" s="2074"/>
      <c r="H343" s="2075">
        <v>0</v>
      </c>
      <c r="I343" s="2074"/>
      <c r="J343" s="2101">
        <v>0</v>
      </c>
      <c r="K343" s="2102"/>
      <c r="L343" s="292"/>
      <c r="M343" s="293"/>
      <c r="N343" s="292"/>
      <c r="O343" s="293"/>
      <c r="P343" s="294"/>
      <c r="Q343" s="295"/>
      <c r="R343" s="296"/>
      <c r="S343" s="293"/>
      <c r="T343" s="292"/>
      <c r="U343" s="293"/>
      <c r="V343" s="292"/>
      <c r="W343" s="297"/>
      <c r="X343" s="296"/>
      <c r="Y343" s="293"/>
      <c r="Z343" s="292"/>
      <c r="AA343" s="293"/>
      <c r="AB343" s="292"/>
      <c r="AC343" s="297"/>
    </row>
    <row r="344" spans="1:29" ht="16.100000000000001" thickBot="1">
      <c r="A344" s="290" t="s">
        <v>992</v>
      </c>
      <c r="B344" s="21"/>
      <c r="C344" s="21"/>
      <c r="D344" s="21"/>
      <c r="F344" s="2096">
        <v>0</v>
      </c>
      <c r="G344" s="2097"/>
      <c r="H344" s="2098">
        <v>0</v>
      </c>
      <c r="I344" s="2097"/>
      <c r="J344" s="2103">
        <v>0</v>
      </c>
      <c r="K344" s="2104"/>
      <c r="L344" s="2093" t="s">
        <v>417</v>
      </c>
      <c r="M344" s="2094"/>
      <c r="N344" s="2094"/>
      <c r="O344" s="2095"/>
      <c r="P344" s="2106" t="str">
        <f>P326</f>
        <v>Yes</v>
      </c>
      <c r="Q344" s="2107"/>
      <c r="R344" s="2093" t="s">
        <v>417</v>
      </c>
      <c r="S344" s="2094"/>
      <c r="T344" s="2094"/>
      <c r="U344" s="2095"/>
      <c r="V344" s="2106" t="str">
        <f>V326</f>
        <v>No</v>
      </c>
      <c r="W344" s="2107"/>
      <c r="X344" s="2093" t="s">
        <v>417</v>
      </c>
      <c r="Y344" s="2094"/>
      <c r="Z344" s="2094"/>
      <c r="AA344" s="2095"/>
      <c r="AB344" s="2106" t="str">
        <f>AB326</f>
        <v>No</v>
      </c>
      <c r="AC344" s="2107"/>
    </row>
    <row r="345" spans="1:29" ht="13.75" thickBot="1">
      <c r="L345" s="2093" t="s">
        <v>419</v>
      </c>
      <c r="M345" s="2094"/>
      <c r="N345" s="2094"/>
      <c r="O345" s="2094"/>
      <c r="P345" s="2094"/>
      <c r="Q345" s="2095"/>
      <c r="R345" s="2106" t="str">
        <f>R327</f>
        <v>No</v>
      </c>
      <c r="S345" s="2107"/>
      <c r="T345" s="2093" t="s">
        <v>420</v>
      </c>
      <c r="U345" s="2095"/>
      <c r="V345" s="2121">
        <v>0</v>
      </c>
      <c r="W345" s="2122"/>
    </row>
    <row r="346" spans="1:29" ht="13.5" thickBot="1">
      <c r="L346" s="2093" t="s">
        <v>421</v>
      </c>
      <c r="M346" s="2094"/>
      <c r="N346" s="2094"/>
      <c r="O346" s="2094"/>
      <c r="P346" s="2094"/>
      <c r="Q346" s="2095"/>
      <c r="R346" s="2119">
        <v>0</v>
      </c>
      <c r="S346" s="2120"/>
      <c r="T346" s="2123" t="s">
        <v>422</v>
      </c>
      <c r="U346" s="2124"/>
      <c r="V346" s="2125">
        <v>0</v>
      </c>
      <c r="W346" s="2126"/>
    </row>
    <row r="347" spans="1:29" ht="13.75" thickBot="1">
      <c r="L347" s="2093" t="s">
        <v>921</v>
      </c>
      <c r="M347" s="2094"/>
      <c r="N347" s="2094"/>
      <c r="O347" s="2094"/>
      <c r="P347" s="2094"/>
      <c r="Q347" s="2095"/>
      <c r="R347" s="2106" t="str">
        <f>R329</f>
        <v>No</v>
      </c>
      <c r="S347" s="2107"/>
      <c r="T347" s="2093" t="s">
        <v>420</v>
      </c>
      <c r="U347" s="2095"/>
      <c r="V347" s="2121">
        <v>0</v>
      </c>
      <c r="W347" s="2122"/>
    </row>
    <row r="348" spans="1:29" ht="13.5" thickBot="1">
      <c r="L348" s="2093" t="s">
        <v>421</v>
      </c>
      <c r="M348" s="2094"/>
      <c r="N348" s="2094"/>
      <c r="O348" s="2094"/>
      <c r="P348" s="2094"/>
      <c r="Q348" s="2095"/>
      <c r="R348" s="2119">
        <v>0</v>
      </c>
      <c r="S348" s="2120"/>
      <c r="T348" s="2123" t="s">
        <v>422</v>
      </c>
      <c r="U348" s="2124"/>
      <c r="V348" s="2125">
        <v>0</v>
      </c>
      <c r="W348" s="2126"/>
    </row>
    <row r="349" spans="1:29" ht="13.1">
      <c r="A349" s="1644" t="s">
        <v>221</v>
      </c>
      <c r="B349" s="1644"/>
      <c r="C349" s="2130">
        <f>'Cost Control'!N83</f>
        <v>19</v>
      </c>
      <c r="D349" s="2130"/>
      <c r="E349" s="2130"/>
      <c r="F349" s="2130"/>
      <c r="G349" s="2130"/>
      <c r="H349" s="2130"/>
      <c r="I349" s="2130"/>
      <c r="L349" t="str">
        <f>IF(SUM(L341:Q341)=0," ","LTR SUMMARY:")</f>
        <v xml:space="preserve"> </v>
      </c>
      <c r="O349" s="1422">
        <f>SUM(L341:Q341)</f>
        <v>0</v>
      </c>
      <c r="P349" t="str">
        <f>IF(O349=0," ","m³")</f>
        <v xml:space="preserve"> </v>
      </c>
      <c r="R349" t="str">
        <f>IF(SUM(R341:W341)=0," ","LTR SUMMARY:")</f>
        <v xml:space="preserve"> </v>
      </c>
      <c r="U349" s="1422">
        <f>SUM(R341:W341)</f>
        <v>0</v>
      </c>
      <c r="V349" t="str">
        <f>IF(U349=0," ","m³")</f>
        <v xml:space="preserve"> </v>
      </c>
      <c r="X349" t="str">
        <f>IF(SUM(X341:AC341)=0," ","LTR SUMMARY:")</f>
        <v xml:space="preserve"> </v>
      </c>
      <c r="AA349" s="1422">
        <f>SUM(X341:AC341)</f>
        <v>0</v>
      </c>
      <c r="AB349" t="str">
        <f>IF(AA349=0," ","m³")</f>
        <v xml:space="preserve"> </v>
      </c>
    </row>
    <row r="350" spans="1:29" ht="13.5" thickBot="1"/>
    <row r="351" spans="1:29" ht="14.8" thickTop="1">
      <c r="A351" s="274" t="s">
        <v>190</v>
      </c>
      <c r="B351" s="275"/>
      <c r="C351" s="275"/>
      <c r="D351" s="275"/>
      <c r="E351" s="276"/>
      <c r="F351" s="277"/>
      <c r="G351" s="278"/>
      <c r="H351" s="271" t="s">
        <v>191</v>
      </c>
      <c r="I351" s="279"/>
      <c r="J351" s="279"/>
      <c r="K351" s="280"/>
      <c r="L351" s="279" t="str">
        <f>L333</f>
        <v xml:space="preserve">    Cum. to Date </v>
      </c>
      <c r="M351" s="281"/>
      <c r="N351" s="279"/>
      <c r="O351" s="334">
        <f>O333</f>
        <v>0</v>
      </c>
      <c r="P351" s="271"/>
      <c r="Q351" s="282"/>
      <c r="R351" s="283" t="str">
        <f>R333</f>
        <v xml:space="preserve">Cum. to Date </v>
      </c>
      <c r="S351" s="281"/>
      <c r="T351" s="279"/>
      <c r="U351" s="334">
        <f>U333</f>
        <v>0</v>
      </c>
      <c r="V351" s="284"/>
      <c r="W351" s="272"/>
      <c r="X351" s="283" t="str">
        <f>X333</f>
        <v xml:space="preserve">Cum. to Date </v>
      </c>
      <c r="Y351" s="281"/>
      <c r="Z351" s="279"/>
      <c r="AA351" s="334">
        <f>AA333</f>
        <v>0</v>
      </c>
      <c r="AB351" s="284"/>
      <c r="AC351" s="272"/>
    </row>
    <row r="352" spans="1:29" ht="14.8" thickBot="1">
      <c r="A352" s="285" t="s">
        <v>192</v>
      </c>
      <c r="B352" s="286"/>
      <c r="C352" s="286"/>
      <c r="D352" s="286"/>
      <c r="E352" s="287"/>
      <c r="F352" s="2067" t="s">
        <v>193</v>
      </c>
      <c r="G352" s="2068"/>
      <c r="H352" s="2069" t="s">
        <v>194</v>
      </c>
      <c r="I352" s="2070"/>
      <c r="J352" s="2069" t="str">
        <f>J334</f>
        <v>Other (1)</v>
      </c>
      <c r="K352" s="2091"/>
      <c r="L352" s="2092" t="s">
        <v>195</v>
      </c>
      <c r="M352" s="2070"/>
      <c r="N352" s="2069" t="s">
        <v>196</v>
      </c>
      <c r="O352" s="2070"/>
      <c r="P352" s="2069" t="str">
        <f>IF(P362="Yes",J352," ")</f>
        <v>Other (1)</v>
      </c>
      <c r="Q352" s="2091"/>
      <c r="R352" s="2092" t="str">
        <f>R334</f>
        <v>Water</v>
      </c>
      <c r="S352" s="2070"/>
      <c r="T352" s="2069" t="str">
        <f>T334</f>
        <v>Oil</v>
      </c>
      <c r="U352" s="2070"/>
      <c r="V352" s="2082" t="str">
        <f>IF(V362="Yes",J352," ")</f>
        <v xml:space="preserve"> </v>
      </c>
      <c r="W352" s="2083"/>
      <c r="X352" s="2092" t="str">
        <f>X334</f>
        <v>Water</v>
      </c>
      <c r="Y352" s="2070"/>
      <c r="Z352" s="2069" t="str">
        <f>Z334</f>
        <v>Oil</v>
      </c>
      <c r="AA352" s="2070"/>
      <c r="AB352" s="2082" t="str">
        <f>IF(AB362="Yes",J352," ")</f>
        <v xml:space="preserve"> </v>
      </c>
      <c r="AC352" s="2083"/>
    </row>
    <row r="353" spans="1:29" ht="16.100000000000001" thickTop="1">
      <c r="A353" s="288" t="s">
        <v>197</v>
      </c>
      <c r="B353" s="289"/>
      <c r="C353" s="289"/>
      <c r="D353" s="289"/>
      <c r="E353" s="289"/>
      <c r="F353" s="259"/>
      <c r="G353" s="260"/>
      <c r="H353" s="261"/>
      <c r="I353" s="260"/>
      <c r="J353" s="261"/>
      <c r="K353" s="262"/>
      <c r="L353" s="2084">
        <f>L335</f>
        <v>0</v>
      </c>
      <c r="M353" s="2084"/>
      <c r="N353" s="2085">
        <f>N335</f>
        <v>0</v>
      </c>
      <c r="O353" s="2086"/>
      <c r="P353" s="2085">
        <f>P335</f>
        <v>0</v>
      </c>
      <c r="Q353" s="2087"/>
      <c r="R353" s="2115">
        <f>R335</f>
        <v>0</v>
      </c>
      <c r="S353" s="2116"/>
      <c r="T353" s="2117">
        <f>T335</f>
        <v>0</v>
      </c>
      <c r="U353" s="2116"/>
      <c r="V353" s="2117">
        <f>V335</f>
        <v>0</v>
      </c>
      <c r="W353" s="2118"/>
      <c r="X353" s="2115">
        <f>X335</f>
        <v>0</v>
      </c>
      <c r="Y353" s="2116"/>
      <c r="Z353" s="2117">
        <f>Z335</f>
        <v>0</v>
      </c>
      <c r="AA353" s="2116"/>
      <c r="AB353" s="2117">
        <f>AB335</f>
        <v>0</v>
      </c>
      <c r="AC353" s="2118"/>
    </row>
    <row r="354" spans="1:29" ht="15.45">
      <c r="A354" s="288" t="s">
        <v>198</v>
      </c>
      <c r="B354" s="273"/>
      <c r="C354" s="273"/>
      <c r="D354" s="273"/>
      <c r="E354" s="273"/>
      <c r="F354" s="2073">
        <v>0</v>
      </c>
      <c r="G354" s="2074"/>
      <c r="H354" s="2075">
        <v>0</v>
      </c>
      <c r="I354" s="2074"/>
      <c r="J354" s="2075">
        <v>0</v>
      </c>
      <c r="K354" s="2076"/>
      <c r="L354" s="2077">
        <f>IF(P362="No",L336,F354+L336)</f>
        <v>0</v>
      </c>
      <c r="M354" s="2078"/>
      <c r="N354" s="2079">
        <f>IF(P362="No",N336,H354+N336)</f>
        <v>0</v>
      </c>
      <c r="O354" s="2078"/>
      <c r="P354" s="2079">
        <f>IF(P362="No",P336,J354+P336)</f>
        <v>0</v>
      </c>
      <c r="Q354" s="2080"/>
      <c r="R354" s="2081">
        <f>IF(V362="Yes",F354+R336,IF(R364="Water",IF(R363="Yes",V363,0),R336))</f>
        <v>0</v>
      </c>
      <c r="S354" s="2071"/>
      <c r="T354" s="2071">
        <f>IF(V362="Yes",H354+T336,IF(T364="Oil",IF(R363="Yes",V363,0),T336))</f>
        <v>0</v>
      </c>
      <c r="U354" s="2071"/>
      <c r="V354" s="2071">
        <f>IF(V362="Yes",J354+V336,IF(V364=V352,IF(R363="Yes",V363,0),V336))</f>
        <v>0</v>
      </c>
      <c r="W354" s="2072"/>
      <c r="X354" s="2081">
        <f>IF(AB362="Yes",F354+X336,IF(X364="Water",IF(X363="Yes",AB363,0),X336))</f>
        <v>0</v>
      </c>
      <c r="Y354" s="2071"/>
      <c r="Z354" s="2071">
        <f>IF(AB362="Yes",H354+Z336,IF(Z364=Z352,IF(X363="Yes",AB363,0),Z336))</f>
        <v>0</v>
      </c>
      <c r="AA354" s="2071"/>
      <c r="AB354" s="2071">
        <f>IF(AB362="Yes",J354+AB336,IF(AB364=AB352,IF(X363="Yes",AB363,0),AB336))</f>
        <v>0</v>
      </c>
      <c r="AC354" s="2072"/>
    </row>
    <row r="355" spans="1:29" ht="15.45">
      <c r="A355" s="288" t="s">
        <v>199</v>
      </c>
      <c r="B355" s="273"/>
      <c r="C355" s="273"/>
      <c r="D355" s="273"/>
      <c r="E355" s="273"/>
      <c r="F355" s="2073">
        <v>0</v>
      </c>
      <c r="G355" s="2074"/>
      <c r="H355" s="2075">
        <v>0</v>
      </c>
      <c r="I355" s="2074"/>
      <c r="J355" s="2075">
        <v>0</v>
      </c>
      <c r="K355" s="2076"/>
      <c r="L355" s="2077">
        <f>IF(P362="No",L337,F355+L337)</f>
        <v>0</v>
      </c>
      <c r="M355" s="2078"/>
      <c r="N355" s="2079">
        <f>IF(P362="No",N337,H355+N337)</f>
        <v>0</v>
      </c>
      <c r="O355" s="2078"/>
      <c r="P355" s="2079">
        <f>IF(P362="No",P337,J355+P337)</f>
        <v>0</v>
      </c>
      <c r="Q355" s="2080"/>
      <c r="R355" s="2081">
        <f>IF(V362="Yes",R337+F355,R337)</f>
        <v>0</v>
      </c>
      <c r="S355" s="2071"/>
      <c r="T355" s="2071">
        <f>IF(V362="Yes",T337+H355,T337)</f>
        <v>0</v>
      </c>
      <c r="U355" s="2071"/>
      <c r="V355" s="2071">
        <f>IF(V362="Yes",V337+J355,V337)</f>
        <v>0</v>
      </c>
      <c r="W355" s="2072"/>
      <c r="X355" s="2081">
        <f>IF(AB362="Yes",X337+F355,X337)</f>
        <v>0</v>
      </c>
      <c r="Y355" s="2071"/>
      <c r="Z355" s="2071">
        <f>IF(AB362="Yes",Z337+H355,Z337)</f>
        <v>0</v>
      </c>
      <c r="AA355" s="2071"/>
      <c r="AB355" s="2071">
        <f>IF(AB362="Yes",AB337+J355,AB337)</f>
        <v>0</v>
      </c>
      <c r="AC355" s="2072"/>
    </row>
    <row r="356" spans="1:29" ht="15.45">
      <c r="A356" s="288" t="s">
        <v>200</v>
      </c>
      <c r="B356" s="273"/>
      <c r="C356" s="273"/>
      <c r="D356" s="273"/>
      <c r="E356" s="273"/>
      <c r="F356" s="259"/>
      <c r="G356" s="260"/>
      <c r="H356" s="261"/>
      <c r="I356" s="263"/>
      <c r="J356" s="264"/>
      <c r="K356" s="265"/>
      <c r="L356" s="2077">
        <f>L353+L354-L355</f>
        <v>0</v>
      </c>
      <c r="M356" s="2078"/>
      <c r="N356" s="2079">
        <f>SUM(N353,N354,-N355)</f>
        <v>0</v>
      </c>
      <c r="O356" s="2078"/>
      <c r="P356" s="2079">
        <f>SUM(P353,P354,-P355)</f>
        <v>0</v>
      </c>
      <c r="Q356" s="2080"/>
      <c r="R356" s="2081">
        <f>SUM(R353,R354,-R355)</f>
        <v>0</v>
      </c>
      <c r="S356" s="2071"/>
      <c r="T356" s="2071">
        <f>SUM(T353,T354,-T355)</f>
        <v>0</v>
      </c>
      <c r="U356" s="2071"/>
      <c r="V356" s="2071">
        <f>SUM(V353,V354,-V355)</f>
        <v>0</v>
      </c>
      <c r="W356" s="2072"/>
      <c r="X356" s="2081">
        <f>SUM(X353,X354,-X355)</f>
        <v>0</v>
      </c>
      <c r="Y356" s="2071"/>
      <c r="Z356" s="2071">
        <f>SUM(Z353,Z354,-Z355)</f>
        <v>0</v>
      </c>
      <c r="AA356" s="2071"/>
      <c r="AB356" s="2071">
        <f>SUM(AB353,AB354,-AB355)</f>
        <v>0</v>
      </c>
      <c r="AC356" s="2072"/>
    </row>
    <row r="357" spans="1:29" ht="15.45">
      <c r="A357" s="288" t="s">
        <v>201</v>
      </c>
      <c r="B357" s="273"/>
      <c r="C357" s="273"/>
      <c r="D357" s="273"/>
      <c r="E357" s="273"/>
      <c r="F357" s="259"/>
      <c r="G357" s="260"/>
      <c r="H357" s="261"/>
      <c r="I357" s="263"/>
      <c r="J357" s="264"/>
      <c r="K357" s="265"/>
      <c r="L357" s="2073">
        <f>L339</f>
        <v>0</v>
      </c>
      <c r="M357" s="2074"/>
      <c r="N357" s="2075">
        <f>N339</f>
        <v>0</v>
      </c>
      <c r="O357" s="2074"/>
      <c r="P357" s="2075">
        <f>P339</f>
        <v>0</v>
      </c>
      <c r="Q357" s="2076"/>
      <c r="R357" s="2081">
        <f>R339</f>
        <v>0</v>
      </c>
      <c r="S357" s="2071"/>
      <c r="T357" s="2071">
        <f>T339</f>
        <v>0</v>
      </c>
      <c r="U357" s="2071"/>
      <c r="V357" s="2128">
        <f>V339</f>
        <v>0</v>
      </c>
      <c r="W357" s="2129"/>
      <c r="X357" s="2081">
        <f>X339</f>
        <v>0</v>
      </c>
      <c r="Y357" s="2071"/>
      <c r="Z357" s="2071">
        <f>Z339</f>
        <v>0</v>
      </c>
      <c r="AA357" s="2071"/>
      <c r="AB357" s="2128">
        <f>AB339</f>
        <v>0</v>
      </c>
      <c r="AC357" s="2129"/>
    </row>
    <row r="358" spans="1:29" ht="15.45">
      <c r="A358" s="288" t="s">
        <v>202</v>
      </c>
      <c r="B358" s="273"/>
      <c r="C358" s="273"/>
      <c r="D358" s="273"/>
      <c r="E358" s="273"/>
      <c r="F358" s="259"/>
      <c r="G358" s="260"/>
      <c r="H358" s="261"/>
      <c r="I358" s="263"/>
      <c r="J358" s="264"/>
      <c r="K358" s="265"/>
      <c r="L358" s="2077">
        <f>IF(P362="No",L340,L340+F354-F355+F361-F362)</f>
        <v>0</v>
      </c>
      <c r="M358" s="2078"/>
      <c r="N358" s="2079">
        <f>IF(P362="No",N340,N340+H354-H355+H361-H362)</f>
        <v>0</v>
      </c>
      <c r="O358" s="2078"/>
      <c r="P358" s="2079">
        <f>IF(P362="No",P340,P340+J354-J355+J361-J362)</f>
        <v>0</v>
      </c>
      <c r="Q358" s="2080"/>
      <c r="R358" s="2071">
        <f>IF(V362="Yes",R340+F354-F355+F361-F362,IF(P363="Yes",IF(R364=R352,R354-R355-V364,0),R340))</f>
        <v>0</v>
      </c>
      <c r="S358" s="2071"/>
      <c r="T358" s="2071">
        <f>IF(V362="Yes",T340+H354-H355+H361-H362,IF(R363="Yes",IF(R364=T352,T354-T355-V364,0),T340))</f>
        <v>0</v>
      </c>
      <c r="U358" s="2071"/>
      <c r="V358" s="2071">
        <f>IF(V362="Yes",V340+J354-J355+J361-J362,IF(T363="Yes",IF(R364=V352,V354-V355-V364,0),V340))</f>
        <v>0</v>
      </c>
      <c r="W358" s="2072"/>
      <c r="X358" s="2071">
        <f>IF(AB362="Yes",X340+F354-F355+F361-F362,IF(V363="Yes",IF(X364=X352,X354-X355-AB364,0),X340))</f>
        <v>0</v>
      </c>
      <c r="Y358" s="2071"/>
      <c r="Z358" s="2071">
        <f>IF(AB362="Yes",Z340+H354-H355+H361-H362,IF(X363="Yes",IF(X364=Z352,Z354-Z355-AB364,0),Z340))</f>
        <v>0</v>
      </c>
      <c r="AA358" s="2071"/>
      <c r="AB358" s="2071">
        <f>IF(AB362="Yes",AB340+J354-J355+J361-J362,IF(Z363="Yes",IF(X364=AB352,AB354-AB355-AB364,0),AB340))</f>
        <v>0</v>
      </c>
      <c r="AC358" s="2072"/>
    </row>
    <row r="359" spans="1:29" ht="15.45">
      <c r="A359" s="288" t="s">
        <v>203</v>
      </c>
      <c r="B359" s="273"/>
      <c r="C359" s="273"/>
      <c r="D359" s="273"/>
      <c r="E359" s="273"/>
      <c r="F359" s="2110"/>
      <c r="G359" s="2111"/>
      <c r="H359" s="2111"/>
      <c r="I359" s="2111"/>
      <c r="J359" s="2111"/>
      <c r="K359" s="2112"/>
      <c r="L359" s="2113">
        <f>IF(P362="No",0,IF(L356-L357-L358&lt;0,0,SUM(L356,-L357,-L358)))</f>
        <v>0</v>
      </c>
      <c r="M359" s="2114"/>
      <c r="N359" s="2113">
        <f>IF(P362="No",0,IF(N356-N357-N358&lt;0,0,SUM(N356,-N357,-N358)))</f>
        <v>0</v>
      </c>
      <c r="O359" s="2114"/>
      <c r="P359" s="2079">
        <f>IF(P362="No",0,IF(P356-P357-P358&lt;0,0,SUM(P356,-P357,-P358)))</f>
        <v>0</v>
      </c>
      <c r="Q359" s="2080"/>
      <c r="R359" s="2127">
        <f>IF(V362="No",0,IF(R356-R357-R358&lt;0,0,SUM(R356,-R357,-R358)))</f>
        <v>0</v>
      </c>
      <c r="S359" s="2114"/>
      <c r="T359" s="2113">
        <f>IF(V362="No",0,IF(T356-T357-T358&lt;0,0,SUM(T356,-T357,-T358)))</f>
        <v>0</v>
      </c>
      <c r="U359" s="2114"/>
      <c r="V359" s="2079">
        <f>IF(V362="No",0,IF(V356-V357-V358&lt;0,0,SUM(V356,-V357,-V358)))</f>
        <v>0</v>
      </c>
      <c r="W359" s="2080"/>
      <c r="X359" s="2113">
        <f>IF(AB362="No",0,IF(X356-X357-X358&lt;0,0,SUM(X356,-X357,-X358)))</f>
        <v>0</v>
      </c>
      <c r="Y359" s="2114"/>
      <c r="Z359" s="2113">
        <f>IF(AB362="No",0,IF(Z356-Z357-Z358&lt;0,0,SUM(Z356,-Z357,-Z358)))</f>
        <v>0</v>
      </c>
      <c r="AA359" s="2114"/>
      <c r="AB359" s="2079">
        <f>IF(AB362="No",0,IF(AB356-AB357-AB358&lt;0,0,SUM(AB356,-AB357,-AB358)))</f>
        <v>0</v>
      </c>
      <c r="AC359" s="2080"/>
    </row>
    <row r="360" spans="1:29" ht="15.45">
      <c r="A360" s="1177" t="s">
        <v>929</v>
      </c>
      <c r="B360" s="273"/>
      <c r="C360" s="273"/>
      <c r="D360" s="273"/>
      <c r="E360" s="1176"/>
      <c r="F360" s="1166"/>
      <c r="G360" s="1167"/>
      <c r="H360" s="1167"/>
      <c r="I360" s="1167"/>
      <c r="J360" s="1167"/>
      <c r="K360" s="1168"/>
      <c r="L360" s="2131">
        <f>IF(P362="No",0,IF((L356-L357-L358)&lt;0,(L356-L357-L358)*-1,0))</f>
        <v>0</v>
      </c>
      <c r="M360" s="2131"/>
      <c r="N360" s="2131">
        <f>IF(R362="No",0,IF((N356-N357-N358)&lt;0,(N356-N357-N358)*-1,0))</f>
        <v>0</v>
      </c>
      <c r="O360" s="2131"/>
      <c r="P360" s="2131">
        <f>IF(T362="No",0,IF((P356-P357-P358)&lt;0,(P356-P357-P358)*-1,0))</f>
        <v>0</v>
      </c>
      <c r="Q360" s="2132"/>
      <c r="R360" s="2078">
        <f>IF(V362="No",0,IF((R356-R357-R358)&lt;0,(R356-R357-R358)*-1,0))</f>
        <v>0</v>
      </c>
      <c r="S360" s="2131"/>
      <c r="T360" s="2131">
        <f>IF(V362="No",0,IF((T356-T357-T358)&lt;0,(T356-T357-T358)*-1,0))</f>
        <v>0</v>
      </c>
      <c r="U360" s="2131"/>
      <c r="V360" s="2131">
        <f>IF(V362="No",0,IF((V356-V357-V358)&lt;0,(V356-V357-V358)*-1,0))</f>
        <v>0</v>
      </c>
      <c r="W360" s="2132"/>
      <c r="X360" s="2134">
        <f>IF(AB362="No",0,IF((X356-X357-X358)&lt;0,(X356-X357-X358)*-1,0))</f>
        <v>0</v>
      </c>
      <c r="Y360" s="2131"/>
      <c r="Z360" s="2131">
        <f>IF(AB362="No",0,IF((Z356-Z357-Z358)&lt;0,(Z356-Z357-Z358)*-1,0))</f>
        <v>0</v>
      </c>
      <c r="AA360" s="2131"/>
      <c r="AB360" s="2131">
        <f>IF(AB362="No",0,IF((AB356-AB357-AB358)&lt;0,(AB356-AB357-AB358)*-1,0))</f>
        <v>0</v>
      </c>
      <c r="AC360" s="2132"/>
    </row>
    <row r="361" spans="1:29" ht="16.100000000000001" thickBot="1">
      <c r="A361" s="505" t="s">
        <v>991</v>
      </c>
      <c r="B361" s="506"/>
      <c r="C361" s="506"/>
      <c r="D361" s="506"/>
      <c r="E361" s="291"/>
      <c r="F361" s="2073">
        <v>0</v>
      </c>
      <c r="G361" s="2074"/>
      <c r="H361" s="2075">
        <v>0</v>
      </c>
      <c r="I361" s="2074"/>
      <c r="J361" s="2101">
        <v>0</v>
      </c>
      <c r="K361" s="2102"/>
      <c r="L361" s="292"/>
      <c r="M361" s="293"/>
      <c r="N361" s="292"/>
      <c r="O361" s="293"/>
      <c r="P361" s="294"/>
      <c r="Q361" s="295"/>
      <c r="R361" s="296"/>
      <c r="S361" s="293"/>
      <c r="T361" s="292"/>
      <c r="U361" s="293"/>
      <c r="V361" s="292"/>
      <c r="W361" s="297"/>
      <c r="X361" s="296"/>
      <c r="Y361" s="293"/>
      <c r="Z361" s="292"/>
      <c r="AA361" s="293"/>
      <c r="AB361" s="292"/>
      <c r="AC361" s="297"/>
    </row>
    <row r="362" spans="1:29" ht="16.100000000000001" thickBot="1">
      <c r="A362" s="290" t="s">
        <v>992</v>
      </c>
      <c r="B362" s="21"/>
      <c r="C362" s="21"/>
      <c r="D362" s="21"/>
      <c r="F362" s="2096">
        <v>0</v>
      </c>
      <c r="G362" s="2097"/>
      <c r="H362" s="2098">
        <v>0</v>
      </c>
      <c r="I362" s="2097"/>
      <c r="J362" s="2103">
        <v>0</v>
      </c>
      <c r="K362" s="2104"/>
      <c r="L362" s="2093" t="s">
        <v>417</v>
      </c>
      <c r="M362" s="2094"/>
      <c r="N362" s="2094"/>
      <c r="O362" s="2095"/>
      <c r="P362" s="2106" t="str">
        <f>P344</f>
        <v>Yes</v>
      </c>
      <c r="Q362" s="2107"/>
      <c r="R362" s="2093" t="s">
        <v>417</v>
      </c>
      <c r="S362" s="2094"/>
      <c r="T362" s="2094"/>
      <c r="U362" s="2095"/>
      <c r="V362" s="2106" t="str">
        <f>V344</f>
        <v>No</v>
      </c>
      <c r="W362" s="2107"/>
      <c r="X362" s="2093" t="s">
        <v>417</v>
      </c>
      <c r="Y362" s="2094"/>
      <c r="Z362" s="2094"/>
      <c r="AA362" s="2095"/>
      <c r="AB362" s="2106" t="str">
        <f>AB344</f>
        <v>No</v>
      </c>
      <c r="AC362" s="2107"/>
    </row>
    <row r="363" spans="1:29" ht="13.75" thickBot="1">
      <c r="L363" s="2093" t="s">
        <v>419</v>
      </c>
      <c r="M363" s="2094"/>
      <c r="N363" s="2094"/>
      <c r="O363" s="2094"/>
      <c r="P363" s="2094"/>
      <c r="Q363" s="2095"/>
      <c r="R363" s="2106" t="str">
        <f>R345</f>
        <v>No</v>
      </c>
      <c r="S363" s="2107"/>
      <c r="T363" s="2093" t="s">
        <v>420</v>
      </c>
      <c r="U363" s="2095"/>
      <c r="V363" s="2121">
        <v>0</v>
      </c>
      <c r="W363" s="2122"/>
    </row>
    <row r="364" spans="1:29" ht="13.5" thickBot="1">
      <c r="L364" s="2093" t="s">
        <v>421</v>
      </c>
      <c r="M364" s="2094"/>
      <c r="N364" s="2094"/>
      <c r="O364" s="2094"/>
      <c r="P364" s="2094"/>
      <c r="Q364" s="2095"/>
      <c r="R364" s="2119">
        <v>0</v>
      </c>
      <c r="S364" s="2120"/>
      <c r="T364" s="2123" t="s">
        <v>422</v>
      </c>
      <c r="U364" s="2124"/>
      <c r="V364" s="2125">
        <v>0</v>
      </c>
      <c r="W364" s="2126"/>
    </row>
    <row r="365" spans="1:29" ht="13.75" thickBot="1">
      <c r="L365" s="2093" t="s">
        <v>921</v>
      </c>
      <c r="M365" s="2094"/>
      <c r="N365" s="2094"/>
      <c r="O365" s="2094"/>
      <c r="P365" s="2094"/>
      <c r="Q365" s="2095"/>
      <c r="R365" s="2106" t="str">
        <f>R347</f>
        <v>No</v>
      </c>
      <c r="S365" s="2107"/>
      <c r="T365" s="2093" t="s">
        <v>420</v>
      </c>
      <c r="U365" s="2095"/>
      <c r="V365" s="2121">
        <v>0</v>
      </c>
      <c r="W365" s="2122"/>
    </row>
    <row r="366" spans="1:29" ht="13.5" thickBot="1">
      <c r="L366" s="2093" t="s">
        <v>421</v>
      </c>
      <c r="M366" s="2094"/>
      <c r="N366" s="2094"/>
      <c r="O366" s="2094"/>
      <c r="P366" s="2094"/>
      <c r="Q366" s="2095"/>
      <c r="R366" s="2119">
        <v>0</v>
      </c>
      <c r="S366" s="2120"/>
      <c r="T366" s="2123" t="s">
        <v>422</v>
      </c>
      <c r="U366" s="2124"/>
      <c r="V366" s="2125">
        <v>0</v>
      </c>
      <c r="W366" s="2126"/>
    </row>
    <row r="367" spans="1:29" ht="13.1">
      <c r="A367" s="1644" t="s">
        <v>221</v>
      </c>
      <c r="B367" s="1644"/>
      <c r="C367" s="2130">
        <f>'Cost Control'!E161</f>
        <v>20</v>
      </c>
      <c r="D367" s="2130"/>
      <c r="E367" s="2130"/>
      <c r="F367" s="2130"/>
      <c r="G367" s="2130"/>
      <c r="H367" s="2130"/>
      <c r="I367" s="2130"/>
      <c r="L367" t="str">
        <f>IF(SUM(L359:Q359)=0," ","LTR SUMMARY:")</f>
        <v xml:space="preserve"> </v>
      </c>
      <c r="O367" s="1422">
        <f>SUM(L359:Q359)</f>
        <v>0</v>
      </c>
      <c r="P367" t="str">
        <f>IF(O367=0," ","m³")</f>
        <v xml:space="preserve"> </v>
      </c>
      <c r="R367" t="str">
        <f>IF(SUM(R359:W359)=0," ","LTR SUMMARY:")</f>
        <v xml:space="preserve"> </v>
      </c>
      <c r="U367" s="1422">
        <f>SUM(R359:W359)</f>
        <v>0</v>
      </c>
      <c r="V367" t="str">
        <f>IF(U367=0," ","m³")</f>
        <v xml:space="preserve"> </v>
      </c>
      <c r="X367" t="str">
        <f>IF(SUM(X359:AC359)=0," ","LTR SUMMARY:")</f>
        <v xml:space="preserve"> </v>
      </c>
      <c r="AA367" s="1422">
        <f>SUM(X359:AC359)</f>
        <v>0</v>
      </c>
      <c r="AB367" t="str">
        <f>IF(AA367=0," ","m³")</f>
        <v xml:space="preserve"> </v>
      </c>
    </row>
    <row r="368" spans="1:29" ht="13.5" thickBot="1"/>
    <row r="369" spans="1:29" ht="14.8" thickTop="1">
      <c r="A369" s="274" t="s">
        <v>190</v>
      </c>
      <c r="B369" s="275"/>
      <c r="C369" s="275"/>
      <c r="D369" s="275"/>
      <c r="E369" s="276"/>
      <c r="F369" s="277"/>
      <c r="G369" s="278"/>
      <c r="H369" s="271" t="s">
        <v>191</v>
      </c>
      <c r="I369" s="279"/>
      <c r="J369" s="279"/>
      <c r="K369" s="280"/>
      <c r="L369" s="279" t="str">
        <f>L351</f>
        <v xml:space="preserve">    Cum. to Date </v>
      </c>
      <c r="M369" s="281"/>
      <c r="N369" s="279"/>
      <c r="O369" s="334">
        <f>O351</f>
        <v>0</v>
      </c>
      <c r="P369" s="271"/>
      <c r="Q369" s="282"/>
      <c r="R369" s="283" t="str">
        <f>R351</f>
        <v xml:space="preserve">Cum. to Date </v>
      </c>
      <c r="S369" s="281"/>
      <c r="T369" s="279"/>
      <c r="U369" s="334">
        <f>U351</f>
        <v>0</v>
      </c>
      <c r="V369" s="284"/>
      <c r="W369" s="272"/>
      <c r="X369" s="283" t="str">
        <f>X351</f>
        <v xml:space="preserve">Cum. to Date </v>
      </c>
      <c r="Y369" s="281"/>
      <c r="Z369" s="279"/>
      <c r="AA369" s="334">
        <f>AA351</f>
        <v>0</v>
      </c>
      <c r="AB369" s="284"/>
      <c r="AC369" s="272"/>
    </row>
    <row r="370" spans="1:29" ht="14.8" thickBot="1">
      <c r="A370" s="285" t="s">
        <v>192</v>
      </c>
      <c r="B370" s="286"/>
      <c r="C370" s="286"/>
      <c r="D370" s="286"/>
      <c r="E370" s="287"/>
      <c r="F370" s="2067" t="s">
        <v>193</v>
      </c>
      <c r="G370" s="2068"/>
      <c r="H370" s="2069" t="s">
        <v>194</v>
      </c>
      <c r="I370" s="2070"/>
      <c r="J370" s="2069" t="str">
        <f>J352</f>
        <v>Other (1)</v>
      </c>
      <c r="K370" s="2091"/>
      <c r="L370" s="2092" t="s">
        <v>195</v>
      </c>
      <c r="M370" s="2070"/>
      <c r="N370" s="2069" t="s">
        <v>196</v>
      </c>
      <c r="O370" s="2070"/>
      <c r="P370" s="2069" t="str">
        <f>IF(P380="Yes",J370," ")</f>
        <v>Other (1)</v>
      </c>
      <c r="Q370" s="2091"/>
      <c r="R370" s="2092" t="str">
        <f>R352</f>
        <v>Water</v>
      </c>
      <c r="S370" s="2070"/>
      <c r="T370" s="2069" t="str">
        <f>T352</f>
        <v>Oil</v>
      </c>
      <c r="U370" s="2070"/>
      <c r="V370" s="2082" t="str">
        <f>IF(V380="Yes",J370," ")</f>
        <v xml:space="preserve"> </v>
      </c>
      <c r="W370" s="2083"/>
      <c r="X370" s="2092" t="str">
        <f>X352</f>
        <v>Water</v>
      </c>
      <c r="Y370" s="2070"/>
      <c r="Z370" s="2069" t="str">
        <f>Z352</f>
        <v>Oil</v>
      </c>
      <c r="AA370" s="2070"/>
      <c r="AB370" s="2082" t="str">
        <f>IF(AB380="Yes",J370," ")</f>
        <v xml:space="preserve"> </v>
      </c>
      <c r="AC370" s="2083"/>
    </row>
    <row r="371" spans="1:29" ht="16.100000000000001" thickTop="1">
      <c r="A371" s="288" t="s">
        <v>197</v>
      </c>
      <c r="B371" s="289"/>
      <c r="C371" s="289"/>
      <c r="D371" s="289"/>
      <c r="E371" s="289"/>
      <c r="F371" s="259"/>
      <c r="G371" s="260"/>
      <c r="H371" s="261"/>
      <c r="I371" s="260"/>
      <c r="J371" s="261"/>
      <c r="K371" s="262"/>
      <c r="L371" s="2084">
        <f>L353</f>
        <v>0</v>
      </c>
      <c r="M371" s="2084"/>
      <c r="N371" s="2085">
        <f>N353</f>
        <v>0</v>
      </c>
      <c r="O371" s="2086"/>
      <c r="P371" s="2085">
        <f>P353</f>
        <v>0</v>
      </c>
      <c r="Q371" s="2087"/>
      <c r="R371" s="2115">
        <f>R353</f>
        <v>0</v>
      </c>
      <c r="S371" s="2116"/>
      <c r="T371" s="2117">
        <f>T353</f>
        <v>0</v>
      </c>
      <c r="U371" s="2116"/>
      <c r="V371" s="2117">
        <f>V353</f>
        <v>0</v>
      </c>
      <c r="W371" s="2118"/>
      <c r="X371" s="2115">
        <f>X353</f>
        <v>0</v>
      </c>
      <c r="Y371" s="2116"/>
      <c r="Z371" s="2117">
        <f>Z353</f>
        <v>0</v>
      </c>
      <c r="AA371" s="2116"/>
      <c r="AB371" s="2117">
        <f>AB353</f>
        <v>0</v>
      </c>
      <c r="AC371" s="2118"/>
    </row>
    <row r="372" spans="1:29" ht="15.45">
      <c r="A372" s="288" t="s">
        <v>198</v>
      </c>
      <c r="B372" s="273"/>
      <c r="C372" s="273"/>
      <c r="D372" s="273"/>
      <c r="E372" s="273"/>
      <c r="F372" s="2073">
        <v>0</v>
      </c>
      <c r="G372" s="2074"/>
      <c r="H372" s="2075">
        <v>0</v>
      </c>
      <c r="I372" s="2074"/>
      <c r="J372" s="2075">
        <v>0</v>
      </c>
      <c r="K372" s="2076"/>
      <c r="L372" s="2077">
        <f>IF(P380="No",L354,F372+L354)</f>
        <v>0</v>
      </c>
      <c r="M372" s="2078"/>
      <c r="N372" s="2079">
        <f>IF(P380="No",N354,H372+N354)</f>
        <v>0</v>
      </c>
      <c r="O372" s="2078"/>
      <c r="P372" s="2079">
        <f>IF(P380="No",P354,J372+P354)</f>
        <v>0</v>
      </c>
      <c r="Q372" s="2080"/>
      <c r="R372" s="2081">
        <f>IF(V380="Yes",F372+R354,IF(R382="Water",IF(R381="Yes",V381,0),R354))</f>
        <v>0</v>
      </c>
      <c r="S372" s="2071"/>
      <c r="T372" s="2071">
        <f>IF(V380="Yes",H372+T354,IF(T382="Oil",IF(R381="Yes",V381,0),T354))</f>
        <v>0</v>
      </c>
      <c r="U372" s="2071"/>
      <c r="V372" s="2071">
        <f>IF(V380="Yes",J372+V354,IF(V382=V370,IF(R381="Yes",V381,0),V354))</f>
        <v>0</v>
      </c>
      <c r="W372" s="2072"/>
      <c r="X372" s="2081">
        <f>IF(AB380="Yes",F372+X354,IF(X382="Water",IF(X381="Yes",AB381,0),X354))</f>
        <v>0</v>
      </c>
      <c r="Y372" s="2071"/>
      <c r="Z372" s="2071">
        <f>IF(AB380="Yes",H372+Z354,IF(Z382=Z370,IF(X381="Yes",AB381,0),Z354))</f>
        <v>0</v>
      </c>
      <c r="AA372" s="2071"/>
      <c r="AB372" s="2071">
        <f>IF(AB380="Yes",J372+AB354,IF(AB382=AB370,IF(X381="Yes",AB381,0),AB354))</f>
        <v>0</v>
      </c>
      <c r="AC372" s="2072"/>
    </row>
    <row r="373" spans="1:29" ht="15.45">
      <c r="A373" s="288" t="s">
        <v>199</v>
      </c>
      <c r="B373" s="273"/>
      <c r="C373" s="273"/>
      <c r="D373" s="273"/>
      <c r="E373" s="273"/>
      <c r="F373" s="2073">
        <v>0</v>
      </c>
      <c r="G373" s="2074"/>
      <c r="H373" s="2075">
        <v>0</v>
      </c>
      <c r="I373" s="2074"/>
      <c r="J373" s="2075">
        <v>0</v>
      </c>
      <c r="K373" s="2076"/>
      <c r="L373" s="2077">
        <f>IF(P380="No",L355,F373+L355)</f>
        <v>0</v>
      </c>
      <c r="M373" s="2078"/>
      <c r="N373" s="2079">
        <f>IF(P380="No",N355,H373+N355)</f>
        <v>0</v>
      </c>
      <c r="O373" s="2078"/>
      <c r="P373" s="2079">
        <f>IF(P380="No",P355,J373+P355)</f>
        <v>0</v>
      </c>
      <c r="Q373" s="2080"/>
      <c r="R373" s="2081">
        <f>IF(V380="Yes",R355+F373,R355)</f>
        <v>0</v>
      </c>
      <c r="S373" s="2071"/>
      <c r="T373" s="2071">
        <f>IF(V380="Yes",T355+H373,T355)</f>
        <v>0</v>
      </c>
      <c r="U373" s="2071"/>
      <c r="V373" s="2071">
        <f>IF(V380="Yes",V355+J373,V355)</f>
        <v>0</v>
      </c>
      <c r="W373" s="2072"/>
      <c r="X373" s="2081">
        <f>IF(AB380="Yes",X355+F373,X355)</f>
        <v>0</v>
      </c>
      <c r="Y373" s="2071"/>
      <c r="Z373" s="2071">
        <f>IF(AB380="Yes",Z355+H373,Z355)</f>
        <v>0</v>
      </c>
      <c r="AA373" s="2071"/>
      <c r="AB373" s="2071">
        <f>IF(AB380="Yes",AB355+J373,AB355)</f>
        <v>0</v>
      </c>
      <c r="AC373" s="2072"/>
    </row>
    <row r="374" spans="1:29" ht="15.45">
      <c r="A374" s="288" t="s">
        <v>200</v>
      </c>
      <c r="B374" s="273"/>
      <c r="C374" s="273"/>
      <c r="D374" s="273"/>
      <c r="E374" s="273"/>
      <c r="F374" s="259"/>
      <c r="G374" s="260"/>
      <c r="H374" s="261"/>
      <c r="I374" s="263"/>
      <c r="J374" s="264"/>
      <c r="K374" s="265"/>
      <c r="L374" s="2077">
        <f>L371+L372-L373</f>
        <v>0</v>
      </c>
      <c r="M374" s="2078"/>
      <c r="N374" s="2079">
        <f>SUM(N371,N372,-N373)</f>
        <v>0</v>
      </c>
      <c r="O374" s="2078"/>
      <c r="P374" s="2079">
        <f>SUM(P371,P372,-P373)</f>
        <v>0</v>
      </c>
      <c r="Q374" s="2080"/>
      <c r="R374" s="2081">
        <f>SUM(R371,R372,-R373)</f>
        <v>0</v>
      </c>
      <c r="S374" s="2071"/>
      <c r="T374" s="2071">
        <f>SUM(T371,T372,-T373)</f>
        <v>0</v>
      </c>
      <c r="U374" s="2071"/>
      <c r="V374" s="2071">
        <f>SUM(V371,V372,-V373)</f>
        <v>0</v>
      </c>
      <c r="W374" s="2072"/>
      <c r="X374" s="2081">
        <f>SUM(X371,X372,-X373)</f>
        <v>0</v>
      </c>
      <c r="Y374" s="2071"/>
      <c r="Z374" s="2071">
        <f>SUM(Z371,Z372,-Z373)</f>
        <v>0</v>
      </c>
      <c r="AA374" s="2071"/>
      <c r="AB374" s="2071">
        <f>SUM(AB371,AB372,-AB373)</f>
        <v>0</v>
      </c>
      <c r="AC374" s="2072"/>
    </row>
    <row r="375" spans="1:29" ht="15.45">
      <c r="A375" s="288" t="s">
        <v>201</v>
      </c>
      <c r="B375" s="273"/>
      <c r="C375" s="273"/>
      <c r="D375" s="273"/>
      <c r="E375" s="273"/>
      <c r="F375" s="259"/>
      <c r="G375" s="260"/>
      <c r="H375" s="261"/>
      <c r="I375" s="263"/>
      <c r="J375" s="264"/>
      <c r="K375" s="265"/>
      <c r="L375" s="2073">
        <f>L357</f>
        <v>0</v>
      </c>
      <c r="M375" s="2074"/>
      <c r="N375" s="2075">
        <f>N357</f>
        <v>0</v>
      </c>
      <c r="O375" s="2074"/>
      <c r="P375" s="2075">
        <f>P357</f>
        <v>0</v>
      </c>
      <c r="Q375" s="2076"/>
      <c r="R375" s="2081">
        <f>R357</f>
        <v>0</v>
      </c>
      <c r="S375" s="2071"/>
      <c r="T375" s="2071">
        <f>T357</f>
        <v>0</v>
      </c>
      <c r="U375" s="2071"/>
      <c r="V375" s="2128">
        <f>V357</f>
        <v>0</v>
      </c>
      <c r="W375" s="2129"/>
      <c r="X375" s="2081">
        <f>X357</f>
        <v>0</v>
      </c>
      <c r="Y375" s="2071"/>
      <c r="Z375" s="2071">
        <f>Z357</f>
        <v>0</v>
      </c>
      <c r="AA375" s="2071"/>
      <c r="AB375" s="2128">
        <f>AB357</f>
        <v>0</v>
      </c>
      <c r="AC375" s="2129"/>
    </row>
    <row r="376" spans="1:29" ht="15.45">
      <c r="A376" s="288" t="s">
        <v>202</v>
      </c>
      <c r="B376" s="273"/>
      <c r="C376" s="273"/>
      <c r="D376" s="273"/>
      <c r="E376" s="273"/>
      <c r="F376" s="259"/>
      <c r="G376" s="260"/>
      <c r="H376" s="261"/>
      <c r="I376" s="263"/>
      <c r="J376" s="264"/>
      <c r="K376" s="265"/>
      <c r="L376" s="2077">
        <f>IF(P380="No",L358,L358+F372-F373+F379-F380)</f>
        <v>0</v>
      </c>
      <c r="M376" s="2078"/>
      <c r="N376" s="2079">
        <f>IF(P380="No",N358,N358+H372-H373+H379-H380)</f>
        <v>0</v>
      </c>
      <c r="O376" s="2078"/>
      <c r="P376" s="2079">
        <f>IF(P380="No",P358,P358+J372-J373+J379-J380)</f>
        <v>0</v>
      </c>
      <c r="Q376" s="2080"/>
      <c r="R376" s="2071">
        <f>IF(V380="Yes",R358+F372-F373+F379-F380,IF(P381="Yes",IF(R382=R370,R372-R373-V382,0),R358))</f>
        <v>0</v>
      </c>
      <c r="S376" s="2071"/>
      <c r="T376" s="2071">
        <f>IF(V380="Yes",T358+H372-H373+H379-H380,IF(R381="Yes",IF(R382=T370,T372-T373-V382,0),T358))</f>
        <v>0</v>
      </c>
      <c r="U376" s="2071"/>
      <c r="V376" s="2071">
        <f>IF(V380="Yes",V358+J372-J373+J379-J380,IF(T381="Yes",IF(R382=V370,V372-V373-V382,0),V358))</f>
        <v>0</v>
      </c>
      <c r="W376" s="2072"/>
      <c r="X376" s="2071">
        <f>IF(AB380="Yes",X358+F372-F373+F379-F380,IF(V381="Yes",IF(X382=X370,X372-X373-AB382,0),X358))</f>
        <v>0</v>
      </c>
      <c r="Y376" s="2071"/>
      <c r="Z376" s="2071">
        <f>IF(AB380="Yes",Z358+H372-H373+H379-H380,IF(X381="Yes",IF(X382=Z370,Z372-Z373-AB382,0),Z358))</f>
        <v>0</v>
      </c>
      <c r="AA376" s="2071"/>
      <c r="AB376" s="2071">
        <f>IF(AB380="Yes",AB358+J372-J373+J379-J380,IF(Z381="Yes",IF(X382=AB370,AB372-AB373-AB382,0),AB358))</f>
        <v>0</v>
      </c>
      <c r="AC376" s="2072"/>
    </row>
    <row r="377" spans="1:29" ht="15.45">
      <c r="A377" s="288" t="s">
        <v>203</v>
      </c>
      <c r="B377" s="273"/>
      <c r="C377" s="273"/>
      <c r="D377" s="273"/>
      <c r="E377" s="273"/>
      <c r="F377" s="2110"/>
      <c r="G377" s="2111"/>
      <c r="H377" s="2111"/>
      <c r="I377" s="2111"/>
      <c r="J377" s="2111"/>
      <c r="K377" s="2112"/>
      <c r="L377" s="2113">
        <f>IF(P380="No",0,IF(L374-L375-L376&lt;0,0,SUM(L374,-L375,-L376)))</f>
        <v>0</v>
      </c>
      <c r="M377" s="2114"/>
      <c r="N377" s="2113">
        <f>IF(P380="No",0,IF(N374-N375-N376&lt;0,0,SUM(N374,-N375,-N376)))</f>
        <v>0</v>
      </c>
      <c r="O377" s="2114"/>
      <c r="P377" s="2079">
        <f>IF(P380="No",0,IF(P374-P375-P376&lt;0,0,SUM(P374,-P375,-P376)))</f>
        <v>0</v>
      </c>
      <c r="Q377" s="2080"/>
      <c r="R377" s="2127">
        <f>IF(V380="No",0,IF(R374-R375-R376&lt;0,0,SUM(R374,-R375,-R376)))</f>
        <v>0</v>
      </c>
      <c r="S377" s="2114"/>
      <c r="T377" s="2113">
        <f>IF(V380="No",0,IF(T374-T375-T376&lt;0,0,SUM(T374,-T375,-T376)))</f>
        <v>0</v>
      </c>
      <c r="U377" s="2114"/>
      <c r="V377" s="2079">
        <f>IF(V380="No",0,IF(V374-V375-V376&lt;0,0,SUM(V374,-V375,-V376)))</f>
        <v>0</v>
      </c>
      <c r="W377" s="2080"/>
      <c r="X377" s="2113">
        <f>IF(AB380="No",0,IF(X374-X375-X376&lt;0,0,SUM(X374,-X375,-X376)))</f>
        <v>0</v>
      </c>
      <c r="Y377" s="2114"/>
      <c r="Z377" s="2113">
        <f>IF(AB380="No",0,IF(Z374-Z375-Z376&lt;0,0,SUM(Z374,-Z375,-Z376)))</f>
        <v>0</v>
      </c>
      <c r="AA377" s="2114"/>
      <c r="AB377" s="2079">
        <f>IF(AB380="No",0,IF(AB374-AB375-AB376&lt;0,0,SUM(AB374,-AB375,-AB376)))</f>
        <v>0</v>
      </c>
      <c r="AC377" s="2080"/>
    </row>
    <row r="378" spans="1:29" ht="15.45">
      <c r="A378" s="1177" t="s">
        <v>929</v>
      </c>
      <c r="B378" s="273"/>
      <c r="C378" s="273"/>
      <c r="D378" s="273"/>
      <c r="E378" s="1176"/>
      <c r="F378" s="1166"/>
      <c r="G378" s="1167"/>
      <c r="H378" s="1167"/>
      <c r="I378" s="1167"/>
      <c r="J378" s="1167"/>
      <c r="K378" s="1168"/>
      <c r="L378" s="2131">
        <f>IF(P380="No",0,IF((L374-L375-L376)&lt;0,(L374-L375-L376)*-1,0))</f>
        <v>0</v>
      </c>
      <c r="M378" s="2131"/>
      <c r="N378" s="2131">
        <f>IF(R380="No",0,IF((N374-N375-N376)&lt;0,(N374-N375-N376)*-1,0))</f>
        <v>0</v>
      </c>
      <c r="O378" s="2131"/>
      <c r="P378" s="2131">
        <f>IF(T380="No",0,IF((P374-P375-P376)&lt;0,(P374-P375-P376)*-1,0))</f>
        <v>0</v>
      </c>
      <c r="Q378" s="2132"/>
      <c r="R378" s="2078">
        <f>IF(V380="No",0,IF((R374-R375-R376)&lt;0,(R374-R375-R376)*-1,0))</f>
        <v>0</v>
      </c>
      <c r="S378" s="2131"/>
      <c r="T378" s="2131">
        <f>IF(V380="No",0,IF((T374-T375-T376)&lt;0,(T374-T375-T376)*-1,0))</f>
        <v>0</v>
      </c>
      <c r="U378" s="2131"/>
      <c r="V378" s="2131">
        <f>IF(V380="No",0,IF((V374-V375-V376)&lt;0,(V374-V375-V376)*-1,0))</f>
        <v>0</v>
      </c>
      <c r="W378" s="2132"/>
      <c r="X378" s="2134">
        <f>IF(AB380="No",0,IF((X374-X375-X376)&lt;0,(X374-X375-X376)*-1,0))</f>
        <v>0</v>
      </c>
      <c r="Y378" s="2131"/>
      <c r="Z378" s="2131">
        <f>IF(AB380="No",0,IF((Z374-Z375-Z376)&lt;0,(Z374-Z375-Z376)*-1,0))</f>
        <v>0</v>
      </c>
      <c r="AA378" s="2131"/>
      <c r="AB378" s="2131">
        <f>IF(AB380="No",0,IF((AB374-AB375-AB376)&lt;0,(AB374-AB375-AB376)*-1,0))</f>
        <v>0</v>
      </c>
      <c r="AC378" s="2132"/>
    </row>
    <row r="379" spans="1:29" ht="16.100000000000001" thickBot="1">
      <c r="A379" s="505" t="s">
        <v>991</v>
      </c>
      <c r="B379" s="506"/>
      <c r="C379" s="506"/>
      <c r="D379" s="506"/>
      <c r="E379" s="291"/>
      <c r="F379" s="2073">
        <v>0</v>
      </c>
      <c r="G379" s="2074"/>
      <c r="H379" s="2075">
        <v>0</v>
      </c>
      <c r="I379" s="2074"/>
      <c r="J379" s="2101">
        <v>0</v>
      </c>
      <c r="K379" s="2102"/>
      <c r="L379" s="292"/>
      <c r="M379" s="293"/>
      <c r="N379" s="292"/>
      <c r="O379" s="293"/>
      <c r="P379" s="294"/>
      <c r="Q379" s="295"/>
      <c r="R379" s="296"/>
      <c r="S379" s="293"/>
      <c r="T379" s="292"/>
      <c r="U379" s="293"/>
      <c r="V379" s="292"/>
      <c r="W379" s="297"/>
      <c r="X379" s="296"/>
      <c r="Y379" s="293"/>
      <c r="Z379" s="292"/>
      <c r="AA379" s="293"/>
      <c r="AB379" s="292"/>
      <c r="AC379" s="297"/>
    </row>
    <row r="380" spans="1:29" ht="16.100000000000001" thickBot="1">
      <c r="A380" s="290" t="s">
        <v>992</v>
      </c>
      <c r="B380" s="21"/>
      <c r="C380" s="21"/>
      <c r="D380" s="21"/>
      <c r="F380" s="2096">
        <v>0</v>
      </c>
      <c r="G380" s="2097"/>
      <c r="H380" s="2098">
        <v>0</v>
      </c>
      <c r="I380" s="2097"/>
      <c r="J380" s="2103">
        <v>0</v>
      </c>
      <c r="K380" s="2104"/>
      <c r="L380" s="2093" t="s">
        <v>417</v>
      </c>
      <c r="M380" s="2094"/>
      <c r="N380" s="2094"/>
      <c r="O380" s="2095"/>
      <c r="P380" s="2106" t="str">
        <f>P362</f>
        <v>Yes</v>
      </c>
      <c r="Q380" s="2107"/>
      <c r="R380" s="2093" t="s">
        <v>417</v>
      </c>
      <c r="S380" s="2094"/>
      <c r="T380" s="2094"/>
      <c r="U380" s="2095"/>
      <c r="V380" s="2106" t="str">
        <f>V362</f>
        <v>No</v>
      </c>
      <c r="W380" s="2107"/>
      <c r="X380" s="2093" t="s">
        <v>417</v>
      </c>
      <c r="Y380" s="2094"/>
      <c r="Z380" s="2094"/>
      <c r="AA380" s="2095"/>
      <c r="AB380" s="2106" t="str">
        <f>AB362</f>
        <v>No</v>
      </c>
      <c r="AC380" s="2107"/>
    </row>
    <row r="381" spans="1:29" ht="13.75" thickBot="1">
      <c r="L381" s="2093" t="s">
        <v>419</v>
      </c>
      <c r="M381" s="2094"/>
      <c r="N381" s="2094"/>
      <c r="O381" s="2094"/>
      <c r="P381" s="2094"/>
      <c r="Q381" s="2095"/>
      <c r="R381" s="2106" t="str">
        <f>R363</f>
        <v>No</v>
      </c>
      <c r="S381" s="2107"/>
      <c r="T381" s="2093" t="s">
        <v>420</v>
      </c>
      <c r="U381" s="2095"/>
      <c r="V381" s="2121">
        <v>0</v>
      </c>
      <c r="W381" s="2122"/>
    </row>
    <row r="382" spans="1:29" ht="13.5" thickBot="1">
      <c r="L382" s="2093" t="s">
        <v>421</v>
      </c>
      <c r="M382" s="2094"/>
      <c r="N382" s="2094"/>
      <c r="O382" s="2094"/>
      <c r="P382" s="2094"/>
      <c r="Q382" s="2095"/>
      <c r="R382" s="2119">
        <v>0</v>
      </c>
      <c r="S382" s="2120"/>
      <c r="T382" s="2123" t="s">
        <v>422</v>
      </c>
      <c r="U382" s="2124"/>
      <c r="V382" s="2125">
        <v>0</v>
      </c>
      <c r="W382" s="2126"/>
    </row>
    <row r="383" spans="1:29" ht="13.75" thickBot="1">
      <c r="L383" s="2093" t="s">
        <v>921</v>
      </c>
      <c r="M383" s="2094"/>
      <c r="N383" s="2094"/>
      <c r="O383" s="2094"/>
      <c r="P383" s="2094"/>
      <c r="Q383" s="2095"/>
      <c r="R383" s="2106" t="str">
        <f>R365</f>
        <v>No</v>
      </c>
      <c r="S383" s="2107"/>
      <c r="T383" s="2093" t="s">
        <v>420</v>
      </c>
      <c r="U383" s="2095"/>
      <c r="V383" s="2121">
        <v>0</v>
      </c>
      <c r="W383" s="2122"/>
    </row>
    <row r="384" spans="1:29" ht="13.5" thickBot="1">
      <c r="L384" s="2093" t="s">
        <v>421</v>
      </c>
      <c r="M384" s="2094"/>
      <c r="N384" s="2094"/>
      <c r="O384" s="2094"/>
      <c r="P384" s="2094"/>
      <c r="Q384" s="2095"/>
      <c r="R384" s="2119">
        <v>0</v>
      </c>
      <c r="S384" s="2120"/>
      <c r="T384" s="2123" t="s">
        <v>422</v>
      </c>
      <c r="U384" s="2124"/>
      <c r="V384" s="2125">
        <v>0</v>
      </c>
      <c r="W384" s="2126"/>
    </row>
    <row r="385" spans="1:29" ht="13.1">
      <c r="A385" s="1644" t="s">
        <v>221</v>
      </c>
      <c r="B385" s="1644"/>
      <c r="C385" s="2130">
        <f>'Cost Control'!F161</f>
        <v>21</v>
      </c>
      <c r="D385" s="2130"/>
      <c r="E385" s="2130"/>
      <c r="F385" s="2130"/>
      <c r="G385" s="2130"/>
      <c r="H385" s="2130"/>
      <c r="I385" s="2130"/>
      <c r="L385" t="str">
        <f>IF(SUM(L377:Q377)=0," ","LTR SUMMARY:")</f>
        <v xml:space="preserve"> </v>
      </c>
      <c r="O385" s="1422">
        <f>SUM(L377:Q377)</f>
        <v>0</v>
      </c>
      <c r="P385" t="str">
        <f>IF(O385=0," ","m³")</f>
        <v xml:space="preserve"> </v>
      </c>
      <c r="R385" t="str">
        <f>IF(SUM(R377:W377)=0," ","LTR SUMMARY:")</f>
        <v xml:space="preserve"> </v>
      </c>
      <c r="U385" s="1422">
        <f>SUM(R377:W377)</f>
        <v>0</v>
      </c>
      <c r="V385" t="str">
        <f>IF(U385=0," ","m³")</f>
        <v xml:space="preserve"> </v>
      </c>
      <c r="X385" t="str">
        <f>IF(SUM(X377:AC377)=0," ","LTR SUMMARY:")</f>
        <v xml:space="preserve"> </v>
      </c>
      <c r="AA385" s="1422">
        <f>SUM(X377:AC377)</f>
        <v>0</v>
      </c>
      <c r="AB385" t="str">
        <f>IF(AA385=0," ","m³")</f>
        <v xml:space="preserve"> </v>
      </c>
    </row>
    <row r="386" spans="1:29" ht="13.5" thickBot="1"/>
    <row r="387" spans="1:29" ht="14.8" thickTop="1">
      <c r="A387" s="274" t="s">
        <v>190</v>
      </c>
      <c r="B387" s="275"/>
      <c r="C387" s="275"/>
      <c r="D387" s="275"/>
      <c r="E387" s="276"/>
      <c r="F387" s="277"/>
      <c r="G387" s="278"/>
      <c r="H387" s="271" t="s">
        <v>191</v>
      </c>
      <c r="I387" s="279"/>
      <c r="J387" s="279"/>
      <c r="K387" s="280"/>
      <c r="L387" s="279" t="str">
        <f>L369</f>
        <v xml:space="preserve">    Cum. to Date </v>
      </c>
      <c r="M387" s="281"/>
      <c r="N387" s="279"/>
      <c r="O387" s="334">
        <f>O369</f>
        <v>0</v>
      </c>
      <c r="P387" s="271"/>
      <c r="Q387" s="282"/>
      <c r="R387" s="283" t="str">
        <f>R369</f>
        <v xml:space="preserve">Cum. to Date </v>
      </c>
      <c r="S387" s="281"/>
      <c r="T387" s="279"/>
      <c r="U387" s="334">
        <f>U369</f>
        <v>0</v>
      </c>
      <c r="V387" s="284"/>
      <c r="W387" s="272"/>
      <c r="X387" s="283" t="str">
        <f>X369</f>
        <v xml:space="preserve">Cum. to Date </v>
      </c>
      <c r="Y387" s="281"/>
      <c r="Z387" s="279"/>
      <c r="AA387" s="334">
        <f>AA369</f>
        <v>0</v>
      </c>
      <c r="AB387" s="284"/>
      <c r="AC387" s="272"/>
    </row>
    <row r="388" spans="1:29" ht="14.8" thickBot="1">
      <c r="A388" s="285" t="s">
        <v>192</v>
      </c>
      <c r="B388" s="286"/>
      <c r="C388" s="286"/>
      <c r="D388" s="286"/>
      <c r="E388" s="287"/>
      <c r="F388" s="2067" t="s">
        <v>193</v>
      </c>
      <c r="G388" s="2068"/>
      <c r="H388" s="2069" t="s">
        <v>194</v>
      </c>
      <c r="I388" s="2070"/>
      <c r="J388" s="2069" t="str">
        <f>J370</f>
        <v>Other (1)</v>
      </c>
      <c r="K388" s="2091"/>
      <c r="L388" s="2092" t="s">
        <v>195</v>
      </c>
      <c r="M388" s="2070"/>
      <c r="N388" s="2069" t="s">
        <v>196</v>
      </c>
      <c r="O388" s="2070"/>
      <c r="P388" s="2069" t="str">
        <f>IF(P398="Yes",J388," ")</f>
        <v>Other (1)</v>
      </c>
      <c r="Q388" s="2091"/>
      <c r="R388" s="2092" t="str">
        <f>R370</f>
        <v>Water</v>
      </c>
      <c r="S388" s="2070"/>
      <c r="T388" s="2069" t="str">
        <f>T370</f>
        <v>Oil</v>
      </c>
      <c r="U388" s="2070"/>
      <c r="V388" s="2082" t="str">
        <f>IF(V398="Yes",J388," ")</f>
        <v xml:space="preserve"> </v>
      </c>
      <c r="W388" s="2083"/>
      <c r="X388" s="2092" t="str">
        <f>X370</f>
        <v>Water</v>
      </c>
      <c r="Y388" s="2070"/>
      <c r="Z388" s="2069" t="str">
        <f>Z370</f>
        <v>Oil</v>
      </c>
      <c r="AA388" s="2070"/>
      <c r="AB388" s="2082" t="str">
        <f>IF(AB398="Yes",J388," ")</f>
        <v xml:space="preserve"> </v>
      </c>
      <c r="AC388" s="2083"/>
    </row>
    <row r="389" spans="1:29" ht="16.100000000000001" thickTop="1">
      <c r="A389" s="288" t="s">
        <v>197</v>
      </c>
      <c r="B389" s="289"/>
      <c r="C389" s="289"/>
      <c r="D389" s="289"/>
      <c r="E389" s="289"/>
      <c r="F389" s="259"/>
      <c r="G389" s="260"/>
      <c r="H389" s="261"/>
      <c r="I389" s="260"/>
      <c r="J389" s="261"/>
      <c r="K389" s="262"/>
      <c r="L389" s="2084">
        <f>L371</f>
        <v>0</v>
      </c>
      <c r="M389" s="2084"/>
      <c r="N389" s="2085">
        <f>N371</f>
        <v>0</v>
      </c>
      <c r="O389" s="2086"/>
      <c r="P389" s="2085">
        <f>P371</f>
        <v>0</v>
      </c>
      <c r="Q389" s="2087"/>
      <c r="R389" s="2115">
        <f>R371</f>
        <v>0</v>
      </c>
      <c r="S389" s="2116"/>
      <c r="T389" s="2117">
        <f>T371</f>
        <v>0</v>
      </c>
      <c r="U389" s="2116"/>
      <c r="V389" s="2117">
        <f>V371</f>
        <v>0</v>
      </c>
      <c r="W389" s="2118"/>
      <c r="X389" s="2115">
        <f>X371</f>
        <v>0</v>
      </c>
      <c r="Y389" s="2116"/>
      <c r="Z389" s="2117">
        <f>Z371</f>
        <v>0</v>
      </c>
      <c r="AA389" s="2116"/>
      <c r="AB389" s="2117">
        <f>AB371</f>
        <v>0</v>
      </c>
      <c r="AC389" s="2118"/>
    </row>
    <row r="390" spans="1:29" ht="15.45">
      <c r="A390" s="288" t="s">
        <v>198</v>
      </c>
      <c r="B390" s="273"/>
      <c r="C390" s="273"/>
      <c r="D390" s="273"/>
      <c r="E390" s="273"/>
      <c r="F390" s="2073">
        <v>0</v>
      </c>
      <c r="G390" s="2074"/>
      <c r="H390" s="2075">
        <v>0</v>
      </c>
      <c r="I390" s="2074"/>
      <c r="J390" s="2075">
        <v>0</v>
      </c>
      <c r="K390" s="2076"/>
      <c r="L390" s="2077">
        <f>IF(P398="No",L372,F390+L372)</f>
        <v>0</v>
      </c>
      <c r="M390" s="2078"/>
      <c r="N390" s="2079">
        <f>IF(P398="No",N372,H390+N372)</f>
        <v>0</v>
      </c>
      <c r="O390" s="2078"/>
      <c r="P390" s="2079">
        <f>IF(P398="No",P372,J390+P372)</f>
        <v>0</v>
      </c>
      <c r="Q390" s="2080"/>
      <c r="R390" s="2081">
        <f>IF(V398="Yes",F390+R372,IF(R400="Water",IF(R399="Yes",V399,0),R372))</f>
        <v>0</v>
      </c>
      <c r="S390" s="2071"/>
      <c r="T390" s="2071">
        <f>IF(V398="Yes",H390+T372,IF(T400="Oil",IF(R399="Yes",V399,0),T372))</f>
        <v>0</v>
      </c>
      <c r="U390" s="2071"/>
      <c r="V390" s="2071">
        <f>IF(V398="Yes",J390+V372,IF(V400=V388,IF(R399="Yes",V399,0),V372))</f>
        <v>0</v>
      </c>
      <c r="W390" s="2072"/>
      <c r="X390" s="2081">
        <f>IF(AB398="Yes",F390+X372,IF(X400="Water",IF(X399="Yes",AB399,0),X372))</f>
        <v>0</v>
      </c>
      <c r="Y390" s="2071"/>
      <c r="Z390" s="2071">
        <f>IF(AB398="Yes",H390+Z372,IF(Z400=Z388,IF(X399="Yes",AB399,0),Z372))</f>
        <v>0</v>
      </c>
      <c r="AA390" s="2071"/>
      <c r="AB390" s="2071">
        <f>IF(AB398="Yes",J390+AB372,IF(AB400=AB388,IF(X399="Yes",AB399,0),AB372))</f>
        <v>0</v>
      </c>
      <c r="AC390" s="2072"/>
    </row>
    <row r="391" spans="1:29" ht="15.45">
      <c r="A391" s="288" t="s">
        <v>199</v>
      </c>
      <c r="B391" s="273"/>
      <c r="C391" s="273"/>
      <c r="D391" s="273"/>
      <c r="E391" s="273"/>
      <c r="F391" s="2073">
        <v>0</v>
      </c>
      <c r="G391" s="2074"/>
      <c r="H391" s="2075">
        <v>0</v>
      </c>
      <c r="I391" s="2074"/>
      <c r="J391" s="2075">
        <v>0</v>
      </c>
      <c r="K391" s="2076"/>
      <c r="L391" s="2077">
        <f>IF(P398="No",L373,F391+L373)</f>
        <v>0</v>
      </c>
      <c r="M391" s="2078"/>
      <c r="N391" s="2079">
        <f>IF(P398="No",N373,H391+N373)</f>
        <v>0</v>
      </c>
      <c r="O391" s="2078"/>
      <c r="P391" s="2079">
        <f>IF(P398="No",P373,J391+P373)</f>
        <v>0</v>
      </c>
      <c r="Q391" s="2080"/>
      <c r="R391" s="2081">
        <f>IF(V398="Yes",R373+F391,R373)</f>
        <v>0</v>
      </c>
      <c r="S391" s="2071"/>
      <c r="T391" s="2071">
        <f>IF(V398="Yes",T373+H391,T373)</f>
        <v>0</v>
      </c>
      <c r="U391" s="2071"/>
      <c r="V391" s="2071">
        <f>IF(V398="Yes",V373+J391,V373)</f>
        <v>0</v>
      </c>
      <c r="W391" s="2072"/>
      <c r="X391" s="2081">
        <f>IF(AB398="Yes",X373+F391,X373)</f>
        <v>0</v>
      </c>
      <c r="Y391" s="2071"/>
      <c r="Z391" s="2071">
        <f>IF(AB398="Yes",Z373+H391,Z373)</f>
        <v>0</v>
      </c>
      <c r="AA391" s="2071"/>
      <c r="AB391" s="2071">
        <f>IF(AB398="Yes",AB373+J391,AB373)</f>
        <v>0</v>
      </c>
      <c r="AC391" s="2072"/>
    </row>
    <row r="392" spans="1:29" ht="15.45">
      <c r="A392" s="288" t="s">
        <v>200</v>
      </c>
      <c r="B392" s="273"/>
      <c r="C392" s="273"/>
      <c r="D392" s="273"/>
      <c r="E392" s="273"/>
      <c r="F392" s="259"/>
      <c r="G392" s="260"/>
      <c r="H392" s="261"/>
      <c r="I392" s="263"/>
      <c r="J392" s="264"/>
      <c r="K392" s="265"/>
      <c r="L392" s="2077">
        <f>L389+L390-L391</f>
        <v>0</v>
      </c>
      <c r="M392" s="2078"/>
      <c r="N392" s="2079">
        <f>SUM(N389,N390,-N391)</f>
        <v>0</v>
      </c>
      <c r="O392" s="2078"/>
      <c r="P392" s="2079">
        <f>SUM(P389,P390,-P391)</f>
        <v>0</v>
      </c>
      <c r="Q392" s="2080"/>
      <c r="R392" s="2081">
        <f>SUM(R389,R390,-R391)</f>
        <v>0</v>
      </c>
      <c r="S392" s="2071"/>
      <c r="T392" s="2071">
        <f>SUM(T389,T390,-T391)</f>
        <v>0</v>
      </c>
      <c r="U392" s="2071"/>
      <c r="V392" s="2071">
        <f>SUM(V389,V390,-V391)</f>
        <v>0</v>
      </c>
      <c r="W392" s="2072"/>
      <c r="X392" s="2081">
        <f>SUM(X389,X390,-X391)</f>
        <v>0</v>
      </c>
      <c r="Y392" s="2071"/>
      <c r="Z392" s="2071">
        <f>SUM(Z389,Z390,-Z391)</f>
        <v>0</v>
      </c>
      <c r="AA392" s="2071"/>
      <c r="AB392" s="2071">
        <f>SUM(AB389,AB390,-AB391)</f>
        <v>0</v>
      </c>
      <c r="AC392" s="2072"/>
    </row>
    <row r="393" spans="1:29" ht="15.45">
      <c r="A393" s="288" t="s">
        <v>201</v>
      </c>
      <c r="B393" s="273"/>
      <c r="C393" s="273"/>
      <c r="D393" s="273"/>
      <c r="E393" s="273"/>
      <c r="F393" s="259"/>
      <c r="G393" s="260"/>
      <c r="H393" s="261"/>
      <c r="I393" s="263"/>
      <c r="J393" s="264"/>
      <c r="K393" s="265"/>
      <c r="L393" s="2073">
        <f>L375</f>
        <v>0</v>
      </c>
      <c r="M393" s="2074"/>
      <c r="N393" s="2075">
        <f>N375</f>
        <v>0</v>
      </c>
      <c r="O393" s="2074"/>
      <c r="P393" s="2075">
        <f>P375</f>
        <v>0</v>
      </c>
      <c r="Q393" s="2076"/>
      <c r="R393" s="2081">
        <f>R375</f>
        <v>0</v>
      </c>
      <c r="S393" s="2071"/>
      <c r="T393" s="2071">
        <f>T375</f>
        <v>0</v>
      </c>
      <c r="U393" s="2071"/>
      <c r="V393" s="2128">
        <f>V375</f>
        <v>0</v>
      </c>
      <c r="W393" s="2129"/>
      <c r="X393" s="2081">
        <f>X375</f>
        <v>0</v>
      </c>
      <c r="Y393" s="2071"/>
      <c r="Z393" s="2071">
        <f>Z375</f>
        <v>0</v>
      </c>
      <c r="AA393" s="2071"/>
      <c r="AB393" s="2128">
        <f>AB375</f>
        <v>0</v>
      </c>
      <c r="AC393" s="2129"/>
    </row>
    <row r="394" spans="1:29" ht="15.45">
      <c r="A394" s="288" t="s">
        <v>202</v>
      </c>
      <c r="B394" s="273"/>
      <c r="C394" s="273"/>
      <c r="D394" s="273"/>
      <c r="E394" s="273"/>
      <c r="F394" s="259"/>
      <c r="G394" s="260"/>
      <c r="H394" s="261"/>
      <c r="I394" s="263"/>
      <c r="J394" s="264"/>
      <c r="K394" s="265"/>
      <c r="L394" s="2077">
        <f>IF(P398="No",L376,L376+F390-F391+F397-F398)</f>
        <v>0</v>
      </c>
      <c r="M394" s="2078"/>
      <c r="N394" s="2079">
        <f>IF(P398="No",N376,N376+H390-H391+H397-H398)</f>
        <v>0</v>
      </c>
      <c r="O394" s="2078"/>
      <c r="P394" s="2079">
        <f>IF(P398="No",P376,P376+J390-J391+J397-J398)</f>
        <v>0</v>
      </c>
      <c r="Q394" s="2080"/>
      <c r="R394" s="2071">
        <f>IF(V398="Yes",R376+F390-F391+F397-F398,IF(P399="Yes",IF(R400=R388,R390-R391-V400,0),R376))</f>
        <v>0</v>
      </c>
      <c r="S394" s="2071"/>
      <c r="T394" s="2071">
        <f>IF(V398="Yes",T376+H390-H391+H397-H398,IF(R399="Yes",IF(R400=T388,T390-T391-V400,0),T376))</f>
        <v>0</v>
      </c>
      <c r="U394" s="2071"/>
      <c r="V394" s="2071">
        <f>IF(V398="Yes",V376+J390-J391+J397-J398,IF(T399="Yes",IF(R400=V388,V390-V391-V400,0),V376))</f>
        <v>0</v>
      </c>
      <c r="W394" s="2072"/>
      <c r="X394" s="2071">
        <f>IF(AB398="Yes",X376+F390-F391+F397-F398,IF(V399="Yes",IF(X400=X388,X390-X391-AB400,0),X376))</f>
        <v>0</v>
      </c>
      <c r="Y394" s="2071"/>
      <c r="Z394" s="2071">
        <f>IF(AB398="Yes",Z376+H390-H391+H397-H398,IF(X399="Yes",IF(X400=Z388,Z390-Z391-AB400,0),Z376))</f>
        <v>0</v>
      </c>
      <c r="AA394" s="2071"/>
      <c r="AB394" s="2071">
        <f>IF(AB398="Yes",AB376+J390-J391+J397-J398,IF(Z399="Yes",IF(X400=AB388,AB390-AB391-AB400,0),AB376))</f>
        <v>0</v>
      </c>
      <c r="AC394" s="2072"/>
    </row>
    <row r="395" spans="1:29" ht="15.45">
      <c r="A395" s="288" t="s">
        <v>203</v>
      </c>
      <c r="B395" s="273"/>
      <c r="C395" s="273"/>
      <c r="D395" s="273"/>
      <c r="E395" s="273"/>
      <c r="F395" s="2110"/>
      <c r="G395" s="2111"/>
      <c r="H395" s="2111"/>
      <c r="I395" s="2111"/>
      <c r="J395" s="2111"/>
      <c r="K395" s="2112"/>
      <c r="L395" s="2113">
        <f>IF(P398="No",0,IF(L392-L393-L394&lt;0,0,SUM(L392,-L393,-L394)))</f>
        <v>0</v>
      </c>
      <c r="M395" s="2114"/>
      <c r="N395" s="2113">
        <f>IF(P398="No",0,IF(N392-N393-N394&lt;0,0,SUM(N392,-N393,-N394)))</f>
        <v>0</v>
      </c>
      <c r="O395" s="2114"/>
      <c r="P395" s="2079">
        <f>IF(P398="No",0,IF(P392-P393-P394&lt;0,0,SUM(P392,-P393,-P394)))</f>
        <v>0</v>
      </c>
      <c r="Q395" s="2080"/>
      <c r="R395" s="2127">
        <f>IF(V398="No",0,IF(R392-R393-R394&lt;0,0,SUM(R392,-R393,-R394)))</f>
        <v>0</v>
      </c>
      <c r="S395" s="2114"/>
      <c r="T395" s="2113">
        <f>IF(V398="No",0,IF(T392-T393-T394&lt;0,0,SUM(T392,-T393,-T394)))</f>
        <v>0</v>
      </c>
      <c r="U395" s="2114"/>
      <c r="V395" s="2079">
        <f>IF(V398="No",0,IF(V392-V393-V394&lt;0,0,SUM(V392,-V393,-V394)))</f>
        <v>0</v>
      </c>
      <c r="W395" s="2080"/>
      <c r="X395" s="2113">
        <f>IF(AB398="No",0,IF(X392-X393-X394&lt;0,0,SUM(X392,-X393,-X394)))</f>
        <v>0</v>
      </c>
      <c r="Y395" s="2114"/>
      <c r="Z395" s="2113">
        <f>IF(AB398="No",0,IF(Z392-Z393-Z394&lt;0,0,SUM(Z392,-Z393,-Z394)))</f>
        <v>0</v>
      </c>
      <c r="AA395" s="2114"/>
      <c r="AB395" s="2079">
        <f>IF(AB398="No",0,IF(AB392-AB393-AB394&lt;0,0,SUM(AB392,-AB393,-AB394)))</f>
        <v>0</v>
      </c>
      <c r="AC395" s="2080"/>
    </row>
    <row r="396" spans="1:29" ht="15.45">
      <c r="A396" s="1177" t="s">
        <v>929</v>
      </c>
      <c r="B396" s="273"/>
      <c r="C396" s="273"/>
      <c r="D396" s="273"/>
      <c r="E396" s="1176"/>
      <c r="F396" s="1166"/>
      <c r="G396" s="1167"/>
      <c r="H396" s="1167"/>
      <c r="I396" s="1167"/>
      <c r="J396" s="1167"/>
      <c r="K396" s="1168"/>
      <c r="L396" s="2131">
        <f>IF(P398="No",0,IF((L392-L393-L394)&lt;0,(L392-L393-L394)*-1,0))</f>
        <v>0</v>
      </c>
      <c r="M396" s="2131"/>
      <c r="N396" s="2131">
        <f>IF(R398="No",0,IF((N392-N393-N394)&lt;0,(N392-N393-N394)*-1,0))</f>
        <v>0</v>
      </c>
      <c r="O396" s="2131"/>
      <c r="P396" s="2131">
        <f>IF(T398="No",0,IF((P392-P393-P394)&lt;0,(P392-P393-P394)*-1,0))</f>
        <v>0</v>
      </c>
      <c r="Q396" s="2132"/>
      <c r="R396" s="2078">
        <f>IF(V398="No",0,IF((R392-R393-R394)&lt;0,(R392-R393-R394)*-1,0))</f>
        <v>0</v>
      </c>
      <c r="S396" s="2131"/>
      <c r="T396" s="2131">
        <f>IF(V398="No",0,IF((T392-T393-T394)&lt;0,(T392-T393-T394)*-1,0))</f>
        <v>0</v>
      </c>
      <c r="U396" s="2131"/>
      <c r="V396" s="2131">
        <f>IF(V398="No",0,IF((V392-V393-V394)&lt;0,(V392-V393-V394)*-1,0))</f>
        <v>0</v>
      </c>
      <c r="W396" s="2132"/>
      <c r="X396" s="2134">
        <f>IF(AB398="No",0,IF((X392-X393-X394)&lt;0,(X392-X393-X394)*-1,0))</f>
        <v>0</v>
      </c>
      <c r="Y396" s="2131"/>
      <c r="Z396" s="2131">
        <f>IF(AB398="No",0,IF((Z392-Z393-Z394)&lt;0,(Z392-Z393-Z394)*-1,0))</f>
        <v>0</v>
      </c>
      <c r="AA396" s="2131"/>
      <c r="AB396" s="2131">
        <f>IF(AB398="No",0,IF((AB392-AB393-AB394)&lt;0,(AB392-AB393-AB394)*-1,0))</f>
        <v>0</v>
      </c>
      <c r="AC396" s="2132"/>
    </row>
    <row r="397" spans="1:29" ht="16.100000000000001" thickBot="1">
      <c r="A397" s="505" t="s">
        <v>991</v>
      </c>
      <c r="B397" s="506"/>
      <c r="C397" s="506"/>
      <c r="D397" s="506"/>
      <c r="E397" s="291"/>
      <c r="F397" s="2073">
        <v>0</v>
      </c>
      <c r="G397" s="2074"/>
      <c r="H397" s="2075">
        <v>0</v>
      </c>
      <c r="I397" s="2074"/>
      <c r="J397" s="2101">
        <v>0</v>
      </c>
      <c r="K397" s="2102"/>
      <c r="L397" s="292"/>
      <c r="M397" s="293"/>
      <c r="N397" s="292"/>
      <c r="O397" s="293"/>
      <c r="P397" s="294"/>
      <c r="Q397" s="295"/>
      <c r="R397" s="296"/>
      <c r="S397" s="293"/>
      <c r="T397" s="292"/>
      <c r="U397" s="293"/>
      <c r="V397" s="292"/>
      <c r="W397" s="297"/>
      <c r="X397" s="296"/>
      <c r="Y397" s="293"/>
      <c r="Z397" s="292"/>
      <c r="AA397" s="293"/>
      <c r="AB397" s="292"/>
      <c r="AC397" s="297"/>
    </row>
    <row r="398" spans="1:29" ht="16.100000000000001" thickBot="1">
      <c r="A398" s="290" t="s">
        <v>992</v>
      </c>
      <c r="B398" s="21"/>
      <c r="C398" s="21"/>
      <c r="D398" s="21"/>
      <c r="F398" s="2096">
        <v>0</v>
      </c>
      <c r="G398" s="2097"/>
      <c r="H398" s="2098">
        <v>0</v>
      </c>
      <c r="I398" s="2097"/>
      <c r="J398" s="2103">
        <v>0</v>
      </c>
      <c r="K398" s="2104"/>
      <c r="L398" s="2093" t="s">
        <v>417</v>
      </c>
      <c r="M398" s="2094"/>
      <c r="N398" s="2094"/>
      <c r="O398" s="2095"/>
      <c r="P398" s="2106" t="str">
        <f>P380</f>
        <v>Yes</v>
      </c>
      <c r="Q398" s="2107"/>
      <c r="R398" s="2093" t="s">
        <v>417</v>
      </c>
      <c r="S398" s="2094"/>
      <c r="T398" s="2094"/>
      <c r="U398" s="2095"/>
      <c r="V398" s="2106" t="str">
        <f>V380</f>
        <v>No</v>
      </c>
      <c r="W398" s="2107"/>
      <c r="X398" s="2093" t="s">
        <v>417</v>
      </c>
      <c r="Y398" s="2094"/>
      <c r="Z398" s="2094"/>
      <c r="AA398" s="2095"/>
      <c r="AB398" s="2106" t="str">
        <f>AB380</f>
        <v>No</v>
      </c>
      <c r="AC398" s="2107"/>
    </row>
    <row r="399" spans="1:29" ht="13.75" thickBot="1">
      <c r="L399" s="2093" t="s">
        <v>419</v>
      </c>
      <c r="M399" s="2094"/>
      <c r="N399" s="2094"/>
      <c r="O399" s="2094"/>
      <c r="P399" s="2094"/>
      <c r="Q399" s="2095"/>
      <c r="R399" s="2106" t="str">
        <f>R381</f>
        <v>No</v>
      </c>
      <c r="S399" s="2107"/>
      <c r="T399" s="2093" t="s">
        <v>420</v>
      </c>
      <c r="U399" s="2095"/>
      <c r="V399" s="2121">
        <v>0</v>
      </c>
      <c r="W399" s="2122"/>
    </row>
    <row r="400" spans="1:29" ht="13.5" thickBot="1">
      <c r="L400" s="2093" t="s">
        <v>421</v>
      </c>
      <c r="M400" s="2094"/>
      <c r="N400" s="2094"/>
      <c r="O400" s="2094"/>
      <c r="P400" s="2094"/>
      <c r="Q400" s="2095"/>
      <c r="R400" s="2119">
        <v>0</v>
      </c>
      <c r="S400" s="2120"/>
      <c r="T400" s="2123" t="s">
        <v>422</v>
      </c>
      <c r="U400" s="2124"/>
      <c r="V400" s="2125">
        <v>0</v>
      </c>
      <c r="W400" s="2126"/>
    </row>
    <row r="401" spans="1:29" ht="13.75" thickBot="1">
      <c r="L401" s="2093" t="s">
        <v>921</v>
      </c>
      <c r="M401" s="2094"/>
      <c r="N401" s="2094"/>
      <c r="O401" s="2094"/>
      <c r="P401" s="2094"/>
      <c r="Q401" s="2095"/>
      <c r="R401" s="2106" t="str">
        <f>R383</f>
        <v>No</v>
      </c>
      <c r="S401" s="2107"/>
      <c r="T401" s="2093" t="s">
        <v>420</v>
      </c>
      <c r="U401" s="2095"/>
      <c r="V401" s="2121">
        <v>0</v>
      </c>
      <c r="W401" s="2122"/>
    </row>
    <row r="402" spans="1:29" ht="13.5" thickBot="1">
      <c r="L402" s="2093" t="s">
        <v>421</v>
      </c>
      <c r="M402" s="2094"/>
      <c r="N402" s="2094"/>
      <c r="O402" s="2094"/>
      <c r="P402" s="2094"/>
      <c r="Q402" s="2095"/>
      <c r="R402" s="2119">
        <v>0</v>
      </c>
      <c r="S402" s="2120"/>
      <c r="T402" s="2123" t="s">
        <v>422</v>
      </c>
      <c r="U402" s="2124"/>
      <c r="V402" s="2125">
        <v>0</v>
      </c>
      <c r="W402" s="2126"/>
    </row>
    <row r="403" spans="1:29" ht="13.1">
      <c r="A403" s="1644" t="s">
        <v>221</v>
      </c>
      <c r="B403" s="1644"/>
      <c r="C403" s="2130">
        <f>'Cost Control'!G161</f>
        <v>22</v>
      </c>
      <c r="D403" s="2130"/>
      <c r="E403" s="2130"/>
      <c r="F403" s="2130"/>
      <c r="G403" s="2130"/>
      <c r="H403" s="2130"/>
      <c r="I403" s="2130"/>
      <c r="L403" t="str">
        <f>IF(SUM(L395:Q395)=0," ","LTR SUMMARY:")</f>
        <v xml:space="preserve"> </v>
      </c>
      <c r="O403" s="1422">
        <f>SUM(L395:Q395)</f>
        <v>0</v>
      </c>
      <c r="P403" t="str">
        <f>IF(O403=0," ","m³")</f>
        <v xml:space="preserve"> </v>
      </c>
      <c r="R403" t="str">
        <f>IF(SUM(R395:W395)=0," ","LTR SUMMARY:")</f>
        <v xml:space="preserve"> </v>
      </c>
      <c r="U403" s="1422">
        <f>SUM(R395:W395)</f>
        <v>0</v>
      </c>
      <c r="V403" t="str">
        <f>IF(U403=0," ","m³")</f>
        <v xml:space="preserve"> </v>
      </c>
      <c r="X403" t="str">
        <f>IF(SUM(X395:AC395)=0," ","LTR SUMMARY:")</f>
        <v xml:space="preserve"> </v>
      </c>
      <c r="AA403" s="1422">
        <f>SUM(X395:AC395)</f>
        <v>0</v>
      </c>
      <c r="AB403" t="str">
        <f>IF(AA403=0," ","m³")</f>
        <v xml:space="preserve"> </v>
      </c>
    </row>
    <row r="404" spans="1:29" ht="13.5" thickBot="1"/>
    <row r="405" spans="1:29" ht="14.8" thickTop="1">
      <c r="A405" s="274" t="s">
        <v>190</v>
      </c>
      <c r="B405" s="275"/>
      <c r="C405" s="275"/>
      <c r="D405" s="275"/>
      <c r="E405" s="276"/>
      <c r="F405" s="277"/>
      <c r="G405" s="278"/>
      <c r="H405" s="271" t="s">
        <v>191</v>
      </c>
      <c r="I405" s="279"/>
      <c r="J405" s="279"/>
      <c r="K405" s="280"/>
      <c r="L405" s="279" t="str">
        <f>L387</f>
        <v xml:space="preserve">    Cum. to Date </v>
      </c>
      <c r="M405" s="281"/>
      <c r="N405" s="279"/>
      <c r="O405" s="334">
        <f>O387</f>
        <v>0</v>
      </c>
      <c r="P405" s="271"/>
      <c r="Q405" s="282"/>
      <c r="R405" s="283" t="str">
        <f>R387</f>
        <v xml:space="preserve">Cum. to Date </v>
      </c>
      <c r="S405" s="281"/>
      <c r="T405" s="279"/>
      <c r="U405" s="334">
        <f>U387</f>
        <v>0</v>
      </c>
      <c r="V405" s="284"/>
      <c r="W405" s="272"/>
      <c r="X405" s="283" t="str">
        <f>X387</f>
        <v xml:space="preserve">Cum. to Date </v>
      </c>
      <c r="Y405" s="281"/>
      <c r="Z405" s="279"/>
      <c r="AA405" s="334">
        <f>AA387</f>
        <v>0</v>
      </c>
      <c r="AB405" s="284"/>
      <c r="AC405" s="272"/>
    </row>
    <row r="406" spans="1:29" ht="14.8" thickBot="1">
      <c r="A406" s="285" t="s">
        <v>192</v>
      </c>
      <c r="B406" s="286"/>
      <c r="C406" s="286"/>
      <c r="D406" s="286"/>
      <c r="E406" s="287"/>
      <c r="F406" s="2067" t="s">
        <v>193</v>
      </c>
      <c r="G406" s="2068"/>
      <c r="H406" s="2069" t="s">
        <v>194</v>
      </c>
      <c r="I406" s="2070"/>
      <c r="J406" s="2069" t="str">
        <f>J388</f>
        <v>Other (1)</v>
      </c>
      <c r="K406" s="2091"/>
      <c r="L406" s="2092" t="s">
        <v>195</v>
      </c>
      <c r="M406" s="2070"/>
      <c r="N406" s="2069" t="s">
        <v>196</v>
      </c>
      <c r="O406" s="2070"/>
      <c r="P406" s="2069" t="str">
        <f>IF(P416="Yes",J406," ")</f>
        <v>Other (1)</v>
      </c>
      <c r="Q406" s="2091"/>
      <c r="R406" s="2092" t="str">
        <f>R388</f>
        <v>Water</v>
      </c>
      <c r="S406" s="2070"/>
      <c r="T406" s="2069" t="str">
        <f>T388</f>
        <v>Oil</v>
      </c>
      <c r="U406" s="2070"/>
      <c r="V406" s="2082" t="str">
        <f>IF(V416="Yes",J406," ")</f>
        <v xml:space="preserve"> </v>
      </c>
      <c r="W406" s="2083"/>
      <c r="X406" s="2092" t="str">
        <f>X388</f>
        <v>Water</v>
      </c>
      <c r="Y406" s="2070"/>
      <c r="Z406" s="2069" t="str">
        <f>Z388</f>
        <v>Oil</v>
      </c>
      <c r="AA406" s="2070"/>
      <c r="AB406" s="2082" t="str">
        <f>IF(AB416="Yes",J406," ")</f>
        <v xml:space="preserve"> </v>
      </c>
      <c r="AC406" s="2083"/>
    </row>
    <row r="407" spans="1:29" ht="16.100000000000001" thickTop="1">
      <c r="A407" s="288" t="s">
        <v>197</v>
      </c>
      <c r="B407" s="289"/>
      <c r="C407" s="289"/>
      <c r="D407" s="289"/>
      <c r="E407" s="289"/>
      <c r="F407" s="259"/>
      <c r="G407" s="260"/>
      <c r="H407" s="261"/>
      <c r="I407" s="260"/>
      <c r="J407" s="261"/>
      <c r="K407" s="262"/>
      <c r="L407" s="2084">
        <f>L389</f>
        <v>0</v>
      </c>
      <c r="M407" s="2084"/>
      <c r="N407" s="2085">
        <f>N389</f>
        <v>0</v>
      </c>
      <c r="O407" s="2086"/>
      <c r="P407" s="2085">
        <f>P389</f>
        <v>0</v>
      </c>
      <c r="Q407" s="2087"/>
      <c r="R407" s="2115">
        <f>R389</f>
        <v>0</v>
      </c>
      <c r="S407" s="2116"/>
      <c r="T407" s="2117">
        <f>T389</f>
        <v>0</v>
      </c>
      <c r="U407" s="2116"/>
      <c r="V407" s="2117">
        <f>V389</f>
        <v>0</v>
      </c>
      <c r="W407" s="2118"/>
      <c r="X407" s="2115">
        <f>X389</f>
        <v>0</v>
      </c>
      <c r="Y407" s="2116"/>
      <c r="Z407" s="2117">
        <f>Z389</f>
        <v>0</v>
      </c>
      <c r="AA407" s="2116"/>
      <c r="AB407" s="2117">
        <f>AB389</f>
        <v>0</v>
      </c>
      <c r="AC407" s="2118"/>
    </row>
    <row r="408" spans="1:29" ht="15.45">
      <c r="A408" s="288" t="s">
        <v>198</v>
      </c>
      <c r="B408" s="273"/>
      <c r="C408" s="273"/>
      <c r="D408" s="273"/>
      <c r="E408" s="273"/>
      <c r="F408" s="2073">
        <v>0</v>
      </c>
      <c r="G408" s="2074"/>
      <c r="H408" s="2075">
        <v>0</v>
      </c>
      <c r="I408" s="2074"/>
      <c r="J408" s="2075">
        <v>0</v>
      </c>
      <c r="K408" s="2076"/>
      <c r="L408" s="2077">
        <f>IF(P416="No",L390,F408+L390)</f>
        <v>0</v>
      </c>
      <c r="M408" s="2078"/>
      <c r="N408" s="2079">
        <f>IF(P416="No",N390,H408+N390)</f>
        <v>0</v>
      </c>
      <c r="O408" s="2078"/>
      <c r="P408" s="2079">
        <f>IF(P416="No",P390,J408+P390)</f>
        <v>0</v>
      </c>
      <c r="Q408" s="2080"/>
      <c r="R408" s="2081">
        <f>IF(V416="Yes",F408+R390,IF(R418="Water",IF(R417="Yes",V417,0),R390))</f>
        <v>0</v>
      </c>
      <c r="S408" s="2071"/>
      <c r="T408" s="2071">
        <f>IF(V416="Yes",H408+T390,IF(T418="Oil",IF(R417="Yes",V417,0),T390))</f>
        <v>0</v>
      </c>
      <c r="U408" s="2071"/>
      <c r="V408" s="2071">
        <f>IF(V416="Yes",J408+V390,IF(V418=V406,IF(R417="Yes",V417,0),V390))</f>
        <v>0</v>
      </c>
      <c r="W408" s="2072"/>
      <c r="X408" s="2081">
        <f>IF(AB416="Yes",F408+X390,IF(X418="Water",IF(X417="Yes",AB417,0),X390))</f>
        <v>0</v>
      </c>
      <c r="Y408" s="2071"/>
      <c r="Z408" s="2071">
        <f>IF(AB416="Yes",H408+Z390,IF(Z418=Z406,IF(X417="Yes",AB417,0),Z390))</f>
        <v>0</v>
      </c>
      <c r="AA408" s="2071"/>
      <c r="AB408" s="2071">
        <f>IF(AB416="Yes",J408+AB390,IF(AB418=AB406,IF(X417="Yes",AB417,0),AB390))</f>
        <v>0</v>
      </c>
      <c r="AC408" s="2072"/>
    </row>
    <row r="409" spans="1:29" ht="15.45">
      <c r="A409" s="288" t="s">
        <v>199</v>
      </c>
      <c r="B409" s="273"/>
      <c r="C409" s="273"/>
      <c r="D409" s="273"/>
      <c r="E409" s="273"/>
      <c r="F409" s="2073">
        <v>0</v>
      </c>
      <c r="G409" s="2074"/>
      <c r="H409" s="2075">
        <v>0</v>
      </c>
      <c r="I409" s="2074"/>
      <c r="J409" s="2075">
        <v>0</v>
      </c>
      <c r="K409" s="2076"/>
      <c r="L409" s="2077">
        <f>IF(P416="No",L391,F409+L391)</f>
        <v>0</v>
      </c>
      <c r="M409" s="2078"/>
      <c r="N409" s="2079">
        <f>IF(P416="No",N391,H409+N391)</f>
        <v>0</v>
      </c>
      <c r="O409" s="2078"/>
      <c r="P409" s="2079">
        <f>IF(P416="No",P391,J409+P391)</f>
        <v>0</v>
      </c>
      <c r="Q409" s="2080"/>
      <c r="R409" s="2081">
        <f>IF(V416="Yes",R391+F409,R391)</f>
        <v>0</v>
      </c>
      <c r="S409" s="2071"/>
      <c r="T409" s="2071">
        <f>IF(V416="Yes",T391+H409,T391)</f>
        <v>0</v>
      </c>
      <c r="U409" s="2071"/>
      <c r="V409" s="2071">
        <f>IF(V416="Yes",V391+J409,V391)</f>
        <v>0</v>
      </c>
      <c r="W409" s="2072"/>
      <c r="X409" s="2081">
        <f>IF(AB416="Yes",X391+F409,X391)</f>
        <v>0</v>
      </c>
      <c r="Y409" s="2071"/>
      <c r="Z409" s="2071">
        <f>IF(AB416="Yes",Z391+H409,Z391)</f>
        <v>0</v>
      </c>
      <c r="AA409" s="2071"/>
      <c r="AB409" s="2071">
        <f>IF(AB416="Yes",AB391+J409,AB391)</f>
        <v>0</v>
      </c>
      <c r="AC409" s="2072"/>
    </row>
    <row r="410" spans="1:29" ht="15.45">
      <c r="A410" s="288" t="s">
        <v>200</v>
      </c>
      <c r="B410" s="273"/>
      <c r="C410" s="273"/>
      <c r="D410" s="273"/>
      <c r="E410" s="273"/>
      <c r="F410" s="259"/>
      <c r="G410" s="260"/>
      <c r="H410" s="261"/>
      <c r="I410" s="263"/>
      <c r="J410" s="264"/>
      <c r="K410" s="265"/>
      <c r="L410" s="2077">
        <f>L407+L408-L409</f>
        <v>0</v>
      </c>
      <c r="M410" s="2078"/>
      <c r="N410" s="2079">
        <f>SUM(N407,N408,-N409)</f>
        <v>0</v>
      </c>
      <c r="O410" s="2078"/>
      <c r="P410" s="2079">
        <f>SUM(P407,P408,-P409)</f>
        <v>0</v>
      </c>
      <c r="Q410" s="2080"/>
      <c r="R410" s="2081">
        <f>SUM(R407,R408,-R409)</f>
        <v>0</v>
      </c>
      <c r="S410" s="2071"/>
      <c r="T410" s="2071">
        <f>SUM(T407,T408,-T409)</f>
        <v>0</v>
      </c>
      <c r="U410" s="2071"/>
      <c r="V410" s="2071">
        <f>SUM(V407,V408,-V409)</f>
        <v>0</v>
      </c>
      <c r="W410" s="2072"/>
      <c r="X410" s="2081">
        <f>SUM(X407,X408,-X409)</f>
        <v>0</v>
      </c>
      <c r="Y410" s="2071"/>
      <c r="Z410" s="2071">
        <f>SUM(Z407,Z408,-Z409)</f>
        <v>0</v>
      </c>
      <c r="AA410" s="2071"/>
      <c r="AB410" s="2071">
        <f>SUM(AB407,AB408,-AB409)</f>
        <v>0</v>
      </c>
      <c r="AC410" s="2072"/>
    </row>
    <row r="411" spans="1:29" ht="15.45">
      <c r="A411" s="288" t="s">
        <v>201</v>
      </c>
      <c r="B411" s="273"/>
      <c r="C411" s="273"/>
      <c r="D411" s="273"/>
      <c r="E411" s="273"/>
      <c r="F411" s="259"/>
      <c r="G411" s="260"/>
      <c r="H411" s="261"/>
      <c r="I411" s="263"/>
      <c r="J411" s="264"/>
      <c r="K411" s="265"/>
      <c r="L411" s="2073">
        <f>L393</f>
        <v>0</v>
      </c>
      <c r="M411" s="2074"/>
      <c r="N411" s="2075">
        <f>N393</f>
        <v>0</v>
      </c>
      <c r="O411" s="2074"/>
      <c r="P411" s="2075">
        <f>P393</f>
        <v>0</v>
      </c>
      <c r="Q411" s="2076"/>
      <c r="R411" s="2081">
        <f>R393</f>
        <v>0</v>
      </c>
      <c r="S411" s="2071"/>
      <c r="T411" s="2071">
        <f>T393</f>
        <v>0</v>
      </c>
      <c r="U411" s="2071"/>
      <c r="V411" s="2128">
        <f>V393</f>
        <v>0</v>
      </c>
      <c r="W411" s="2129"/>
      <c r="X411" s="2081">
        <f>X393</f>
        <v>0</v>
      </c>
      <c r="Y411" s="2071"/>
      <c r="Z411" s="2071">
        <f>Z393</f>
        <v>0</v>
      </c>
      <c r="AA411" s="2071"/>
      <c r="AB411" s="2128">
        <f>AB393</f>
        <v>0</v>
      </c>
      <c r="AC411" s="2129"/>
    </row>
    <row r="412" spans="1:29" ht="15.45">
      <c r="A412" s="288" t="s">
        <v>202</v>
      </c>
      <c r="B412" s="273"/>
      <c r="C412" s="273"/>
      <c r="D412" s="273"/>
      <c r="E412" s="273"/>
      <c r="F412" s="259"/>
      <c r="G412" s="260"/>
      <c r="H412" s="261"/>
      <c r="I412" s="263"/>
      <c r="J412" s="264"/>
      <c r="K412" s="265"/>
      <c r="L412" s="2077">
        <f>IF(P416="No",L394,L394+F408-F409+F415-F416)</f>
        <v>0</v>
      </c>
      <c r="M412" s="2078"/>
      <c r="N412" s="2079">
        <f>IF(P416="No",N394,N394+H408-H409+H415-H416)</f>
        <v>0</v>
      </c>
      <c r="O412" s="2078"/>
      <c r="P412" s="2079">
        <f>IF(P416="No",P394,P394+J408-J409+J415-J416)</f>
        <v>0</v>
      </c>
      <c r="Q412" s="2080"/>
      <c r="R412" s="2071">
        <f>IF(V416="Yes",R394+F408-F409+F415-F416,IF(P417="Yes",IF(R418=R406,R408-R409-V418,0),R394))</f>
        <v>0</v>
      </c>
      <c r="S412" s="2071"/>
      <c r="T412" s="2071">
        <f>IF(V416="Yes",T394+H408-H409+H415-H416,IF(R417="Yes",IF(R418=T406,T408-T409-V418,0),T394))</f>
        <v>0</v>
      </c>
      <c r="U412" s="2071"/>
      <c r="V412" s="2071">
        <f>IF(V416="Yes",V394+J408-J409+J415-J416,IF(T417="Yes",IF(R418=V406,V408-V409-V418,0),V394))</f>
        <v>0</v>
      </c>
      <c r="W412" s="2072"/>
      <c r="X412" s="2071">
        <f>IF(AB416="Yes",X394+F408-F409+F415-F416,IF(V417="Yes",IF(X418=X406,X408-X409-AB418,0),X394))</f>
        <v>0</v>
      </c>
      <c r="Y412" s="2071"/>
      <c r="Z412" s="2071">
        <f>IF(AB416="Yes",Z394+H408-H409+H415-H416,IF(X417="Yes",IF(X418=Z406,Z408-Z409-AB418,0),Z394))</f>
        <v>0</v>
      </c>
      <c r="AA412" s="2071"/>
      <c r="AB412" s="2071">
        <f>IF(AB416="Yes",AB394+J408-J409+J415-J416,IF(Z417="Yes",IF(X418=AB406,AB408-AB409-AB418,0),AB394))</f>
        <v>0</v>
      </c>
      <c r="AC412" s="2072"/>
    </row>
    <row r="413" spans="1:29" ht="15.45">
      <c r="A413" s="288" t="s">
        <v>203</v>
      </c>
      <c r="B413" s="273"/>
      <c r="C413" s="273"/>
      <c r="D413" s="273"/>
      <c r="E413" s="273"/>
      <c r="F413" s="2110"/>
      <c r="G413" s="2111"/>
      <c r="H413" s="2111"/>
      <c r="I413" s="2111"/>
      <c r="J413" s="2111"/>
      <c r="K413" s="2112"/>
      <c r="L413" s="2113">
        <f>IF(P416="No",0,IF(L410-L411-L412&lt;0,0,SUM(L410,-L411,-L412)))</f>
        <v>0</v>
      </c>
      <c r="M413" s="2114"/>
      <c r="N413" s="2113">
        <f>IF(P416="No",0,IF(N410-N411-N412&lt;0,0,SUM(N410,-N411,-N412)))</f>
        <v>0</v>
      </c>
      <c r="O413" s="2114"/>
      <c r="P413" s="2079">
        <f>IF(P416="No",0,IF(P410-P411-P412&lt;0,0,SUM(P410,-P411,-P412)))</f>
        <v>0</v>
      </c>
      <c r="Q413" s="2080"/>
      <c r="R413" s="2127">
        <f>IF(V416="No",0,IF(R410-R411-R412&lt;0,0,SUM(R410,-R411,-R412)))</f>
        <v>0</v>
      </c>
      <c r="S413" s="2114"/>
      <c r="T413" s="2113">
        <f>IF(V416="No",0,IF(T410-T411-T412&lt;0,0,SUM(T410,-T411,-T412)))</f>
        <v>0</v>
      </c>
      <c r="U413" s="2114"/>
      <c r="V413" s="2079">
        <f>IF(V416="No",0,IF(V410-V411-V412&lt;0,0,SUM(V410,-V411,-V412)))</f>
        <v>0</v>
      </c>
      <c r="W413" s="2080"/>
      <c r="X413" s="2113">
        <f>IF(AB416="No",0,IF(X410-X411-X412&lt;0,0,SUM(X410,-X411,-X412)))</f>
        <v>0</v>
      </c>
      <c r="Y413" s="2114"/>
      <c r="Z413" s="2113">
        <f>IF(AB416="No",0,IF(Z410-Z411-Z412&lt;0,0,SUM(Z410,-Z411,-Z412)))</f>
        <v>0</v>
      </c>
      <c r="AA413" s="2114"/>
      <c r="AB413" s="2079">
        <f>IF(AB416="No",0,IF(AB410-AB411-AB412&lt;0,0,SUM(AB410,-AB411,-AB412)))</f>
        <v>0</v>
      </c>
      <c r="AC413" s="2080"/>
    </row>
    <row r="414" spans="1:29" ht="15.45">
      <c r="A414" s="1177" t="s">
        <v>929</v>
      </c>
      <c r="B414" s="273"/>
      <c r="C414" s="273"/>
      <c r="D414" s="273"/>
      <c r="E414" s="1176"/>
      <c r="F414" s="1166"/>
      <c r="G414" s="1167"/>
      <c r="H414" s="1167"/>
      <c r="I414" s="1167"/>
      <c r="J414" s="1167"/>
      <c r="K414" s="1168"/>
      <c r="L414" s="2131">
        <f>IF(P416="No",0,IF((L410-L411-L412)&lt;0,(L410-L411-L412)*-1,0))</f>
        <v>0</v>
      </c>
      <c r="M414" s="2131"/>
      <c r="N414" s="2131">
        <f>IF(R416="No",0,IF((N410-N411-N412)&lt;0,(N410-N411-N412)*-1,0))</f>
        <v>0</v>
      </c>
      <c r="O414" s="2131"/>
      <c r="P414" s="2131">
        <f>IF(T416="No",0,IF((P410-P411-P412)&lt;0,(P410-P411-P412)*-1,0))</f>
        <v>0</v>
      </c>
      <c r="Q414" s="2132"/>
      <c r="R414" s="2078">
        <f>IF(V416="No",0,IF((R410-R411-R412)&lt;0,(R410-R411-R412)*-1,0))</f>
        <v>0</v>
      </c>
      <c r="S414" s="2131"/>
      <c r="T414" s="2131">
        <f>IF(V416="No",0,IF((T410-T411-T412)&lt;0,(T410-T411-T412)*-1,0))</f>
        <v>0</v>
      </c>
      <c r="U414" s="2131"/>
      <c r="V414" s="2131">
        <f>IF(V416="No",0,IF((V410-V411-V412)&lt;0,(V410-V411-V412)*-1,0))</f>
        <v>0</v>
      </c>
      <c r="W414" s="2132"/>
      <c r="X414" s="2134">
        <f>IF(AB416="No",0,IF((X410-X411-X412)&lt;0,(X410-X411-X412)*-1,0))</f>
        <v>0</v>
      </c>
      <c r="Y414" s="2131"/>
      <c r="Z414" s="2131">
        <f>IF(AB416="No",0,IF((Z410-Z411-Z412)&lt;0,(Z410-Z411-Z412)*-1,0))</f>
        <v>0</v>
      </c>
      <c r="AA414" s="2131"/>
      <c r="AB414" s="2131">
        <f>IF(AB416="No",0,IF((AB410-AB411-AB412)&lt;0,(AB410-AB411-AB412)*-1,0))</f>
        <v>0</v>
      </c>
      <c r="AC414" s="2132"/>
    </row>
    <row r="415" spans="1:29" ht="16.100000000000001" thickBot="1">
      <c r="A415" s="505" t="s">
        <v>991</v>
      </c>
      <c r="B415" s="506"/>
      <c r="C415" s="506"/>
      <c r="D415" s="506"/>
      <c r="E415" s="291"/>
      <c r="F415" s="2073">
        <v>0</v>
      </c>
      <c r="G415" s="2074"/>
      <c r="H415" s="2075">
        <v>0</v>
      </c>
      <c r="I415" s="2074"/>
      <c r="J415" s="2101">
        <v>0</v>
      </c>
      <c r="K415" s="2102"/>
      <c r="L415" s="292"/>
      <c r="M415" s="293"/>
      <c r="N415" s="292"/>
      <c r="O415" s="293"/>
      <c r="P415" s="294"/>
      <c r="Q415" s="295"/>
      <c r="R415" s="296"/>
      <c r="S415" s="293"/>
      <c r="T415" s="292"/>
      <c r="U415" s="293"/>
      <c r="V415" s="292"/>
      <c r="W415" s="297"/>
      <c r="X415" s="296"/>
      <c r="Y415" s="293"/>
      <c r="Z415" s="292"/>
      <c r="AA415" s="293"/>
      <c r="AB415" s="292"/>
      <c r="AC415" s="297"/>
    </row>
    <row r="416" spans="1:29" ht="16.100000000000001" thickBot="1">
      <c r="A416" s="290" t="s">
        <v>992</v>
      </c>
      <c r="B416" s="21"/>
      <c r="C416" s="21"/>
      <c r="D416" s="21"/>
      <c r="F416" s="2096">
        <v>0</v>
      </c>
      <c r="G416" s="2097"/>
      <c r="H416" s="2098">
        <v>0</v>
      </c>
      <c r="I416" s="2097"/>
      <c r="J416" s="2103">
        <v>0</v>
      </c>
      <c r="K416" s="2104"/>
      <c r="L416" s="2093" t="s">
        <v>417</v>
      </c>
      <c r="M416" s="2094"/>
      <c r="N416" s="2094"/>
      <c r="O416" s="2095"/>
      <c r="P416" s="2106" t="str">
        <f>P398</f>
        <v>Yes</v>
      </c>
      <c r="Q416" s="2107"/>
      <c r="R416" s="2093" t="s">
        <v>417</v>
      </c>
      <c r="S416" s="2094"/>
      <c r="T416" s="2094"/>
      <c r="U416" s="2095"/>
      <c r="V416" s="2106" t="str">
        <f>V398</f>
        <v>No</v>
      </c>
      <c r="W416" s="2107"/>
      <c r="X416" s="2093" t="s">
        <v>417</v>
      </c>
      <c r="Y416" s="2094"/>
      <c r="Z416" s="2094"/>
      <c r="AA416" s="2095"/>
      <c r="AB416" s="2106" t="str">
        <f>AB398</f>
        <v>No</v>
      </c>
      <c r="AC416" s="2107"/>
    </row>
    <row r="417" spans="1:29" ht="13.75" thickBot="1">
      <c r="L417" s="2093" t="s">
        <v>419</v>
      </c>
      <c r="M417" s="2094"/>
      <c r="N417" s="2094"/>
      <c r="O417" s="2094"/>
      <c r="P417" s="2094"/>
      <c r="Q417" s="2095"/>
      <c r="R417" s="2106" t="str">
        <f>R399</f>
        <v>No</v>
      </c>
      <c r="S417" s="2107"/>
      <c r="T417" s="2093" t="s">
        <v>420</v>
      </c>
      <c r="U417" s="2095"/>
      <c r="V417" s="2121">
        <v>0</v>
      </c>
      <c r="W417" s="2122"/>
    </row>
    <row r="418" spans="1:29" ht="13.5" thickBot="1">
      <c r="L418" s="2093" t="s">
        <v>421</v>
      </c>
      <c r="M418" s="2094"/>
      <c r="N418" s="2094"/>
      <c r="O418" s="2094"/>
      <c r="P418" s="2094"/>
      <c r="Q418" s="2095"/>
      <c r="R418" s="2119">
        <v>0</v>
      </c>
      <c r="S418" s="2120"/>
      <c r="T418" s="2123" t="s">
        <v>422</v>
      </c>
      <c r="U418" s="2124"/>
      <c r="V418" s="2125">
        <v>0</v>
      </c>
      <c r="W418" s="2126"/>
    </row>
    <row r="419" spans="1:29" ht="13.75" thickBot="1">
      <c r="L419" s="2093" t="s">
        <v>921</v>
      </c>
      <c r="M419" s="2094"/>
      <c r="N419" s="2094"/>
      <c r="O419" s="2094"/>
      <c r="P419" s="2094"/>
      <c r="Q419" s="2095"/>
      <c r="R419" s="2106" t="str">
        <f>R401</f>
        <v>No</v>
      </c>
      <c r="S419" s="2107"/>
      <c r="T419" s="2093" t="s">
        <v>420</v>
      </c>
      <c r="U419" s="2095"/>
      <c r="V419" s="2121">
        <v>0</v>
      </c>
      <c r="W419" s="2122"/>
    </row>
    <row r="420" spans="1:29" ht="13.5" thickBot="1">
      <c r="L420" s="2093" t="s">
        <v>421</v>
      </c>
      <c r="M420" s="2094"/>
      <c r="N420" s="2094"/>
      <c r="O420" s="2094"/>
      <c r="P420" s="2094"/>
      <c r="Q420" s="2095"/>
      <c r="R420" s="2119">
        <v>0</v>
      </c>
      <c r="S420" s="2120"/>
      <c r="T420" s="2123" t="s">
        <v>422</v>
      </c>
      <c r="U420" s="2124"/>
      <c r="V420" s="2125">
        <v>0</v>
      </c>
      <c r="W420" s="2126"/>
    </row>
    <row r="421" spans="1:29" ht="13.1">
      <c r="A421" s="1644" t="s">
        <v>221</v>
      </c>
      <c r="B421" s="1644"/>
      <c r="C421" s="2130">
        <f>'Cost Control'!H161</f>
        <v>23</v>
      </c>
      <c r="D421" s="2130"/>
      <c r="E421" s="2130"/>
      <c r="F421" s="2130"/>
      <c r="G421" s="2130"/>
      <c r="H421" s="2130"/>
      <c r="I421" s="2130"/>
      <c r="L421" t="str">
        <f>IF(SUM(L413:Q413)=0," ","LTR SUMMARY:")</f>
        <v xml:space="preserve"> </v>
      </c>
      <c r="O421" s="1422">
        <f>SUM(L413:Q413)</f>
        <v>0</v>
      </c>
      <c r="P421" t="str">
        <f>IF(O421=0," ","m³")</f>
        <v xml:space="preserve"> </v>
      </c>
      <c r="R421" t="str">
        <f>IF(SUM(R413:W413)=0," ","LTR SUMMARY:")</f>
        <v xml:space="preserve"> </v>
      </c>
      <c r="U421" s="1422">
        <f>SUM(R413:W413)</f>
        <v>0</v>
      </c>
      <c r="V421" t="str">
        <f>IF(U421=0," ","m³")</f>
        <v xml:space="preserve"> </v>
      </c>
      <c r="X421" t="str">
        <f>IF(SUM(X413:AC413)=0," ","LTR SUMMARY:")</f>
        <v xml:space="preserve"> </v>
      </c>
      <c r="AA421" s="1422">
        <f>SUM(X413:AC413)</f>
        <v>0</v>
      </c>
      <c r="AB421" t="str">
        <f>IF(AA421=0," ","m³")</f>
        <v xml:space="preserve"> </v>
      </c>
    </row>
    <row r="422" spans="1:29" ht="13.5" thickBot="1"/>
    <row r="423" spans="1:29" ht="14.8" thickTop="1">
      <c r="A423" s="274" t="s">
        <v>190</v>
      </c>
      <c r="B423" s="275"/>
      <c r="C423" s="275"/>
      <c r="D423" s="275"/>
      <c r="E423" s="276"/>
      <c r="F423" s="277"/>
      <c r="G423" s="278"/>
      <c r="H423" s="271" t="s">
        <v>191</v>
      </c>
      <c r="I423" s="279"/>
      <c r="J423" s="279"/>
      <c r="K423" s="280"/>
      <c r="L423" s="279" t="str">
        <f>L405</f>
        <v xml:space="preserve">    Cum. to Date </v>
      </c>
      <c r="M423" s="281"/>
      <c r="N423" s="279"/>
      <c r="O423" s="334">
        <f>O405</f>
        <v>0</v>
      </c>
      <c r="P423" s="271"/>
      <c r="Q423" s="282"/>
      <c r="R423" s="283" t="str">
        <f>R405</f>
        <v xml:space="preserve">Cum. to Date </v>
      </c>
      <c r="S423" s="281"/>
      <c r="T423" s="279"/>
      <c r="U423" s="334">
        <f>U405</f>
        <v>0</v>
      </c>
      <c r="V423" s="284"/>
      <c r="W423" s="272"/>
      <c r="X423" s="283" t="str">
        <f>X405</f>
        <v xml:space="preserve">Cum. to Date </v>
      </c>
      <c r="Y423" s="281"/>
      <c r="Z423" s="279"/>
      <c r="AA423" s="334">
        <f>AA405</f>
        <v>0</v>
      </c>
      <c r="AB423" s="284"/>
      <c r="AC423" s="272"/>
    </row>
    <row r="424" spans="1:29" ht="14.8" thickBot="1">
      <c r="A424" s="285" t="s">
        <v>192</v>
      </c>
      <c r="B424" s="286"/>
      <c r="C424" s="286"/>
      <c r="D424" s="286"/>
      <c r="E424" s="287"/>
      <c r="F424" s="2067" t="s">
        <v>193</v>
      </c>
      <c r="G424" s="2068"/>
      <c r="H424" s="2069" t="s">
        <v>194</v>
      </c>
      <c r="I424" s="2070"/>
      <c r="J424" s="2069" t="str">
        <f>J406</f>
        <v>Other (1)</v>
      </c>
      <c r="K424" s="2091"/>
      <c r="L424" s="2092" t="s">
        <v>195</v>
      </c>
      <c r="M424" s="2070"/>
      <c r="N424" s="2069" t="s">
        <v>196</v>
      </c>
      <c r="O424" s="2070"/>
      <c r="P424" s="2069" t="str">
        <f>IF(P434="Yes",J424," ")</f>
        <v>Other (1)</v>
      </c>
      <c r="Q424" s="2091"/>
      <c r="R424" s="2092" t="str">
        <f>R406</f>
        <v>Water</v>
      </c>
      <c r="S424" s="2070"/>
      <c r="T424" s="2069" t="str">
        <f>T406</f>
        <v>Oil</v>
      </c>
      <c r="U424" s="2070"/>
      <c r="V424" s="2082" t="str">
        <f>IF(V434="Yes",J424," ")</f>
        <v xml:space="preserve"> </v>
      </c>
      <c r="W424" s="2083"/>
      <c r="X424" s="2092" t="str">
        <f>X406</f>
        <v>Water</v>
      </c>
      <c r="Y424" s="2070"/>
      <c r="Z424" s="2069" t="str">
        <f>Z406</f>
        <v>Oil</v>
      </c>
      <c r="AA424" s="2070"/>
      <c r="AB424" s="2082" t="str">
        <f>IF(AB434="Yes",J424," ")</f>
        <v xml:space="preserve"> </v>
      </c>
      <c r="AC424" s="2083"/>
    </row>
    <row r="425" spans="1:29" ht="16.100000000000001" thickTop="1">
      <c r="A425" s="288" t="s">
        <v>197</v>
      </c>
      <c r="B425" s="289"/>
      <c r="C425" s="289"/>
      <c r="D425" s="289"/>
      <c r="E425" s="289"/>
      <c r="F425" s="259"/>
      <c r="G425" s="260"/>
      <c r="H425" s="261"/>
      <c r="I425" s="260"/>
      <c r="J425" s="261"/>
      <c r="K425" s="262"/>
      <c r="L425" s="2084">
        <f>L407</f>
        <v>0</v>
      </c>
      <c r="M425" s="2084"/>
      <c r="N425" s="2085">
        <f>N407</f>
        <v>0</v>
      </c>
      <c r="O425" s="2086"/>
      <c r="P425" s="2085">
        <f>P407</f>
        <v>0</v>
      </c>
      <c r="Q425" s="2087"/>
      <c r="R425" s="2115">
        <f>R407</f>
        <v>0</v>
      </c>
      <c r="S425" s="2116"/>
      <c r="T425" s="2117">
        <f>T407</f>
        <v>0</v>
      </c>
      <c r="U425" s="2116"/>
      <c r="V425" s="2117">
        <f>V407</f>
        <v>0</v>
      </c>
      <c r="W425" s="2118"/>
      <c r="X425" s="2115">
        <f>X407</f>
        <v>0</v>
      </c>
      <c r="Y425" s="2116"/>
      <c r="Z425" s="2117">
        <f>Z407</f>
        <v>0</v>
      </c>
      <c r="AA425" s="2116"/>
      <c r="AB425" s="2117">
        <f>AB407</f>
        <v>0</v>
      </c>
      <c r="AC425" s="2118"/>
    </row>
    <row r="426" spans="1:29" ht="15.45">
      <c r="A426" s="288" t="s">
        <v>198</v>
      </c>
      <c r="B426" s="273"/>
      <c r="C426" s="273"/>
      <c r="D426" s="273"/>
      <c r="E426" s="273"/>
      <c r="F426" s="2073">
        <v>0</v>
      </c>
      <c r="G426" s="2074"/>
      <c r="H426" s="2075">
        <v>0</v>
      </c>
      <c r="I426" s="2074"/>
      <c r="J426" s="2075">
        <v>0</v>
      </c>
      <c r="K426" s="2076"/>
      <c r="L426" s="2077">
        <f>IF(P434="No",L408,F426+L408)</f>
        <v>0</v>
      </c>
      <c r="M426" s="2078"/>
      <c r="N426" s="2079">
        <f>IF(P434="No",N408,H426+N408)</f>
        <v>0</v>
      </c>
      <c r="O426" s="2078"/>
      <c r="P426" s="2079">
        <f>IF(P434="No",P408,J426+P408)</f>
        <v>0</v>
      </c>
      <c r="Q426" s="2080"/>
      <c r="R426" s="2081">
        <f>IF(V434="Yes",F426+R408,IF(R436="Water",IF(R435="Yes",V435,0),R408))</f>
        <v>0</v>
      </c>
      <c r="S426" s="2071"/>
      <c r="T426" s="2071">
        <f>IF(V434="Yes",H426+T408,IF(T436="Oil",IF(R435="Yes",V435,0),T408))</f>
        <v>0</v>
      </c>
      <c r="U426" s="2071"/>
      <c r="V426" s="2071">
        <f>IF(V434="Yes",J426+V408,IF(V436=V424,IF(R435="Yes",V435,0),V408))</f>
        <v>0</v>
      </c>
      <c r="W426" s="2072"/>
      <c r="X426" s="2081">
        <f>IF(AB434="Yes",F426+X408,IF(X436="Water",IF(X435="Yes",AB435,0),X408))</f>
        <v>0</v>
      </c>
      <c r="Y426" s="2071"/>
      <c r="Z426" s="2071">
        <f>IF(AB434="Yes",H426+Z408,IF(Z436=Z424,IF(X435="Yes",AB435,0),Z408))</f>
        <v>0</v>
      </c>
      <c r="AA426" s="2071"/>
      <c r="AB426" s="2071">
        <f>IF(AB434="Yes",J426+AB408,IF(AB436=AB424,IF(X435="Yes",AB435,0),AB408))</f>
        <v>0</v>
      </c>
      <c r="AC426" s="2072"/>
    </row>
    <row r="427" spans="1:29" ht="15.45">
      <c r="A427" s="288" t="s">
        <v>199</v>
      </c>
      <c r="B427" s="273"/>
      <c r="C427" s="273"/>
      <c r="D427" s="273"/>
      <c r="E427" s="273"/>
      <c r="F427" s="2073">
        <v>0</v>
      </c>
      <c r="G427" s="2074"/>
      <c r="H427" s="2075">
        <v>0</v>
      </c>
      <c r="I427" s="2074"/>
      <c r="J427" s="2075">
        <v>0</v>
      </c>
      <c r="K427" s="2076"/>
      <c r="L427" s="2077">
        <f>IF(P434="No",L409,F427+L409)</f>
        <v>0</v>
      </c>
      <c r="M427" s="2078"/>
      <c r="N427" s="2079">
        <f>IF(P434="No",N409,H427+N409)</f>
        <v>0</v>
      </c>
      <c r="O427" s="2078"/>
      <c r="P427" s="2079">
        <f>IF(P434="No",P409,J427+P409)</f>
        <v>0</v>
      </c>
      <c r="Q427" s="2080"/>
      <c r="R427" s="2081">
        <f>IF(V434="Yes",R409+F427,R409)</f>
        <v>0</v>
      </c>
      <c r="S427" s="2071"/>
      <c r="T427" s="2071">
        <f>IF(V434="Yes",T409+H427,T409)</f>
        <v>0</v>
      </c>
      <c r="U427" s="2071"/>
      <c r="V427" s="2071">
        <f>IF(V434="Yes",V409+J427,V409)</f>
        <v>0</v>
      </c>
      <c r="W427" s="2072"/>
      <c r="X427" s="2081">
        <f>IF(AB434="Yes",X409+F427,X409)</f>
        <v>0</v>
      </c>
      <c r="Y427" s="2071"/>
      <c r="Z427" s="2071">
        <f>IF(AB434="Yes",Z409+H427,Z409)</f>
        <v>0</v>
      </c>
      <c r="AA427" s="2071"/>
      <c r="AB427" s="2071">
        <f>IF(AB434="Yes",AB409+J427,AB409)</f>
        <v>0</v>
      </c>
      <c r="AC427" s="2072"/>
    </row>
    <row r="428" spans="1:29" ht="15.45">
      <c r="A428" s="288" t="s">
        <v>200</v>
      </c>
      <c r="B428" s="273"/>
      <c r="C428" s="273"/>
      <c r="D428" s="273"/>
      <c r="E428" s="273"/>
      <c r="F428" s="259"/>
      <c r="G428" s="260"/>
      <c r="H428" s="261"/>
      <c r="I428" s="263"/>
      <c r="J428" s="264"/>
      <c r="K428" s="265"/>
      <c r="L428" s="2077">
        <f>L425+L426-L427</f>
        <v>0</v>
      </c>
      <c r="M428" s="2078"/>
      <c r="N428" s="2079">
        <f>SUM(N425,N426,-N427)</f>
        <v>0</v>
      </c>
      <c r="O428" s="2078"/>
      <c r="P428" s="2079">
        <f>SUM(P425,P426,-P427)</f>
        <v>0</v>
      </c>
      <c r="Q428" s="2080"/>
      <c r="R428" s="2081">
        <f>SUM(R425,R426,-R427)</f>
        <v>0</v>
      </c>
      <c r="S428" s="2071"/>
      <c r="T428" s="2071">
        <f>SUM(T425,T426,-T427)</f>
        <v>0</v>
      </c>
      <c r="U428" s="2071"/>
      <c r="V428" s="2071">
        <f>SUM(V425,V426,-V427)</f>
        <v>0</v>
      </c>
      <c r="W428" s="2072"/>
      <c r="X428" s="2081">
        <f>SUM(X425,X426,-X427)</f>
        <v>0</v>
      </c>
      <c r="Y428" s="2071"/>
      <c r="Z428" s="2071">
        <f>SUM(Z425,Z426,-Z427)</f>
        <v>0</v>
      </c>
      <c r="AA428" s="2071"/>
      <c r="AB428" s="2071">
        <f>SUM(AB425,AB426,-AB427)</f>
        <v>0</v>
      </c>
      <c r="AC428" s="2072"/>
    </row>
    <row r="429" spans="1:29" ht="15.45">
      <c r="A429" s="288" t="s">
        <v>201</v>
      </c>
      <c r="B429" s="273"/>
      <c r="C429" s="273"/>
      <c r="D429" s="273"/>
      <c r="E429" s="273"/>
      <c r="F429" s="259"/>
      <c r="G429" s="260"/>
      <c r="H429" s="261"/>
      <c r="I429" s="263"/>
      <c r="J429" s="264"/>
      <c r="K429" s="265"/>
      <c r="L429" s="2073">
        <f>L411</f>
        <v>0</v>
      </c>
      <c r="M429" s="2074"/>
      <c r="N429" s="2075">
        <f>N411</f>
        <v>0</v>
      </c>
      <c r="O429" s="2074"/>
      <c r="P429" s="2075">
        <f>P411</f>
        <v>0</v>
      </c>
      <c r="Q429" s="2076"/>
      <c r="R429" s="2081">
        <f>R411</f>
        <v>0</v>
      </c>
      <c r="S429" s="2071"/>
      <c r="T429" s="2071">
        <f>T411</f>
        <v>0</v>
      </c>
      <c r="U429" s="2071"/>
      <c r="V429" s="2128">
        <f>V411</f>
        <v>0</v>
      </c>
      <c r="W429" s="2129"/>
      <c r="X429" s="2081">
        <f>X411</f>
        <v>0</v>
      </c>
      <c r="Y429" s="2071"/>
      <c r="Z429" s="2071">
        <f>Z411</f>
        <v>0</v>
      </c>
      <c r="AA429" s="2071"/>
      <c r="AB429" s="2128">
        <f>AB411</f>
        <v>0</v>
      </c>
      <c r="AC429" s="2129"/>
    </row>
    <row r="430" spans="1:29" ht="15.45">
      <c r="A430" s="288" t="s">
        <v>202</v>
      </c>
      <c r="B430" s="273"/>
      <c r="C430" s="273"/>
      <c r="D430" s="273"/>
      <c r="E430" s="273"/>
      <c r="F430" s="259"/>
      <c r="G430" s="260"/>
      <c r="H430" s="261"/>
      <c r="I430" s="263"/>
      <c r="J430" s="264"/>
      <c r="K430" s="265"/>
      <c r="L430" s="2077">
        <f>IF(P434="No",L412,L412+F426-F427+F433-F434)</f>
        <v>0</v>
      </c>
      <c r="M430" s="2078"/>
      <c r="N430" s="2079">
        <f>IF(P434="No",N412,N412+H426-H427+H433-H434)</f>
        <v>0</v>
      </c>
      <c r="O430" s="2078"/>
      <c r="P430" s="2079">
        <f>IF(P434="No",P412,P412+J426-J427+J433-J434)</f>
        <v>0</v>
      </c>
      <c r="Q430" s="2080"/>
      <c r="R430" s="2071">
        <f>IF(V434="Yes",R412+F426-F427+F433-F434,IF(P435="Yes",IF(R436=R424,R426-R427-V436,0),R412))</f>
        <v>0</v>
      </c>
      <c r="S430" s="2071"/>
      <c r="T430" s="2071">
        <f>IF(V434="Yes",T412+H426-H427+H433-H434,IF(R435="Yes",IF(R436=T424,T426-T427-V436,0),T412))</f>
        <v>0</v>
      </c>
      <c r="U430" s="2071"/>
      <c r="V430" s="2071">
        <f>IF(V434="Yes",V412+J426-J427+J433-J434,IF(T435="Yes",IF(R436=V424,V426-V427-V436,0),V412))</f>
        <v>0</v>
      </c>
      <c r="W430" s="2072"/>
      <c r="X430" s="2071">
        <f>IF(AB434="Yes",X412+F426-F427+F433-F434,IF(V435="Yes",IF(X436=X424,X426-X427-AB436,0),X412))</f>
        <v>0</v>
      </c>
      <c r="Y430" s="2071"/>
      <c r="Z430" s="2071">
        <f>IF(AB434="Yes",Z412+H426-H427+H433-H434,IF(X435="Yes",IF(X436=Z424,Z426-Z427-AB436,0),Z412))</f>
        <v>0</v>
      </c>
      <c r="AA430" s="2071"/>
      <c r="AB430" s="2071">
        <f>IF(AB434="Yes",AB412+J426-J427+J433-J434,IF(Z435="Yes",IF(X436=AB424,AB426-AB427-AB436,0),AB412))</f>
        <v>0</v>
      </c>
      <c r="AC430" s="2072"/>
    </row>
    <row r="431" spans="1:29" ht="15.45">
      <c r="A431" s="288" t="s">
        <v>203</v>
      </c>
      <c r="B431" s="273"/>
      <c r="C431" s="273"/>
      <c r="D431" s="273"/>
      <c r="E431" s="273"/>
      <c r="F431" s="2110"/>
      <c r="G431" s="2111"/>
      <c r="H431" s="2111"/>
      <c r="I431" s="2111"/>
      <c r="J431" s="2111"/>
      <c r="K431" s="2112"/>
      <c r="L431" s="2113">
        <f>IF(P434="No",0,IF(L428-L429-L430&lt;0,0,SUM(L428,-L429,-L430)))</f>
        <v>0</v>
      </c>
      <c r="M431" s="2114"/>
      <c r="N431" s="2113">
        <f>IF(P434="No",0,IF(N428-N429-N430&lt;0,0,SUM(N428,-N429,-N430)))</f>
        <v>0</v>
      </c>
      <c r="O431" s="2114"/>
      <c r="P431" s="2079">
        <f>IF(P434="No",0,IF(P428-P429-P430&lt;0,0,SUM(P428,-P429,-P430)))</f>
        <v>0</v>
      </c>
      <c r="Q431" s="2080"/>
      <c r="R431" s="2127">
        <f>IF(V434="No",0,IF(R428-R429-R430&lt;0,0,SUM(R428,-R429,-R430)))</f>
        <v>0</v>
      </c>
      <c r="S431" s="2114"/>
      <c r="T431" s="2113">
        <f>IF(V434="No",0,IF(T428-T429-T430&lt;0,0,SUM(T428,-T429,-T430)))</f>
        <v>0</v>
      </c>
      <c r="U431" s="2114"/>
      <c r="V431" s="2079">
        <f>IF(V434="No",0,IF(V428-V429-V430&lt;0,0,SUM(V428,-V429,-V430)))</f>
        <v>0</v>
      </c>
      <c r="W431" s="2080"/>
      <c r="X431" s="2113">
        <f>IF(AB434="No",0,IF(X428-X429-X430&lt;0,0,SUM(X428,-X429,-X430)))</f>
        <v>0</v>
      </c>
      <c r="Y431" s="2114"/>
      <c r="Z431" s="2113">
        <f>IF(AB434="No",0,IF(Z428-Z429-Z430&lt;0,0,SUM(Z428,-Z429,-Z430)))</f>
        <v>0</v>
      </c>
      <c r="AA431" s="2114"/>
      <c r="AB431" s="2079">
        <f>IF(AB434="No",0,IF(AB428-AB429-AB430&lt;0,0,SUM(AB428,-AB429,-AB430)))</f>
        <v>0</v>
      </c>
      <c r="AC431" s="2080"/>
    </row>
    <row r="432" spans="1:29" ht="15.45">
      <c r="A432" s="1177" t="s">
        <v>929</v>
      </c>
      <c r="B432" s="273"/>
      <c r="C432" s="273"/>
      <c r="D432" s="273"/>
      <c r="E432" s="1176"/>
      <c r="F432" s="1166"/>
      <c r="G432" s="1167"/>
      <c r="H432" s="1167"/>
      <c r="I432" s="1167"/>
      <c r="J432" s="1167"/>
      <c r="K432" s="1168"/>
      <c r="L432" s="2131">
        <f>IF(P434="No",0,IF((L428-L429-L430)&lt;0,(L428-L429-L430)*-1,0))</f>
        <v>0</v>
      </c>
      <c r="M432" s="2131"/>
      <c r="N432" s="2131">
        <f>IF(R434="No",0,IF((N428-N429-N430)&lt;0,(N428-N429-N430)*-1,0))</f>
        <v>0</v>
      </c>
      <c r="O432" s="2131"/>
      <c r="P432" s="2131">
        <f>IF(T434="No",0,IF((P428-P429-P430)&lt;0,(P428-P429-P430)*-1,0))</f>
        <v>0</v>
      </c>
      <c r="Q432" s="2132"/>
      <c r="R432" s="2078">
        <f>IF(V434="No",0,IF((R428-R429-R430)&lt;0,(R428-R429-R430)*-1,0))</f>
        <v>0</v>
      </c>
      <c r="S432" s="2131"/>
      <c r="T432" s="2131">
        <f>IF(V434="No",0,IF((T428-T429-T430)&lt;0,(T428-T429-T430)*-1,0))</f>
        <v>0</v>
      </c>
      <c r="U432" s="2131"/>
      <c r="V432" s="2131">
        <f>IF(V434="No",0,IF((V428-V429-V430)&lt;0,(V428-V429-V430)*-1,0))</f>
        <v>0</v>
      </c>
      <c r="W432" s="2132"/>
      <c r="X432" s="2134">
        <f>IF(AB434="No",0,IF((X428-X429-X430)&lt;0,(X428-X429-X430)*-1,0))</f>
        <v>0</v>
      </c>
      <c r="Y432" s="2131"/>
      <c r="Z432" s="2131">
        <f>IF(AB434="No",0,IF((Z428-Z429-Z430)&lt;0,(Z428-Z429-Z430)*-1,0))</f>
        <v>0</v>
      </c>
      <c r="AA432" s="2131"/>
      <c r="AB432" s="2131">
        <f>IF(AB434="No",0,IF((AB428-AB429-AB430)&lt;0,(AB428-AB429-AB430)*-1,0))</f>
        <v>0</v>
      </c>
      <c r="AC432" s="2132"/>
    </row>
    <row r="433" spans="1:29" ht="16.100000000000001" thickBot="1">
      <c r="A433" s="505" t="s">
        <v>991</v>
      </c>
      <c r="B433" s="506"/>
      <c r="C433" s="506"/>
      <c r="D433" s="506"/>
      <c r="E433" s="291"/>
      <c r="F433" s="2073">
        <v>0</v>
      </c>
      <c r="G433" s="2074"/>
      <c r="H433" s="2075">
        <v>0</v>
      </c>
      <c r="I433" s="2074"/>
      <c r="J433" s="2101">
        <v>0</v>
      </c>
      <c r="K433" s="2102"/>
      <c r="L433" s="292"/>
      <c r="M433" s="293"/>
      <c r="N433" s="292"/>
      <c r="O433" s="293"/>
      <c r="P433" s="294"/>
      <c r="Q433" s="295"/>
      <c r="R433" s="296"/>
      <c r="S433" s="293"/>
      <c r="T433" s="292"/>
      <c r="U433" s="293"/>
      <c r="V433" s="292"/>
      <c r="W433" s="297"/>
      <c r="X433" s="296"/>
      <c r="Y433" s="293"/>
      <c r="Z433" s="292"/>
      <c r="AA433" s="293"/>
      <c r="AB433" s="292"/>
      <c r="AC433" s="297"/>
    </row>
    <row r="434" spans="1:29" ht="16.100000000000001" thickBot="1">
      <c r="A434" s="290" t="s">
        <v>992</v>
      </c>
      <c r="B434" s="21"/>
      <c r="C434" s="21"/>
      <c r="D434" s="21"/>
      <c r="F434" s="2096">
        <v>0</v>
      </c>
      <c r="G434" s="2097"/>
      <c r="H434" s="2098">
        <v>0</v>
      </c>
      <c r="I434" s="2097"/>
      <c r="J434" s="2103">
        <v>0</v>
      </c>
      <c r="K434" s="2104"/>
      <c r="L434" s="2093" t="s">
        <v>417</v>
      </c>
      <c r="M434" s="2094"/>
      <c r="N434" s="2094"/>
      <c r="O434" s="2095"/>
      <c r="P434" s="2106" t="str">
        <f>P416</f>
        <v>Yes</v>
      </c>
      <c r="Q434" s="2107"/>
      <c r="R434" s="2093" t="s">
        <v>417</v>
      </c>
      <c r="S434" s="2094"/>
      <c r="T434" s="2094"/>
      <c r="U434" s="2095"/>
      <c r="V434" s="2106" t="str">
        <f>V416</f>
        <v>No</v>
      </c>
      <c r="W434" s="2107"/>
      <c r="X434" s="2093" t="s">
        <v>417</v>
      </c>
      <c r="Y434" s="2094"/>
      <c r="Z434" s="2094"/>
      <c r="AA434" s="2095"/>
      <c r="AB434" s="2106" t="str">
        <f>AB416</f>
        <v>No</v>
      </c>
      <c r="AC434" s="2107"/>
    </row>
    <row r="435" spans="1:29" ht="13.75" thickBot="1">
      <c r="L435" s="2093" t="s">
        <v>419</v>
      </c>
      <c r="M435" s="2094"/>
      <c r="N435" s="2094"/>
      <c r="O435" s="2094"/>
      <c r="P435" s="2094"/>
      <c r="Q435" s="2095"/>
      <c r="R435" s="2106" t="str">
        <f>R417</f>
        <v>No</v>
      </c>
      <c r="S435" s="2107"/>
      <c r="T435" s="2093" t="s">
        <v>420</v>
      </c>
      <c r="U435" s="2095"/>
      <c r="V435" s="2121">
        <v>0</v>
      </c>
      <c r="W435" s="2122"/>
    </row>
    <row r="436" spans="1:29" ht="13.5" thickBot="1">
      <c r="L436" s="2093" t="s">
        <v>421</v>
      </c>
      <c r="M436" s="2094"/>
      <c r="N436" s="2094"/>
      <c r="O436" s="2094"/>
      <c r="P436" s="2094"/>
      <c r="Q436" s="2095"/>
      <c r="R436" s="2119">
        <v>0</v>
      </c>
      <c r="S436" s="2120"/>
      <c r="T436" s="2123" t="s">
        <v>422</v>
      </c>
      <c r="U436" s="2124"/>
      <c r="V436" s="2125">
        <v>0</v>
      </c>
      <c r="W436" s="2126"/>
    </row>
    <row r="437" spans="1:29" ht="13.75" thickBot="1">
      <c r="L437" s="2093" t="s">
        <v>921</v>
      </c>
      <c r="M437" s="2094"/>
      <c r="N437" s="2094"/>
      <c r="O437" s="2094"/>
      <c r="P437" s="2094"/>
      <c r="Q437" s="2095"/>
      <c r="R437" s="2106" t="str">
        <f>R419</f>
        <v>No</v>
      </c>
      <c r="S437" s="2107"/>
      <c r="T437" s="2093" t="s">
        <v>420</v>
      </c>
      <c r="U437" s="2095"/>
      <c r="V437" s="2121">
        <v>0</v>
      </c>
      <c r="W437" s="2122"/>
    </row>
    <row r="438" spans="1:29" ht="13.5" thickBot="1">
      <c r="L438" s="2093" t="s">
        <v>421</v>
      </c>
      <c r="M438" s="2094"/>
      <c r="N438" s="2094"/>
      <c r="O438" s="2094"/>
      <c r="P438" s="2094"/>
      <c r="Q438" s="2095"/>
      <c r="R438" s="2119">
        <v>0</v>
      </c>
      <c r="S438" s="2120"/>
      <c r="T438" s="2123" t="s">
        <v>422</v>
      </c>
      <c r="U438" s="2124"/>
      <c r="V438" s="2125">
        <v>0</v>
      </c>
      <c r="W438" s="2126"/>
    </row>
    <row r="439" spans="1:29" ht="13.1">
      <c r="A439" s="1644" t="s">
        <v>221</v>
      </c>
      <c r="B439" s="1644"/>
      <c r="C439" s="2130">
        <f>'Cost Control'!I161</f>
        <v>24</v>
      </c>
      <c r="D439" s="2130"/>
      <c r="E439" s="2130"/>
      <c r="F439" s="2130"/>
      <c r="G439" s="2130"/>
      <c r="H439" s="2130"/>
      <c r="I439" s="2130"/>
      <c r="L439" t="str">
        <f>IF(SUM(L431:Q431)=0," ","LTR SUMMARY:")</f>
        <v xml:space="preserve"> </v>
      </c>
      <c r="O439" s="1422">
        <f>SUM(L431:Q431)</f>
        <v>0</v>
      </c>
      <c r="P439" t="str">
        <f>IF(O439=0," ","m³")</f>
        <v xml:space="preserve"> </v>
      </c>
      <c r="R439" t="str">
        <f>IF(SUM(R431:W431)=0," ","LTR SUMMARY:")</f>
        <v xml:space="preserve"> </v>
      </c>
      <c r="U439" s="1422">
        <f>SUM(R431:W431)</f>
        <v>0</v>
      </c>
      <c r="V439" t="str">
        <f>IF(U439=0," ","m³")</f>
        <v xml:space="preserve"> </v>
      </c>
      <c r="X439" t="str">
        <f>IF(SUM(X431:AC431)=0," ","LTR SUMMARY:")</f>
        <v xml:space="preserve"> </v>
      </c>
      <c r="AA439" s="1422">
        <f>SUM(X431:AC431)</f>
        <v>0</v>
      </c>
      <c r="AB439" t="str">
        <f>IF(AA439=0," ","m³")</f>
        <v xml:space="preserve"> </v>
      </c>
    </row>
    <row r="440" spans="1:29" ht="13.5" thickBot="1"/>
    <row r="441" spans="1:29" ht="14.8" thickTop="1">
      <c r="A441" s="274" t="s">
        <v>190</v>
      </c>
      <c r="B441" s="275"/>
      <c r="C441" s="275"/>
      <c r="D441" s="275"/>
      <c r="E441" s="276"/>
      <c r="F441" s="277"/>
      <c r="G441" s="278"/>
      <c r="H441" s="271" t="s">
        <v>191</v>
      </c>
      <c r="I441" s="279"/>
      <c r="J441" s="279"/>
      <c r="K441" s="280"/>
      <c r="L441" s="279" t="str">
        <f>L423</f>
        <v xml:space="preserve">    Cum. to Date </v>
      </c>
      <c r="M441" s="281"/>
      <c r="N441" s="279"/>
      <c r="O441" s="334">
        <f>O423</f>
        <v>0</v>
      </c>
      <c r="P441" s="271"/>
      <c r="Q441" s="282"/>
      <c r="R441" s="283" t="str">
        <f>R423</f>
        <v xml:space="preserve">Cum. to Date </v>
      </c>
      <c r="S441" s="281"/>
      <c r="T441" s="279"/>
      <c r="U441" s="334">
        <f>U423</f>
        <v>0</v>
      </c>
      <c r="V441" s="284"/>
      <c r="W441" s="272"/>
      <c r="X441" s="283" t="str">
        <f>X423</f>
        <v xml:space="preserve">Cum. to Date </v>
      </c>
      <c r="Y441" s="281"/>
      <c r="Z441" s="279"/>
      <c r="AA441" s="334">
        <f>AA423</f>
        <v>0</v>
      </c>
      <c r="AB441" s="284"/>
      <c r="AC441" s="272"/>
    </row>
    <row r="442" spans="1:29" ht="14.8" thickBot="1">
      <c r="A442" s="285" t="s">
        <v>192</v>
      </c>
      <c r="B442" s="286"/>
      <c r="C442" s="286"/>
      <c r="D442" s="286"/>
      <c r="E442" s="287"/>
      <c r="F442" s="2067" t="s">
        <v>193</v>
      </c>
      <c r="G442" s="2068"/>
      <c r="H442" s="2069" t="s">
        <v>194</v>
      </c>
      <c r="I442" s="2070"/>
      <c r="J442" s="2069" t="str">
        <f>J424</f>
        <v>Other (1)</v>
      </c>
      <c r="K442" s="2091"/>
      <c r="L442" s="2092" t="s">
        <v>195</v>
      </c>
      <c r="M442" s="2070"/>
      <c r="N442" s="2069" t="s">
        <v>196</v>
      </c>
      <c r="O442" s="2070"/>
      <c r="P442" s="2069" t="str">
        <f>IF(P452="Yes",J442," ")</f>
        <v>Other (1)</v>
      </c>
      <c r="Q442" s="2091"/>
      <c r="R442" s="2092" t="str">
        <f>R424</f>
        <v>Water</v>
      </c>
      <c r="S442" s="2070"/>
      <c r="T442" s="2069" t="str">
        <f>T424</f>
        <v>Oil</v>
      </c>
      <c r="U442" s="2070"/>
      <c r="V442" s="2082" t="str">
        <f>IF(V452="Yes",J442," ")</f>
        <v xml:space="preserve"> </v>
      </c>
      <c r="W442" s="2083"/>
      <c r="X442" s="2092" t="str">
        <f>X424</f>
        <v>Water</v>
      </c>
      <c r="Y442" s="2070"/>
      <c r="Z442" s="2069" t="str">
        <f>Z424</f>
        <v>Oil</v>
      </c>
      <c r="AA442" s="2070"/>
      <c r="AB442" s="2082" t="str">
        <f>IF(AB452="Yes",J442," ")</f>
        <v xml:space="preserve"> </v>
      </c>
      <c r="AC442" s="2083"/>
    </row>
    <row r="443" spans="1:29" ht="16.100000000000001" thickTop="1">
      <c r="A443" s="288" t="s">
        <v>197</v>
      </c>
      <c r="B443" s="289"/>
      <c r="C443" s="289"/>
      <c r="D443" s="289"/>
      <c r="E443" s="289"/>
      <c r="F443" s="259"/>
      <c r="G443" s="260"/>
      <c r="H443" s="261"/>
      <c r="I443" s="260"/>
      <c r="J443" s="261"/>
      <c r="K443" s="262"/>
      <c r="L443" s="2084">
        <f>L425</f>
        <v>0</v>
      </c>
      <c r="M443" s="2084"/>
      <c r="N443" s="2085">
        <f>N425</f>
        <v>0</v>
      </c>
      <c r="O443" s="2086"/>
      <c r="P443" s="2085">
        <f>P425</f>
        <v>0</v>
      </c>
      <c r="Q443" s="2087"/>
      <c r="R443" s="2115">
        <f>R425</f>
        <v>0</v>
      </c>
      <c r="S443" s="2116"/>
      <c r="T443" s="2117">
        <f>T425</f>
        <v>0</v>
      </c>
      <c r="U443" s="2116"/>
      <c r="V443" s="2117">
        <f>V425</f>
        <v>0</v>
      </c>
      <c r="W443" s="2118"/>
      <c r="X443" s="2115">
        <f>X425</f>
        <v>0</v>
      </c>
      <c r="Y443" s="2116"/>
      <c r="Z443" s="2117">
        <f>Z425</f>
        <v>0</v>
      </c>
      <c r="AA443" s="2116"/>
      <c r="AB443" s="2117">
        <f>AB425</f>
        <v>0</v>
      </c>
      <c r="AC443" s="2118"/>
    </row>
    <row r="444" spans="1:29" ht="15.45">
      <c r="A444" s="288" t="s">
        <v>198</v>
      </c>
      <c r="B444" s="273"/>
      <c r="C444" s="273"/>
      <c r="D444" s="273"/>
      <c r="E444" s="273"/>
      <c r="F444" s="2073">
        <v>0</v>
      </c>
      <c r="G444" s="2074"/>
      <c r="H444" s="2075">
        <v>0</v>
      </c>
      <c r="I444" s="2074"/>
      <c r="J444" s="2075">
        <v>0</v>
      </c>
      <c r="K444" s="2076"/>
      <c r="L444" s="2077">
        <f>IF(P452="No",L426,F444+L426)</f>
        <v>0</v>
      </c>
      <c r="M444" s="2078"/>
      <c r="N444" s="2079">
        <f>IF(P452="No",N426,H444+N426)</f>
        <v>0</v>
      </c>
      <c r="O444" s="2078"/>
      <c r="P444" s="2079">
        <f>IF(P452="No",P426,J444+P426)</f>
        <v>0</v>
      </c>
      <c r="Q444" s="2080"/>
      <c r="R444" s="2081">
        <f>IF(V452="Yes",F444+R426,IF(R454="Water",IF(R453="Yes",V453,0),R426))</f>
        <v>0</v>
      </c>
      <c r="S444" s="2071"/>
      <c r="T444" s="2071">
        <f>IF(V452="Yes",H444+T426,IF(T454="Oil",IF(R453="Yes",V453,0),T426))</f>
        <v>0</v>
      </c>
      <c r="U444" s="2071"/>
      <c r="V444" s="2071">
        <f>IF(V452="Yes",J444+V426,IF(V454=V442,IF(R453="Yes",V453,0),V426))</f>
        <v>0</v>
      </c>
      <c r="W444" s="2072"/>
      <c r="X444" s="2081">
        <f>IF(AB452="Yes",F444+X426,IF(X454="Water",IF(X453="Yes",AB453,0),X426))</f>
        <v>0</v>
      </c>
      <c r="Y444" s="2071"/>
      <c r="Z444" s="2071">
        <f>IF(AB452="Yes",H444+Z426,IF(Z454=Z442,IF(X453="Yes",AB453,0),Z426))</f>
        <v>0</v>
      </c>
      <c r="AA444" s="2071"/>
      <c r="AB444" s="2071">
        <f>IF(AB452="Yes",J444+AB426,IF(AB454=AB442,IF(X453="Yes",AB453,0),AB426))</f>
        <v>0</v>
      </c>
      <c r="AC444" s="2072"/>
    </row>
    <row r="445" spans="1:29" ht="15.45">
      <c r="A445" s="288" t="s">
        <v>199</v>
      </c>
      <c r="B445" s="273"/>
      <c r="C445" s="273"/>
      <c r="D445" s="273"/>
      <c r="E445" s="273"/>
      <c r="F445" s="2073">
        <v>0</v>
      </c>
      <c r="G445" s="2074"/>
      <c r="H445" s="2075">
        <v>0</v>
      </c>
      <c r="I445" s="2074"/>
      <c r="J445" s="2075">
        <v>0</v>
      </c>
      <c r="K445" s="2076"/>
      <c r="L445" s="2077">
        <f>IF(P452="No",L427,F445+L427)</f>
        <v>0</v>
      </c>
      <c r="M445" s="2078"/>
      <c r="N445" s="2079">
        <f>IF(P452="No",N427,H445+N427)</f>
        <v>0</v>
      </c>
      <c r="O445" s="2078"/>
      <c r="P445" s="2079">
        <f>IF(P452="No",P427,J445+P427)</f>
        <v>0</v>
      </c>
      <c r="Q445" s="2080"/>
      <c r="R445" s="2081">
        <f>IF(V452="Yes",R427+F445,R427)</f>
        <v>0</v>
      </c>
      <c r="S445" s="2071"/>
      <c r="T445" s="2071">
        <f>IF(V452="Yes",T427+H445,T427)</f>
        <v>0</v>
      </c>
      <c r="U445" s="2071"/>
      <c r="V445" s="2071">
        <f>IF(V452="Yes",V427+J445,V427)</f>
        <v>0</v>
      </c>
      <c r="W445" s="2072"/>
      <c r="X445" s="2081">
        <f>IF(AB452="Yes",X427+F445,X427)</f>
        <v>0</v>
      </c>
      <c r="Y445" s="2071"/>
      <c r="Z445" s="2071">
        <f>IF(AB452="Yes",Z427+H445,Z427)</f>
        <v>0</v>
      </c>
      <c r="AA445" s="2071"/>
      <c r="AB445" s="2071">
        <f>IF(AB452="Yes",AB427+J445,AB427)</f>
        <v>0</v>
      </c>
      <c r="AC445" s="2072"/>
    </row>
    <row r="446" spans="1:29" ht="15.45">
      <c r="A446" s="288" t="s">
        <v>200</v>
      </c>
      <c r="B446" s="273"/>
      <c r="C446" s="273"/>
      <c r="D446" s="273"/>
      <c r="E446" s="273"/>
      <c r="F446" s="259"/>
      <c r="G446" s="260"/>
      <c r="H446" s="261"/>
      <c r="I446" s="263"/>
      <c r="J446" s="264"/>
      <c r="K446" s="265"/>
      <c r="L446" s="2077">
        <f>L443+L444-L445</f>
        <v>0</v>
      </c>
      <c r="M446" s="2078"/>
      <c r="N446" s="2079">
        <f>SUM(N443,N444,-N445)</f>
        <v>0</v>
      </c>
      <c r="O446" s="2078"/>
      <c r="P446" s="2079">
        <f>SUM(P443,P444,-P445)</f>
        <v>0</v>
      </c>
      <c r="Q446" s="2080"/>
      <c r="R446" s="2081">
        <f>SUM(R443,R444,-R445)</f>
        <v>0</v>
      </c>
      <c r="S446" s="2071"/>
      <c r="T446" s="2071">
        <f>SUM(T443,T444,-T445)</f>
        <v>0</v>
      </c>
      <c r="U446" s="2071"/>
      <c r="V446" s="2071">
        <f>SUM(V443,V444,-V445)</f>
        <v>0</v>
      </c>
      <c r="W446" s="2072"/>
      <c r="X446" s="2081">
        <f>SUM(X443,X444,-X445)</f>
        <v>0</v>
      </c>
      <c r="Y446" s="2071"/>
      <c r="Z446" s="2071">
        <f>SUM(Z443,Z444,-Z445)</f>
        <v>0</v>
      </c>
      <c r="AA446" s="2071"/>
      <c r="AB446" s="2071">
        <f>SUM(AB443,AB444,-AB445)</f>
        <v>0</v>
      </c>
      <c r="AC446" s="2072"/>
    </row>
    <row r="447" spans="1:29" ht="15.45">
      <c r="A447" s="288" t="s">
        <v>201</v>
      </c>
      <c r="B447" s="273"/>
      <c r="C447" s="273"/>
      <c r="D447" s="273"/>
      <c r="E447" s="273"/>
      <c r="F447" s="259"/>
      <c r="G447" s="260"/>
      <c r="H447" s="261"/>
      <c r="I447" s="263"/>
      <c r="J447" s="264"/>
      <c r="K447" s="265"/>
      <c r="L447" s="2073">
        <f>L429</f>
        <v>0</v>
      </c>
      <c r="M447" s="2074"/>
      <c r="N447" s="2075">
        <f>N429</f>
        <v>0</v>
      </c>
      <c r="O447" s="2074"/>
      <c r="P447" s="2075">
        <f>P429</f>
        <v>0</v>
      </c>
      <c r="Q447" s="2076"/>
      <c r="R447" s="2081">
        <f>R429</f>
        <v>0</v>
      </c>
      <c r="S447" s="2071"/>
      <c r="T447" s="2071">
        <f>T429</f>
        <v>0</v>
      </c>
      <c r="U447" s="2071"/>
      <c r="V447" s="2128">
        <f>V429</f>
        <v>0</v>
      </c>
      <c r="W447" s="2129"/>
      <c r="X447" s="2081">
        <f>X429</f>
        <v>0</v>
      </c>
      <c r="Y447" s="2071"/>
      <c r="Z447" s="2071">
        <f>Z429</f>
        <v>0</v>
      </c>
      <c r="AA447" s="2071"/>
      <c r="AB447" s="2128">
        <f>AB429</f>
        <v>0</v>
      </c>
      <c r="AC447" s="2129"/>
    </row>
    <row r="448" spans="1:29" ht="15.45">
      <c r="A448" s="288" t="s">
        <v>202</v>
      </c>
      <c r="B448" s="273"/>
      <c r="C448" s="273"/>
      <c r="D448" s="273"/>
      <c r="E448" s="273"/>
      <c r="F448" s="259"/>
      <c r="G448" s="260"/>
      <c r="H448" s="261"/>
      <c r="I448" s="263"/>
      <c r="J448" s="264"/>
      <c r="K448" s="265"/>
      <c r="L448" s="2077">
        <f>IF(P452="No",L430,L430+F444-F445+F451-F452)</f>
        <v>0</v>
      </c>
      <c r="M448" s="2078"/>
      <c r="N448" s="2079">
        <f>IF(P452="No",N430,N430+H444-H445+H451-H452)</f>
        <v>0</v>
      </c>
      <c r="O448" s="2078"/>
      <c r="P448" s="2079">
        <f>IF(P452="No",P430,P430+J444-J445+J451-J452)</f>
        <v>0</v>
      </c>
      <c r="Q448" s="2080"/>
      <c r="R448" s="2071">
        <f>IF(V452="Yes",R430+F444-F445+F451-F452,IF(P453="Yes",IF(R454=R442,R444-R445-V454,0),R430))</f>
        <v>0</v>
      </c>
      <c r="S448" s="2071"/>
      <c r="T448" s="2071">
        <f>IF(V452="Yes",T430+H444-H445+H451-H452,IF(R453="Yes",IF(R454=T442,T444-T445-V454,0),T430))</f>
        <v>0</v>
      </c>
      <c r="U448" s="2071"/>
      <c r="V448" s="2071">
        <f>IF(V452="Yes",V430+J444-J445+J451-J452,IF(T453="Yes",IF(R454=V442,V444-V445-V454,0),V430))</f>
        <v>0</v>
      </c>
      <c r="W448" s="2072"/>
      <c r="X448" s="2071">
        <f>IF(AB452="Yes",X430+F444-F445+F451-F452,IF(V453="Yes",IF(X454=X442,X444-X445-AB454,0),X430))</f>
        <v>0</v>
      </c>
      <c r="Y448" s="2071"/>
      <c r="Z448" s="2071">
        <f>IF(AB452="Yes",Z430+H444-H445+H451-H452,IF(X453="Yes",IF(X454=Z442,Z444-Z445-AB454,0),Z430))</f>
        <v>0</v>
      </c>
      <c r="AA448" s="2071"/>
      <c r="AB448" s="2071">
        <f>IF(AB452="Yes",AB430+J444-J445+J451-J452,IF(Z453="Yes",IF(X454=AB442,AB444-AB445-AB454,0),AB430))</f>
        <v>0</v>
      </c>
      <c r="AC448" s="2072"/>
    </row>
    <row r="449" spans="1:29" ht="15.45">
      <c r="A449" s="288" t="s">
        <v>203</v>
      </c>
      <c r="B449" s="273"/>
      <c r="C449" s="273"/>
      <c r="D449" s="273"/>
      <c r="E449" s="273"/>
      <c r="F449" s="2110"/>
      <c r="G449" s="2111"/>
      <c r="H449" s="2111"/>
      <c r="I449" s="2111"/>
      <c r="J449" s="2111"/>
      <c r="K449" s="2112"/>
      <c r="L449" s="2113">
        <f>IF(P452="No",0,IF(L446-L447-L448&lt;0,0,SUM(L446,-L447,-L448)))</f>
        <v>0</v>
      </c>
      <c r="M449" s="2114"/>
      <c r="N449" s="2113">
        <f>IF(P452="No",0,IF(N446-N447-N448&lt;0,0,SUM(N446,-N447,-N448)))</f>
        <v>0</v>
      </c>
      <c r="O449" s="2114"/>
      <c r="P449" s="2079">
        <f>IF(P452="No",0,IF(P446-P447-P448&lt;0,0,SUM(P446,-P447,-P448)))</f>
        <v>0</v>
      </c>
      <c r="Q449" s="2080"/>
      <c r="R449" s="2127">
        <f>IF(V452="No",0,IF(R446-R447-R448&lt;0,0,SUM(R446,-R447,-R448)))</f>
        <v>0</v>
      </c>
      <c r="S449" s="2114"/>
      <c r="T449" s="2113">
        <f>IF(V452="No",0,IF(T446-T447-T448&lt;0,0,SUM(T446,-T447,-T448)))</f>
        <v>0</v>
      </c>
      <c r="U449" s="2114"/>
      <c r="V449" s="2079">
        <f>IF(V452="No",0,IF(V446-V447-V448&lt;0,0,SUM(V446,-V447,-V448)))</f>
        <v>0</v>
      </c>
      <c r="W449" s="2080"/>
      <c r="X449" s="2113">
        <f>IF(AB452="No",0,IF(X446-X447-X448&lt;0,0,SUM(X446,-X447,-X448)))</f>
        <v>0</v>
      </c>
      <c r="Y449" s="2114"/>
      <c r="Z449" s="2113">
        <f>IF(AB452="No",0,IF(Z446-Z447-Z448&lt;0,0,SUM(Z446,-Z447,-Z448)))</f>
        <v>0</v>
      </c>
      <c r="AA449" s="2114"/>
      <c r="AB449" s="2079">
        <f>IF(AB452="No",0,IF(AB446-AB447-AB448&lt;0,0,SUM(AB446,-AB447,-AB448)))</f>
        <v>0</v>
      </c>
      <c r="AC449" s="2080"/>
    </row>
    <row r="450" spans="1:29" ht="15.45">
      <c r="A450" s="1177" t="s">
        <v>929</v>
      </c>
      <c r="B450" s="273"/>
      <c r="C450" s="273"/>
      <c r="D450" s="273"/>
      <c r="E450" s="1176"/>
      <c r="F450" s="1166"/>
      <c r="G450" s="1167"/>
      <c r="H450" s="1167"/>
      <c r="I450" s="1167"/>
      <c r="J450" s="1167"/>
      <c r="K450" s="1168"/>
      <c r="L450" s="2131">
        <f>IF(P452="No",0,IF((L446-L447-L448)&lt;0,(L446-L447-L448)*-1,0))</f>
        <v>0</v>
      </c>
      <c r="M450" s="2131"/>
      <c r="N450" s="2131">
        <f>IF(R452="No",0,IF((N446-N447-N448)&lt;0,(N446-N447-N448)*-1,0))</f>
        <v>0</v>
      </c>
      <c r="O450" s="2131"/>
      <c r="P450" s="2131">
        <f>IF(T452="No",0,IF((P446-P447-P448)&lt;0,(P446-P447-P448)*-1,0))</f>
        <v>0</v>
      </c>
      <c r="Q450" s="2132"/>
      <c r="R450" s="2078">
        <f>IF(V452="No",0,IF((R446-R447-R448)&lt;0,(R446-R447-R448)*-1,0))</f>
        <v>0</v>
      </c>
      <c r="S450" s="2131"/>
      <c r="T450" s="2131">
        <f>IF(V452="No",0,IF((T446-T447-T448)&lt;0,(T446-T447-T448)*-1,0))</f>
        <v>0</v>
      </c>
      <c r="U450" s="2131"/>
      <c r="V450" s="2131">
        <f>IF(V452="No",0,IF((V446-V447-V448)&lt;0,(V446-V447-V448)*-1,0))</f>
        <v>0</v>
      </c>
      <c r="W450" s="2132"/>
      <c r="X450" s="2134">
        <f>IF(AB452="No",0,IF((X446-X447-X448)&lt;0,(X446-X447-X448)*-1,0))</f>
        <v>0</v>
      </c>
      <c r="Y450" s="2131"/>
      <c r="Z450" s="2131">
        <f>IF(AB452="No",0,IF((Z446-Z447-Z448)&lt;0,(Z446-Z447-Z448)*-1,0))</f>
        <v>0</v>
      </c>
      <c r="AA450" s="2131"/>
      <c r="AB450" s="2131">
        <f>IF(AB452="No",0,IF((AB446-AB447-AB448)&lt;0,(AB446-AB447-AB448)*-1,0))</f>
        <v>0</v>
      </c>
      <c r="AC450" s="2132"/>
    </row>
    <row r="451" spans="1:29" ht="16.100000000000001" thickBot="1">
      <c r="A451" s="505" t="s">
        <v>991</v>
      </c>
      <c r="B451" s="506"/>
      <c r="C451" s="506"/>
      <c r="D451" s="506"/>
      <c r="E451" s="291"/>
      <c r="F451" s="2073">
        <v>0</v>
      </c>
      <c r="G451" s="2074"/>
      <c r="H451" s="2075">
        <v>0</v>
      </c>
      <c r="I451" s="2074"/>
      <c r="J451" s="2101">
        <v>0</v>
      </c>
      <c r="K451" s="2102"/>
      <c r="L451" s="292"/>
      <c r="M451" s="293"/>
      <c r="N451" s="292"/>
      <c r="O451" s="293"/>
      <c r="P451" s="294"/>
      <c r="Q451" s="295"/>
      <c r="R451" s="296"/>
      <c r="S451" s="293"/>
      <c r="T451" s="292"/>
      <c r="U451" s="293"/>
      <c r="V451" s="292"/>
      <c r="W451" s="297"/>
      <c r="X451" s="296"/>
      <c r="Y451" s="293"/>
      <c r="Z451" s="292"/>
      <c r="AA451" s="293"/>
      <c r="AB451" s="292"/>
      <c r="AC451" s="297"/>
    </row>
    <row r="452" spans="1:29" ht="16.100000000000001" thickBot="1">
      <c r="A452" s="290" t="s">
        <v>992</v>
      </c>
      <c r="B452" s="21"/>
      <c r="C452" s="21"/>
      <c r="D452" s="21"/>
      <c r="F452" s="2096">
        <v>0</v>
      </c>
      <c r="G452" s="2097"/>
      <c r="H452" s="2098">
        <v>0</v>
      </c>
      <c r="I452" s="2097"/>
      <c r="J452" s="2103">
        <v>0</v>
      </c>
      <c r="K452" s="2104"/>
      <c r="L452" s="2093" t="s">
        <v>417</v>
      </c>
      <c r="M452" s="2094"/>
      <c r="N452" s="2094"/>
      <c r="O452" s="2095"/>
      <c r="P452" s="2106" t="str">
        <f>P434</f>
        <v>Yes</v>
      </c>
      <c r="Q452" s="2107"/>
      <c r="R452" s="2093" t="s">
        <v>417</v>
      </c>
      <c r="S452" s="2094"/>
      <c r="T452" s="2094"/>
      <c r="U452" s="2095"/>
      <c r="V452" s="2106" t="str">
        <f>V434</f>
        <v>No</v>
      </c>
      <c r="W452" s="2107"/>
      <c r="X452" s="2093" t="s">
        <v>417</v>
      </c>
      <c r="Y452" s="2094"/>
      <c r="Z452" s="2094"/>
      <c r="AA452" s="2095"/>
      <c r="AB452" s="2106" t="str">
        <f>AB434</f>
        <v>No</v>
      </c>
      <c r="AC452" s="2107"/>
    </row>
    <row r="453" spans="1:29" ht="13.75" thickBot="1">
      <c r="L453" s="2093" t="s">
        <v>419</v>
      </c>
      <c r="M453" s="2094"/>
      <c r="N453" s="2094"/>
      <c r="O453" s="2094"/>
      <c r="P453" s="2094"/>
      <c r="Q453" s="2095"/>
      <c r="R453" s="2106" t="str">
        <f>R435</f>
        <v>No</v>
      </c>
      <c r="S453" s="2107"/>
      <c r="T453" s="2093" t="s">
        <v>420</v>
      </c>
      <c r="U453" s="2095"/>
      <c r="V453" s="2121">
        <v>0</v>
      </c>
      <c r="W453" s="2122"/>
    </row>
    <row r="454" spans="1:29" ht="13.5" thickBot="1">
      <c r="L454" s="2093" t="s">
        <v>421</v>
      </c>
      <c r="M454" s="2094"/>
      <c r="N454" s="2094"/>
      <c r="O454" s="2094"/>
      <c r="P454" s="2094"/>
      <c r="Q454" s="2095"/>
      <c r="R454" s="2119">
        <v>0</v>
      </c>
      <c r="S454" s="2120"/>
      <c r="T454" s="2123" t="s">
        <v>422</v>
      </c>
      <c r="U454" s="2124"/>
      <c r="V454" s="2125">
        <v>0</v>
      </c>
      <c r="W454" s="2126"/>
    </row>
    <row r="455" spans="1:29" ht="13.75" thickBot="1">
      <c r="L455" s="2093" t="s">
        <v>921</v>
      </c>
      <c r="M455" s="2094"/>
      <c r="N455" s="2094"/>
      <c r="O455" s="2094"/>
      <c r="P455" s="2094"/>
      <c r="Q455" s="2095"/>
      <c r="R455" s="2106" t="str">
        <f>R437</f>
        <v>No</v>
      </c>
      <c r="S455" s="2107"/>
      <c r="T455" s="2093" t="s">
        <v>420</v>
      </c>
      <c r="U455" s="2095"/>
      <c r="V455" s="2121">
        <v>0</v>
      </c>
      <c r="W455" s="2122"/>
    </row>
    <row r="456" spans="1:29" ht="13.5" thickBot="1">
      <c r="L456" s="2093" t="s">
        <v>421</v>
      </c>
      <c r="M456" s="2094"/>
      <c r="N456" s="2094"/>
      <c r="O456" s="2094"/>
      <c r="P456" s="2094"/>
      <c r="Q456" s="2095"/>
      <c r="R456" s="2119">
        <v>0</v>
      </c>
      <c r="S456" s="2120"/>
      <c r="T456" s="2123" t="s">
        <v>422</v>
      </c>
      <c r="U456" s="2124"/>
      <c r="V456" s="2125">
        <v>0</v>
      </c>
      <c r="W456" s="2126"/>
    </row>
    <row r="457" spans="1:29" ht="13.1">
      <c r="A457" s="1644" t="s">
        <v>221</v>
      </c>
      <c r="B457" s="1644"/>
      <c r="C457" s="2130">
        <f>'Cost Control'!J161</f>
        <v>25</v>
      </c>
      <c r="D457" s="2130"/>
      <c r="E457" s="2130"/>
      <c r="F457" s="2130"/>
      <c r="G457" s="2130"/>
      <c r="H457" s="2130"/>
      <c r="I457" s="2130"/>
      <c r="L457" t="str">
        <f>IF(SUM(L449:Q449)=0," ","LTR SUMMARY:")</f>
        <v xml:space="preserve"> </v>
      </c>
      <c r="O457" s="1422">
        <f>SUM(L449:Q449)</f>
        <v>0</v>
      </c>
      <c r="P457" t="str">
        <f>IF(O457=0," ","m³")</f>
        <v xml:space="preserve"> </v>
      </c>
      <c r="R457" t="str">
        <f>IF(SUM(R449:W449)=0," ","LTR SUMMARY:")</f>
        <v xml:space="preserve"> </v>
      </c>
      <c r="U457" s="1422">
        <f>SUM(R449:W449)</f>
        <v>0</v>
      </c>
      <c r="V457" t="str">
        <f>IF(U457=0," ","m³")</f>
        <v xml:space="preserve"> </v>
      </c>
      <c r="X457" t="str">
        <f>IF(SUM(X449:AC449)=0," ","LTR SUMMARY:")</f>
        <v xml:space="preserve"> </v>
      </c>
      <c r="AA457" s="1422">
        <f>SUM(X449:AC449)</f>
        <v>0</v>
      </c>
      <c r="AB457" t="str">
        <f>IF(AA457=0," ","m³")</f>
        <v xml:space="preserve"> </v>
      </c>
    </row>
    <row r="458" spans="1:29" ht="13.5" thickBot="1"/>
    <row r="459" spans="1:29" ht="14.8" thickTop="1">
      <c r="A459" s="274" t="s">
        <v>190</v>
      </c>
      <c r="B459" s="275"/>
      <c r="C459" s="275"/>
      <c r="D459" s="275"/>
      <c r="E459" s="276"/>
      <c r="F459" s="277"/>
      <c r="G459" s="278"/>
      <c r="H459" s="271" t="s">
        <v>191</v>
      </c>
      <c r="I459" s="279"/>
      <c r="J459" s="279"/>
      <c r="K459" s="280"/>
      <c r="L459" s="279" t="str">
        <f>L441</f>
        <v xml:space="preserve">    Cum. to Date </v>
      </c>
      <c r="M459" s="281"/>
      <c r="N459" s="279"/>
      <c r="O459" s="334">
        <f>O441</f>
        <v>0</v>
      </c>
      <c r="P459" s="271"/>
      <c r="Q459" s="282"/>
      <c r="R459" s="283" t="str">
        <f>R441</f>
        <v xml:space="preserve">Cum. to Date </v>
      </c>
      <c r="S459" s="281"/>
      <c r="T459" s="279"/>
      <c r="U459" s="334">
        <f>U441</f>
        <v>0</v>
      </c>
      <c r="V459" s="284"/>
      <c r="W459" s="272"/>
      <c r="X459" s="283" t="str">
        <f>X441</f>
        <v xml:space="preserve">Cum. to Date </v>
      </c>
      <c r="Y459" s="281"/>
      <c r="Z459" s="279"/>
      <c r="AA459" s="334">
        <f>AA441</f>
        <v>0</v>
      </c>
      <c r="AB459" s="284"/>
      <c r="AC459" s="272"/>
    </row>
    <row r="460" spans="1:29" ht="14.8" thickBot="1">
      <c r="A460" s="285" t="s">
        <v>192</v>
      </c>
      <c r="B460" s="286"/>
      <c r="C460" s="286"/>
      <c r="D460" s="286"/>
      <c r="E460" s="287"/>
      <c r="F460" s="2067" t="s">
        <v>193</v>
      </c>
      <c r="G460" s="2068"/>
      <c r="H460" s="2069" t="s">
        <v>194</v>
      </c>
      <c r="I460" s="2070"/>
      <c r="J460" s="2069" t="str">
        <f>J442</f>
        <v>Other (1)</v>
      </c>
      <c r="K460" s="2091"/>
      <c r="L460" s="2092" t="s">
        <v>195</v>
      </c>
      <c r="M460" s="2070"/>
      <c r="N460" s="2069" t="s">
        <v>196</v>
      </c>
      <c r="O460" s="2070"/>
      <c r="P460" s="2069" t="str">
        <f>IF(P470="Yes",J460," ")</f>
        <v>Other (1)</v>
      </c>
      <c r="Q460" s="2091"/>
      <c r="R460" s="2092" t="str">
        <f>R442</f>
        <v>Water</v>
      </c>
      <c r="S460" s="2070"/>
      <c r="T460" s="2069" t="str">
        <f>T442</f>
        <v>Oil</v>
      </c>
      <c r="U460" s="2070"/>
      <c r="V460" s="2082" t="str">
        <f>IF(V470="Yes",J460," ")</f>
        <v xml:space="preserve"> </v>
      </c>
      <c r="W460" s="2083"/>
      <c r="X460" s="2092" t="str">
        <f>X442</f>
        <v>Water</v>
      </c>
      <c r="Y460" s="2070"/>
      <c r="Z460" s="2069" t="str">
        <f>Z442</f>
        <v>Oil</v>
      </c>
      <c r="AA460" s="2070"/>
      <c r="AB460" s="2082" t="str">
        <f>IF(AB470="Yes",J460," ")</f>
        <v xml:space="preserve"> </v>
      </c>
      <c r="AC460" s="2083"/>
    </row>
    <row r="461" spans="1:29" ht="16.100000000000001" thickTop="1">
      <c r="A461" s="288" t="s">
        <v>197</v>
      </c>
      <c r="B461" s="289"/>
      <c r="C461" s="289"/>
      <c r="D461" s="289"/>
      <c r="E461" s="289"/>
      <c r="F461" s="259"/>
      <c r="G461" s="260"/>
      <c r="H461" s="261"/>
      <c r="I461" s="260"/>
      <c r="J461" s="261"/>
      <c r="K461" s="262"/>
      <c r="L461" s="2084">
        <f>L443</f>
        <v>0</v>
      </c>
      <c r="M461" s="2084"/>
      <c r="N461" s="2085">
        <f>N443</f>
        <v>0</v>
      </c>
      <c r="O461" s="2086"/>
      <c r="P461" s="2085">
        <f>P443</f>
        <v>0</v>
      </c>
      <c r="Q461" s="2087"/>
      <c r="R461" s="2115">
        <f>R443</f>
        <v>0</v>
      </c>
      <c r="S461" s="2116"/>
      <c r="T461" s="2117">
        <f>T443</f>
        <v>0</v>
      </c>
      <c r="U461" s="2116"/>
      <c r="V461" s="2117">
        <f>V443</f>
        <v>0</v>
      </c>
      <c r="W461" s="2118"/>
      <c r="X461" s="2115">
        <f>X443</f>
        <v>0</v>
      </c>
      <c r="Y461" s="2116"/>
      <c r="Z461" s="2117">
        <f>Z443</f>
        <v>0</v>
      </c>
      <c r="AA461" s="2116"/>
      <c r="AB461" s="2117">
        <f>AB443</f>
        <v>0</v>
      </c>
      <c r="AC461" s="2118"/>
    </row>
    <row r="462" spans="1:29" ht="15.45">
      <c r="A462" s="288" t="s">
        <v>198</v>
      </c>
      <c r="B462" s="273"/>
      <c r="C462" s="273"/>
      <c r="D462" s="273"/>
      <c r="E462" s="273"/>
      <c r="F462" s="2073">
        <v>0</v>
      </c>
      <c r="G462" s="2074"/>
      <c r="H462" s="2075">
        <v>0</v>
      </c>
      <c r="I462" s="2074"/>
      <c r="J462" s="2075">
        <v>0</v>
      </c>
      <c r="K462" s="2076"/>
      <c r="L462" s="2077">
        <f>IF(P470="No",L444,F462+L444)</f>
        <v>0</v>
      </c>
      <c r="M462" s="2078"/>
      <c r="N462" s="2079">
        <f>IF(P470="No",N444,H462+N444)</f>
        <v>0</v>
      </c>
      <c r="O462" s="2078"/>
      <c r="P462" s="2079">
        <f>IF(P470="No",P444,J462+P444)</f>
        <v>0</v>
      </c>
      <c r="Q462" s="2080"/>
      <c r="R462" s="2081">
        <f>IF(V470="Yes",F462+R444,IF(R472="Water",IF(R471="Yes",V471,0),R444))</f>
        <v>0</v>
      </c>
      <c r="S462" s="2071"/>
      <c r="T462" s="2071">
        <f>IF(V470="Yes",H462+T444,IF(T472="Oil",IF(R471="Yes",V471,0),T444))</f>
        <v>0</v>
      </c>
      <c r="U462" s="2071"/>
      <c r="V462" s="2071">
        <f>IF(V470="Yes",J462+V444,IF(V472=V460,IF(R471="Yes",V471,0),V444))</f>
        <v>0</v>
      </c>
      <c r="W462" s="2072"/>
      <c r="X462" s="2081">
        <f>IF(AB470="Yes",F462+X444,IF(X472="Water",IF(X471="Yes",AB471,0),X444))</f>
        <v>0</v>
      </c>
      <c r="Y462" s="2071"/>
      <c r="Z462" s="2071">
        <f>IF(AB470="Yes",H462+Z444,IF(Z472=Z460,IF(X471="Yes",AB471,0),Z444))</f>
        <v>0</v>
      </c>
      <c r="AA462" s="2071"/>
      <c r="AB462" s="2071">
        <f>IF(AB470="Yes",J462+AB444,IF(AB472=AB460,IF(X471="Yes",AB471,0),AB444))</f>
        <v>0</v>
      </c>
      <c r="AC462" s="2072"/>
    </row>
    <row r="463" spans="1:29" ht="15.45">
      <c r="A463" s="288" t="s">
        <v>199</v>
      </c>
      <c r="B463" s="273"/>
      <c r="C463" s="273"/>
      <c r="D463" s="273"/>
      <c r="E463" s="273"/>
      <c r="F463" s="2073">
        <v>0</v>
      </c>
      <c r="G463" s="2074"/>
      <c r="H463" s="2075">
        <v>0</v>
      </c>
      <c r="I463" s="2074"/>
      <c r="J463" s="2075">
        <v>0</v>
      </c>
      <c r="K463" s="2076"/>
      <c r="L463" s="2077">
        <f>IF(P470="No",L445,F463+L445)</f>
        <v>0</v>
      </c>
      <c r="M463" s="2078"/>
      <c r="N463" s="2079">
        <f>IF(P470="No",N445,H463+N445)</f>
        <v>0</v>
      </c>
      <c r="O463" s="2078"/>
      <c r="P463" s="2079">
        <f>IF(P470="No",P445,J463+P445)</f>
        <v>0</v>
      </c>
      <c r="Q463" s="2080"/>
      <c r="R463" s="2081">
        <f>IF(V470="Yes",R445+F463,R445)</f>
        <v>0</v>
      </c>
      <c r="S463" s="2071"/>
      <c r="T463" s="2071">
        <f>IF(V470="Yes",T445+H463,T445)</f>
        <v>0</v>
      </c>
      <c r="U463" s="2071"/>
      <c r="V463" s="2071">
        <f>IF(V470="Yes",V445+J463,V445)</f>
        <v>0</v>
      </c>
      <c r="W463" s="2072"/>
      <c r="X463" s="2081">
        <f>IF(AB470="Yes",X445+F463,X445)</f>
        <v>0</v>
      </c>
      <c r="Y463" s="2071"/>
      <c r="Z463" s="2071">
        <f>IF(AB470="Yes",Z445+H463,Z445)</f>
        <v>0</v>
      </c>
      <c r="AA463" s="2071"/>
      <c r="AB463" s="2071">
        <f>IF(AB470="Yes",AB445+J463,AB445)</f>
        <v>0</v>
      </c>
      <c r="AC463" s="2072"/>
    </row>
    <row r="464" spans="1:29" ht="15.45">
      <c r="A464" s="288" t="s">
        <v>200</v>
      </c>
      <c r="B464" s="273"/>
      <c r="C464" s="273"/>
      <c r="D464" s="273"/>
      <c r="E464" s="273"/>
      <c r="F464" s="259"/>
      <c r="G464" s="260"/>
      <c r="H464" s="261"/>
      <c r="I464" s="263"/>
      <c r="J464" s="264"/>
      <c r="K464" s="265"/>
      <c r="L464" s="2077">
        <f>L461+L462-L463</f>
        <v>0</v>
      </c>
      <c r="M464" s="2078"/>
      <c r="N464" s="2079">
        <f>SUM(N461,N462,-N463)</f>
        <v>0</v>
      </c>
      <c r="O464" s="2078"/>
      <c r="P464" s="2079">
        <f>SUM(P461,P462,-P463)</f>
        <v>0</v>
      </c>
      <c r="Q464" s="2080"/>
      <c r="R464" s="2081">
        <f>SUM(R461,R462,-R463)</f>
        <v>0</v>
      </c>
      <c r="S464" s="2071"/>
      <c r="T464" s="2071">
        <f>SUM(T461,T462,-T463)</f>
        <v>0</v>
      </c>
      <c r="U464" s="2071"/>
      <c r="V464" s="2071">
        <f>SUM(V461,V462,-V463)</f>
        <v>0</v>
      </c>
      <c r="W464" s="2072"/>
      <c r="X464" s="2081">
        <f>SUM(X461,X462,-X463)</f>
        <v>0</v>
      </c>
      <c r="Y464" s="2071"/>
      <c r="Z464" s="2071">
        <f>SUM(Z461,Z462,-Z463)</f>
        <v>0</v>
      </c>
      <c r="AA464" s="2071"/>
      <c r="AB464" s="2071">
        <f>SUM(AB461,AB462,-AB463)</f>
        <v>0</v>
      </c>
      <c r="AC464" s="2072"/>
    </row>
    <row r="465" spans="1:29" ht="15.45">
      <c r="A465" s="288" t="s">
        <v>201</v>
      </c>
      <c r="B465" s="273"/>
      <c r="C465" s="273"/>
      <c r="D465" s="273"/>
      <c r="E465" s="273"/>
      <c r="F465" s="259"/>
      <c r="G465" s="260"/>
      <c r="H465" s="261"/>
      <c r="I465" s="263"/>
      <c r="J465" s="264"/>
      <c r="K465" s="265"/>
      <c r="L465" s="2073">
        <f>L447</f>
        <v>0</v>
      </c>
      <c r="M465" s="2074"/>
      <c r="N465" s="2075">
        <f>N447</f>
        <v>0</v>
      </c>
      <c r="O465" s="2074"/>
      <c r="P465" s="2075">
        <f>P447</f>
        <v>0</v>
      </c>
      <c r="Q465" s="2076"/>
      <c r="R465" s="2081">
        <f>R447</f>
        <v>0</v>
      </c>
      <c r="S465" s="2071"/>
      <c r="T465" s="2071">
        <f>T447</f>
        <v>0</v>
      </c>
      <c r="U465" s="2071"/>
      <c r="V465" s="2128">
        <f>V447</f>
        <v>0</v>
      </c>
      <c r="W465" s="2129"/>
      <c r="X465" s="2081">
        <f>X447</f>
        <v>0</v>
      </c>
      <c r="Y465" s="2071"/>
      <c r="Z465" s="2071">
        <f>Z447</f>
        <v>0</v>
      </c>
      <c r="AA465" s="2071"/>
      <c r="AB465" s="2128">
        <f>AB447</f>
        <v>0</v>
      </c>
      <c r="AC465" s="2129"/>
    </row>
    <row r="466" spans="1:29" ht="15.45">
      <c r="A466" s="288" t="s">
        <v>202</v>
      </c>
      <c r="B466" s="273"/>
      <c r="C466" s="273"/>
      <c r="D466" s="273"/>
      <c r="E466" s="273"/>
      <c r="F466" s="259"/>
      <c r="G466" s="260"/>
      <c r="H466" s="261"/>
      <c r="I466" s="263"/>
      <c r="J466" s="264"/>
      <c r="K466" s="265"/>
      <c r="L466" s="2077">
        <f>IF(P470="No",L448,L448+F462-F463+F469-F470)</f>
        <v>0</v>
      </c>
      <c r="M466" s="2078"/>
      <c r="N466" s="2079">
        <f>IF(P470="No",N448,N448+H462-H463+H469-H470)</f>
        <v>0</v>
      </c>
      <c r="O466" s="2078"/>
      <c r="P466" s="2079">
        <f>IF(P470="No",P448,P448+J462-J463+J469-J470)</f>
        <v>0</v>
      </c>
      <c r="Q466" s="2080"/>
      <c r="R466" s="2071">
        <f>IF(V470="Yes",R448+F462-F463+F469-F470,IF(P471="Yes",IF(R472=R460,R462-R463-V472,0),R448))</f>
        <v>0</v>
      </c>
      <c r="S466" s="2071"/>
      <c r="T466" s="2071">
        <f>IF(V470="Yes",T448+H462-H463+H469-H470,IF(R471="Yes",IF(R472=T460,T462-T463-V472,0),T448))</f>
        <v>0</v>
      </c>
      <c r="U466" s="2071"/>
      <c r="V466" s="2071">
        <f>IF(V470="Yes",V448+J462-J463+J469-J470,IF(T471="Yes",IF(R472=V460,V462-V463-V472,0),V448))</f>
        <v>0</v>
      </c>
      <c r="W466" s="2072"/>
      <c r="X466" s="2071">
        <f>IF(AB470="Yes",X448+F462-F463+F469-F470,IF(V471="Yes",IF(X472=X460,X462-X463-AB472,0),X448))</f>
        <v>0</v>
      </c>
      <c r="Y466" s="2071"/>
      <c r="Z466" s="2071">
        <f>IF(AB470="Yes",Z448+H462-H463+H469-H470,IF(X471="Yes",IF(X472=Z460,Z462-Z463-AB472,0),Z448))</f>
        <v>0</v>
      </c>
      <c r="AA466" s="2071"/>
      <c r="AB466" s="2071">
        <f>IF(AB470="Yes",AB448+J462-J463+J469-J470,IF(Z471="Yes",IF(X472=AB460,AB462-AB463-AB472,0),AB448))</f>
        <v>0</v>
      </c>
      <c r="AC466" s="2072"/>
    </row>
    <row r="467" spans="1:29" ht="15.45">
      <c r="A467" s="288" t="s">
        <v>203</v>
      </c>
      <c r="B467" s="273"/>
      <c r="C467" s="273"/>
      <c r="D467" s="273"/>
      <c r="E467" s="273"/>
      <c r="F467" s="2110"/>
      <c r="G467" s="2111"/>
      <c r="H467" s="2111"/>
      <c r="I467" s="2111"/>
      <c r="J467" s="2111"/>
      <c r="K467" s="2112"/>
      <c r="L467" s="2113">
        <f>IF(P470="No",0,IF(L464-L465-L466&lt;0,0,SUM(L464,-L465,-L466)))</f>
        <v>0</v>
      </c>
      <c r="M467" s="2114"/>
      <c r="N467" s="2113">
        <f>IF(P470="No",0,IF(N464-N465-N466&lt;0,0,SUM(N464,-N465,-N466)))</f>
        <v>0</v>
      </c>
      <c r="O467" s="2114"/>
      <c r="P467" s="2079">
        <f>IF(P470="No",0,IF(P464-P465-P466&lt;0,0,SUM(P464,-P465,-P466)))</f>
        <v>0</v>
      </c>
      <c r="Q467" s="2080"/>
      <c r="R467" s="2127">
        <f>IF(V470="No",0,IF(R464-R465-R466&lt;0,0,SUM(R464,-R465,-R466)))</f>
        <v>0</v>
      </c>
      <c r="S467" s="2114"/>
      <c r="T467" s="2113">
        <f>IF(V470="No",0,IF(T464-T465-T466&lt;0,0,SUM(T464,-T465,-T466)))</f>
        <v>0</v>
      </c>
      <c r="U467" s="2114"/>
      <c r="V467" s="2079">
        <f>IF(V470="No",0,IF(V464-V465-V466&lt;0,0,SUM(V464,-V465,-V466)))</f>
        <v>0</v>
      </c>
      <c r="W467" s="2080"/>
      <c r="X467" s="2113">
        <f>IF(AB470="No",0,IF(X464-X465-X466&lt;0,0,SUM(X464,-X465,-X466)))</f>
        <v>0</v>
      </c>
      <c r="Y467" s="2114"/>
      <c r="Z467" s="2113">
        <f>IF(AB470="No",0,IF(Z464-Z465-Z466&lt;0,0,SUM(Z464,-Z465,-Z466)))</f>
        <v>0</v>
      </c>
      <c r="AA467" s="2114"/>
      <c r="AB467" s="2079">
        <f>IF(AB470="No",0,IF(AB464-AB465-AB466&lt;0,0,SUM(AB464,-AB465,-AB466)))</f>
        <v>0</v>
      </c>
      <c r="AC467" s="2080"/>
    </row>
    <row r="468" spans="1:29" ht="15.45">
      <c r="A468" s="1177" t="s">
        <v>929</v>
      </c>
      <c r="B468" s="273"/>
      <c r="C468" s="273"/>
      <c r="D468" s="273"/>
      <c r="E468" s="1176"/>
      <c r="F468" s="1166"/>
      <c r="G468" s="1167"/>
      <c r="H468" s="1167"/>
      <c r="I468" s="1167"/>
      <c r="J468" s="1167"/>
      <c r="K468" s="1168"/>
      <c r="L468" s="2131">
        <f>IF(P470="No",0,IF((L464-L465-L466)&lt;0,(L464-L465-L466)*-1,0))</f>
        <v>0</v>
      </c>
      <c r="M468" s="2131"/>
      <c r="N468" s="2131">
        <f>IF(R470="No",0,IF((N464-N465-N466)&lt;0,(N464-N465-N466)*-1,0))</f>
        <v>0</v>
      </c>
      <c r="O468" s="2131"/>
      <c r="P468" s="2131">
        <f>IF(T470="No",0,IF((P464-P465-P466)&lt;0,(P464-P465-P466)*-1,0))</f>
        <v>0</v>
      </c>
      <c r="Q468" s="2132"/>
      <c r="R468" s="2078">
        <f>IF(V470="No",0,IF((R464-R465-R466)&lt;0,(R464-R465-R466)*-1,0))</f>
        <v>0</v>
      </c>
      <c r="S468" s="2131"/>
      <c r="T468" s="2131">
        <f>IF(V470="No",0,IF((T464-T465-T466)&lt;0,(T464-T465-T466)*-1,0))</f>
        <v>0</v>
      </c>
      <c r="U468" s="2131"/>
      <c r="V468" s="2131">
        <f>IF(V470="No",0,IF((V464-V465-V466)&lt;0,(V464-V465-V466)*-1,0))</f>
        <v>0</v>
      </c>
      <c r="W468" s="2132"/>
      <c r="X468" s="2134">
        <f>IF(AB470="No",0,IF((X464-X465-X466)&lt;0,(X464-X465-X466)*-1,0))</f>
        <v>0</v>
      </c>
      <c r="Y468" s="2131"/>
      <c r="Z468" s="2131">
        <f>IF(AB470="No",0,IF((Z464-Z465-Z466)&lt;0,(Z464-Z465-Z466)*-1,0))</f>
        <v>0</v>
      </c>
      <c r="AA468" s="2131"/>
      <c r="AB468" s="2131">
        <f>IF(AB470="No",0,IF((AB464-AB465-AB466)&lt;0,(AB464-AB465-AB466)*-1,0))</f>
        <v>0</v>
      </c>
      <c r="AC468" s="2132"/>
    </row>
    <row r="469" spans="1:29" ht="16.100000000000001" thickBot="1">
      <c r="A469" s="505" t="s">
        <v>991</v>
      </c>
      <c r="B469" s="506"/>
      <c r="C469" s="506"/>
      <c r="D469" s="506"/>
      <c r="E469" s="291"/>
      <c r="F469" s="2073">
        <v>0</v>
      </c>
      <c r="G469" s="2074"/>
      <c r="H469" s="2075">
        <v>0</v>
      </c>
      <c r="I469" s="2074"/>
      <c r="J469" s="2101">
        <v>0</v>
      </c>
      <c r="K469" s="2102"/>
      <c r="L469" s="292"/>
      <c r="M469" s="293"/>
      <c r="N469" s="292"/>
      <c r="O469" s="293"/>
      <c r="P469" s="294"/>
      <c r="Q469" s="295"/>
      <c r="R469" s="296"/>
      <c r="S469" s="293"/>
      <c r="T469" s="292"/>
      <c r="U469" s="293"/>
      <c r="V469" s="292"/>
      <c r="W469" s="297"/>
      <c r="X469" s="296"/>
      <c r="Y469" s="293"/>
      <c r="Z469" s="292"/>
      <c r="AA469" s="293"/>
      <c r="AB469" s="292"/>
      <c r="AC469" s="297"/>
    </row>
    <row r="470" spans="1:29" ht="16.100000000000001" thickBot="1">
      <c r="A470" s="290" t="s">
        <v>992</v>
      </c>
      <c r="B470" s="21"/>
      <c r="C470" s="21"/>
      <c r="D470" s="21"/>
      <c r="F470" s="2096">
        <v>0</v>
      </c>
      <c r="G470" s="2097"/>
      <c r="H470" s="2098">
        <v>0</v>
      </c>
      <c r="I470" s="2097"/>
      <c r="J470" s="2103">
        <v>0</v>
      </c>
      <c r="K470" s="2104"/>
      <c r="L470" s="2093" t="s">
        <v>417</v>
      </c>
      <c r="M470" s="2094"/>
      <c r="N470" s="2094"/>
      <c r="O470" s="2095"/>
      <c r="P470" s="2106" t="str">
        <f>P452</f>
        <v>Yes</v>
      </c>
      <c r="Q470" s="2107"/>
      <c r="R470" s="2093" t="s">
        <v>417</v>
      </c>
      <c r="S470" s="2094"/>
      <c r="T470" s="2094"/>
      <c r="U470" s="2095"/>
      <c r="V470" s="2106" t="str">
        <f>V452</f>
        <v>No</v>
      </c>
      <c r="W470" s="2107"/>
      <c r="X470" s="2093" t="s">
        <v>417</v>
      </c>
      <c r="Y470" s="2094"/>
      <c r="Z470" s="2094"/>
      <c r="AA470" s="2095"/>
      <c r="AB470" s="2106" t="str">
        <f>AB452</f>
        <v>No</v>
      </c>
      <c r="AC470" s="2107"/>
    </row>
    <row r="471" spans="1:29" ht="13.75" thickBot="1">
      <c r="L471" s="2093" t="s">
        <v>419</v>
      </c>
      <c r="M471" s="2094"/>
      <c r="N471" s="2094"/>
      <c r="O471" s="2094"/>
      <c r="P471" s="2094"/>
      <c r="Q471" s="2095"/>
      <c r="R471" s="2106" t="str">
        <f>R453</f>
        <v>No</v>
      </c>
      <c r="S471" s="2107"/>
      <c r="T471" s="2093" t="s">
        <v>420</v>
      </c>
      <c r="U471" s="2095"/>
      <c r="V471" s="2121">
        <v>0</v>
      </c>
      <c r="W471" s="2122"/>
    </row>
    <row r="472" spans="1:29" ht="13.5" thickBot="1">
      <c r="L472" s="2093" t="s">
        <v>421</v>
      </c>
      <c r="M472" s="2094"/>
      <c r="N472" s="2094"/>
      <c r="O472" s="2094"/>
      <c r="P472" s="2094"/>
      <c r="Q472" s="2095"/>
      <c r="R472" s="2119">
        <v>0</v>
      </c>
      <c r="S472" s="2120"/>
      <c r="T472" s="2123" t="s">
        <v>422</v>
      </c>
      <c r="U472" s="2124"/>
      <c r="V472" s="2125">
        <v>0</v>
      </c>
      <c r="W472" s="2126"/>
    </row>
    <row r="473" spans="1:29" ht="13.75" thickBot="1">
      <c r="L473" s="2093" t="s">
        <v>921</v>
      </c>
      <c r="M473" s="2094"/>
      <c r="N473" s="2094"/>
      <c r="O473" s="2094"/>
      <c r="P473" s="2094"/>
      <c r="Q473" s="2095"/>
      <c r="R473" s="2106" t="str">
        <f>R455</f>
        <v>No</v>
      </c>
      <c r="S473" s="2107"/>
      <c r="T473" s="2093" t="s">
        <v>420</v>
      </c>
      <c r="U473" s="2095"/>
      <c r="V473" s="2121">
        <v>0</v>
      </c>
      <c r="W473" s="2122"/>
    </row>
    <row r="474" spans="1:29" ht="13.5" thickBot="1">
      <c r="L474" s="2093" t="s">
        <v>421</v>
      </c>
      <c r="M474" s="2094"/>
      <c r="N474" s="2094"/>
      <c r="O474" s="2094"/>
      <c r="P474" s="2094"/>
      <c r="Q474" s="2095"/>
      <c r="R474" s="2119">
        <v>0</v>
      </c>
      <c r="S474" s="2120"/>
      <c r="T474" s="2123" t="s">
        <v>422</v>
      </c>
      <c r="U474" s="2124"/>
      <c r="V474" s="2125">
        <v>0</v>
      </c>
      <c r="W474" s="2126"/>
    </row>
    <row r="475" spans="1:29" ht="13.1">
      <c r="A475" s="1644" t="s">
        <v>221</v>
      </c>
      <c r="B475" s="1644"/>
      <c r="C475" s="2130">
        <f>'Cost Control'!K161</f>
        <v>26</v>
      </c>
      <c r="D475" s="2130"/>
      <c r="E475" s="2130"/>
      <c r="F475" s="2130"/>
      <c r="G475" s="2130"/>
      <c r="H475" s="2130"/>
      <c r="I475" s="2130"/>
      <c r="L475" t="str">
        <f>IF(SUM(L467:Q467)=0," ","LTR SUMMARY:")</f>
        <v xml:space="preserve"> </v>
      </c>
      <c r="O475" s="1422">
        <f>SUM(L467:Q467)</f>
        <v>0</v>
      </c>
      <c r="P475" t="str">
        <f>IF(O475=0," ","m³")</f>
        <v xml:space="preserve"> </v>
      </c>
      <c r="R475" t="str">
        <f>IF(SUM(R467:W467)=0," ","LTR SUMMARY:")</f>
        <v xml:space="preserve"> </v>
      </c>
      <c r="U475" s="1422">
        <f>SUM(R467:W467)</f>
        <v>0</v>
      </c>
      <c r="V475" t="str">
        <f>IF(U475=0," ","m³")</f>
        <v xml:space="preserve"> </v>
      </c>
      <c r="X475" t="str">
        <f>IF(SUM(X467:AC467)=0," ","LTR SUMMARY:")</f>
        <v xml:space="preserve"> </v>
      </c>
      <c r="AA475" s="1422">
        <f>SUM(X467:AC467)</f>
        <v>0</v>
      </c>
      <c r="AB475" t="str">
        <f>IF(AA475=0," ","m³")</f>
        <v xml:space="preserve"> </v>
      </c>
    </row>
    <row r="476" spans="1:29" ht="13.5" thickBot="1"/>
    <row r="477" spans="1:29" ht="14.8" thickTop="1">
      <c r="A477" s="274" t="s">
        <v>190</v>
      </c>
      <c r="B477" s="275"/>
      <c r="C477" s="275"/>
      <c r="D477" s="275"/>
      <c r="E477" s="276"/>
      <c r="F477" s="277"/>
      <c r="G477" s="278"/>
      <c r="H477" s="271" t="s">
        <v>191</v>
      </c>
      <c r="I477" s="279"/>
      <c r="J477" s="279"/>
      <c r="K477" s="280"/>
      <c r="L477" s="279" t="str">
        <f>L459</f>
        <v xml:space="preserve">    Cum. to Date </v>
      </c>
      <c r="M477" s="281"/>
      <c r="N477" s="279"/>
      <c r="O477" s="334">
        <f>O459</f>
        <v>0</v>
      </c>
      <c r="P477" s="271"/>
      <c r="Q477" s="282"/>
      <c r="R477" s="283" t="str">
        <f>R459</f>
        <v xml:space="preserve">Cum. to Date </v>
      </c>
      <c r="S477" s="281"/>
      <c r="T477" s="279"/>
      <c r="U477" s="334">
        <f>U459</f>
        <v>0</v>
      </c>
      <c r="V477" s="284"/>
      <c r="W477" s="272"/>
      <c r="X477" s="283" t="str">
        <f>X459</f>
        <v xml:space="preserve">Cum. to Date </v>
      </c>
      <c r="Y477" s="281"/>
      <c r="Z477" s="279"/>
      <c r="AA477" s="334">
        <f>AA459</f>
        <v>0</v>
      </c>
      <c r="AB477" s="284"/>
      <c r="AC477" s="272"/>
    </row>
    <row r="478" spans="1:29" ht="14.8" thickBot="1">
      <c r="A478" s="285" t="s">
        <v>192</v>
      </c>
      <c r="B478" s="286"/>
      <c r="C478" s="286"/>
      <c r="D478" s="286"/>
      <c r="E478" s="287"/>
      <c r="F478" s="2067" t="s">
        <v>193</v>
      </c>
      <c r="G478" s="2068"/>
      <c r="H478" s="2069" t="s">
        <v>194</v>
      </c>
      <c r="I478" s="2070"/>
      <c r="J478" s="2069" t="str">
        <f>J460</f>
        <v>Other (1)</v>
      </c>
      <c r="K478" s="2091"/>
      <c r="L478" s="2092" t="s">
        <v>195</v>
      </c>
      <c r="M478" s="2070"/>
      <c r="N478" s="2069" t="s">
        <v>196</v>
      </c>
      <c r="O478" s="2070"/>
      <c r="P478" s="2069" t="str">
        <f>IF(P488="Yes",J478," ")</f>
        <v>Other (1)</v>
      </c>
      <c r="Q478" s="2091"/>
      <c r="R478" s="2092" t="str">
        <f>R460</f>
        <v>Water</v>
      </c>
      <c r="S478" s="2070"/>
      <c r="T478" s="2069" t="str">
        <f>T460</f>
        <v>Oil</v>
      </c>
      <c r="U478" s="2070"/>
      <c r="V478" s="2082" t="str">
        <f>IF(V488="Yes",J478," ")</f>
        <v xml:space="preserve"> </v>
      </c>
      <c r="W478" s="2083"/>
      <c r="X478" s="2092" t="str">
        <f>X460</f>
        <v>Water</v>
      </c>
      <c r="Y478" s="2070"/>
      <c r="Z478" s="2069" t="str">
        <f>Z460</f>
        <v>Oil</v>
      </c>
      <c r="AA478" s="2070"/>
      <c r="AB478" s="2082" t="str">
        <f>IF(AB488="Yes",J478," ")</f>
        <v xml:space="preserve"> </v>
      </c>
      <c r="AC478" s="2083"/>
    </row>
    <row r="479" spans="1:29" ht="16.100000000000001" thickTop="1">
      <c r="A479" s="288" t="s">
        <v>197</v>
      </c>
      <c r="B479" s="289"/>
      <c r="C479" s="289"/>
      <c r="D479" s="289"/>
      <c r="E479" s="289"/>
      <c r="F479" s="259"/>
      <c r="G479" s="260"/>
      <c r="H479" s="261"/>
      <c r="I479" s="260"/>
      <c r="J479" s="261"/>
      <c r="K479" s="262"/>
      <c r="L479" s="2084">
        <f>L461</f>
        <v>0</v>
      </c>
      <c r="M479" s="2084"/>
      <c r="N479" s="2085">
        <f>N461</f>
        <v>0</v>
      </c>
      <c r="O479" s="2086"/>
      <c r="P479" s="2085">
        <f>P461</f>
        <v>0</v>
      </c>
      <c r="Q479" s="2087"/>
      <c r="R479" s="2115">
        <f>R461</f>
        <v>0</v>
      </c>
      <c r="S479" s="2116"/>
      <c r="T479" s="2117">
        <f>T461</f>
        <v>0</v>
      </c>
      <c r="U479" s="2116"/>
      <c r="V479" s="2117">
        <f>V461</f>
        <v>0</v>
      </c>
      <c r="W479" s="2118"/>
      <c r="X479" s="2115">
        <f>X461</f>
        <v>0</v>
      </c>
      <c r="Y479" s="2116"/>
      <c r="Z479" s="2117">
        <f>Z461</f>
        <v>0</v>
      </c>
      <c r="AA479" s="2116"/>
      <c r="AB479" s="2117">
        <f>AB461</f>
        <v>0</v>
      </c>
      <c r="AC479" s="2118"/>
    </row>
    <row r="480" spans="1:29" ht="15.45">
      <c r="A480" s="288" t="s">
        <v>198</v>
      </c>
      <c r="B480" s="273"/>
      <c r="C480" s="273"/>
      <c r="D480" s="273"/>
      <c r="E480" s="273"/>
      <c r="F480" s="2073">
        <v>0</v>
      </c>
      <c r="G480" s="2074"/>
      <c r="H480" s="2075">
        <v>0</v>
      </c>
      <c r="I480" s="2074"/>
      <c r="J480" s="2075">
        <v>0</v>
      </c>
      <c r="K480" s="2076"/>
      <c r="L480" s="2077">
        <f>IF(P488="No",L462,F480+L462)</f>
        <v>0</v>
      </c>
      <c r="M480" s="2078"/>
      <c r="N480" s="2079">
        <f>IF(P488="No",N462,H480+N462)</f>
        <v>0</v>
      </c>
      <c r="O480" s="2078"/>
      <c r="P480" s="2079">
        <f>IF(P488="No",P462,J480+P462)</f>
        <v>0</v>
      </c>
      <c r="Q480" s="2080"/>
      <c r="R480" s="2081">
        <f>IF(V488="Yes",F480+R462,IF(R490="Water",IF(R489="Yes",V489,0),R462))</f>
        <v>0</v>
      </c>
      <c r="S480" s="2071"/>
      <c r="T480" s="2071">
        <f>IF(V488="Yes",H480+T462,IF(T490="Oil",IF(R489="Yes",V489,0),T462))</f>
        <v>0</v>
      </c>
      <c r="U480" s="2071"/>
      <c r="V480" s="2071">
        <f>IF(V488="Yes",J480+V462,IF(V490=V478,IF(R489="Yes",V489,0),V462))</f>
        <v>0</v>
      </c>
      <c r="W480" s="2072"/>
      <c r="X480" s="2081">
        <f>IF(AB488="Yes",F480+X462,IF(X490="Water",IF(X489="Yes",AB489,0),X462))</f>
        <v>0</v>
      </c>
      <c r="Y480" s="2071"/>
      <c r="Z480" s="2071">
        <f>IF(AB488="Yes",H480+Z462,IF(Z490=Z478,IF(X489="Yes",AB489,0),Z462))</f>
        <v>0</v>
      </c>
      <c r="AA480" s="2071"/>
      <c r="AB480" s="2071">
        <f>IF(AB488="Yes",J480+AB462,IF(AB490=AB478,IF(X489="Yes",AB489,0),AB462))</f>
        <v>0</v>
      </c>
      <c r="AC480" s="2072"/>
    </row>
    <row r="481" spans="1:29" ht="15.45">
      <c r="A481" s="288" t="s">
        <v>199</v>
      </c>
      <c r="B481" s="273"/>
      <c r="C481" s="273"/>
      <c r="D481" s="273"/>
      <c r="E481" s="273"/>
      <c r="F481" s="2073">
        <v>0</v>
      </c>
      <c r="G481" s="2074"/>
      <c r="H481" s="2075">
        <v>0</v>
      </c>
      <c r="I481" s="2074"/>
      <c r="J481" s="2075">
        <v>0</v>
      </c>
      <c r="K481" s="2076"/>
      <c r="L481" s="2077">
        <f>IF(P488="No",L463,F481+L463)</f>
        <v>0</v>
      </c>
      <c r="M481" s="2078"/>
      <c r="N481" s="2079">
        <f>IF(P488="No",N463,H481+N463)</f>
        <v>0</v>
      </c>
      <c r="O481" s="2078"/>
      <c r="P481" s="2079">
        <f>IF(P488="No",P463,J481+P463)</f>
        <v>0</v>
      </c>
      <c r="Q481" s="2080"/>
      <c r="R481" s="2081">
        <f>IF(V488="Yes",R463+F481,R463)</f>
        <v>0</v>
      </c>
      <c r="S481" s="2071"/>
      <c r="T481" s="2071">
        <f>IF(V488="Yes",T463+H481,T463)</f>
        <v>0</v>
      </c>
      <c r="U481" s="2071"/>
      <c r="V481" s="2071">
        <f>IF(V488="Yes",V463+J481,V463)</f>
        <v>0</v>
      </c>
      <c r="W481" s="2072"/>
      <c r="X481" s="2081">
        <f>IF(AB488="Yes",X463+F481,X463)</f>
        <v>0</v>
      </c>
      <c r="Y481" s="2071"/>
      <c r="Z481" s="2071">
        <f>IF(AB488="Yes",Z463+H481,Z463)</f>
        <v>0</v>
      </c>
      <c r="AA481" s="2071"/>
      <c r="AB481" s="2071">
        <f>IF(AB488="Yes",AB463+J481,AB463)</f>
        <v>0</v>
      </c>
      <c r="AC481" s="2072"/>
    </row>
    <row r="482" spans="1:29" ht="15.45">
      <c r="A482" s="288" t="s">
        <v>200</v>
      </c>
      <c r="B482" s="273"/>
      <c r="C482" s="273"/>
      <c r="D482" s="273"/>
      <c r="E482" s="273"/>
      <c r="F482" s="259"/>
      <c r="G482" s="260"/>
      <c r="H482" s="261"/>
      <c r="I482" s="263"/>
      <c r="J482" s="264"/>
      <c r="K482" s="265"/>
      <c r="L482" s="2077">
        <f>L479+L480-L481</f>
        <v>0</v>
      </c>
      <c r="M482" s="2078"/>
      <c r="N482" s="2079">
        <f>SUM(N479,N480,-N481)</f>
        <v>0</v>
      </c>
      <c r="O482" s="2078"/>
      <c r="P482" s="2079">
        <f>SUM(P479,P480,-P481)</f>
        <v>0</v>
      </c>
      <c r="Q482" s="2080"/>
      <c r="R482" s="2081">
        <f>SUM(R479,R480,-R481)</f>
        <v>0</v>
      </c>
      <c r="S482" s="2071"/>
      <c r="T482" s="2071">
        <f>SUM(T479,T480,-T481)</f>
        <v>0</v>
      </c>
      <c r="U482" s="2071"/>
      <c r="V482" s="2071">
        <f>SUM(V479,V480,-V481)</f>
        <v>0</v>
      </c>
      <c r="W482" s="2072"/>
      <c r="X482" s="2081">
        <f>SUM(X479,X480,-X481)</f>
        <v>0</v>
      </c>
      <c r="Y482" s="2071"/>
      <c r="Z482" s="2071">
        <f>SUM(Z479,Z480,-Z481)</f>
        <v>0</v>
      </c>
      <c r="AA482" s="2071"/>
      <c r="AB482" s="2071">
        <f>SUM(AB479,AB480,-AB481)</f>
        <v>0</v>
      </c>
      <c r="AC482" s="2072"/>
    </row>
    <row r="483" spans="1:29" ht="15.45">
      <c r="A483" s="288" t="s">
        <v>201</v>
      </c>
      <c r="B483" s="273"/>
      <c r="C483" s="273"/>
      <c r="D483" s="273"/>
      <c r="E483" s="273"/>
      <c r="F483" s="259"/>
      <c r="G483" s="260"/>
      <c r="H483" s="261"/>
      <c r="I483" s="263"/>
      <c r="J483" s="264"/>
      <c r="K483" s="265"/>
      <c r="L483" s="2073">
        <f>L465</f>
        <v>0</v>
      </c>
      <c r="M483" s="2074"/>
      <c r="N483" s="2075">
        <f>N465</f>
        <v>0</v>
      </c>
      <c r="O483" s="2074"/>
      <c r="P483" s="2075">
        <f>P465</f>
        <v>0</v>
      </c>
      <c r="Q483" s="2076"/>
      <c r="R483" s="2081">
        <f>R465</f>
        <v>0</v>
      </c>
      <c r="S483" s="2071"/>
      <c r="T483" s="2071">
        <f>T465</f>
        <v>0</v>
      </c>
      <c r="U483" s="2071"/>
      <c r="V483" s="2128">
        <f>V465</f>
        <v>0</v>
      </c>
      <c r="W483" s="2129"/>
      <c r="X483" s="2081">
        <f>X465</f>
        <v>0</v>
      </c>
      <c r="Y483" s="2071"/>
      <c r="Z483" s="2071">
        <f>Z465</f>
        <v>0</v>
      </c>
      <c r="AA483" s="2071"/>
      <c r="AB483" s="2128">
        <f>AB465</f>
        <v>0</v>
      </c>
      <c r="AC483" s="2129"/>
    </row>
    <row r="484" spans="1:29" ht="15.45">
      <c r="A484" s="288" t="s">
        <v>202</v>
      </c>
      <c r="B484" s="273"/>
      <c r="C484" s="273"/>
      <c r="D484" s="273"/>
      <c r="E484" s="273"/>
      <c r="F484" s="259"/>
      <c r="G484" s="260"/>
      <c r="H484" s="261"/>
      <c r="I484" s="263"/>
      <c r="J484" s="264"/>
      <c r="K484" s="265"/>
      <c r="L484" s="2077">
        <f>IF(P488="No",L466,L466+F480-F481+F487-F488)</f>
        <v>0</v>
      </c>
      <c r="M484" s="2078"/>
      <c r="N484" s="2079">
        <f>IF(P488="No",N466,N466+H480-H481+H487-H488)</f>
        <v>0</v>
      </c>
      <c r="O484" s="2078"/>
      <c r="P484" s="2079">
        <f>IF(P488="No",P466,P466+J480-J481+J487-J488)</f>
        <v>0</v>
      </c>
      <c r="Q484" s="2080"/>
      <c r="R484" s="2071">
        <f>IF(V488="Yes",R466+F480-F481+F487-F488,IF(P489="Yes",IF(R490=R478,R480-R481-V490,0),R466))</f>
        <v>0</v>
      </c>
      <c r="S484" s="2071"/>
      <c r="T484" s="2071">
        <f>IF(V488="Yes",T466+H480-H481+H487-H488,IF(R489="Yes",IF(R490=T478,T480-T481-V490,0),T466))</f>
        <v>0</v>
      </c>
      <c r="U484" s="2071"/>
      <c r="V484" s="2071">
        <f>IF(V488="Yes",V466+J480-J481+J487-J488,IF(T489="Yes",IF(R490=V478,V480-V481-V490,0),V466))</f>
        <v>0</v>
      </c>
      <c r="W484" s="2072"/>
      <c r="X484" s="2071">
        <f>IF(AB488="Yes",X466+F480-F481+F487-F488,IF(V489="Yes",IF(X490=X478,X480-X481-AB490,0),X466))</f>
        <v>0</v>
      </c>
      <c r="Y484" s="2071"/>
      <c r="Z484" s="2071">
        <f>IF(AB488="Yes",Z466+H480-H481+H487-H488,IF(X489="Yes",IF(X490=Z478,Z480-Z481-AB490,0),Z466))</f>
        <v>0</v>
      </c>
      <c r="AA484" s="2071"/>
      <c r="AB484" s="2071">
        <f>IF(AB488="Yes",AB466+J480-J481+J487-J488,IF(Z489="Yes",IF(X490=AB478,AB480-AB481-AB490,0),AB466))</f>
        <v>0</v>
      </c>
      <c r="AC484" s="2072"/>
    </row>
    <row r="485" spans="1:29" ht="15.45">
      <c r="A485" s="288" t="s">
        <v>203</v>
      </c>
      <c r="B485" s="273"/>
      <c r="C485" s="273"/>
      <c r="D485" s="273"/>
      <c r="E485" s="273"/>
      <c r="F485" s="2110"/>
      <c r="G485" s="2111"/>
      <c r="H485" s="2111"/>
      <c r="I485" s="2111"/>
      <c r="J485" s="2111"/>
      <c r="K485" s="2112"/>
      <c r="L485" s="2113">
        <f>IF(P488="No",0,IF(L482-L483-L484&lt;0,0,SUM(L482,-L483,-L484)))</f>
        <v>0</v>
      </c>
      <c r="M485" s="2114"/>
      <c r="N485" s="2113">
        <f>IF(P488="No",0,IF(N482-N483-N484&lt;0,0,SUM(N482,-N483,-N484)))</f>
        <v>0</v>
      </c>
      <c r="O485" s="2114"/>
      <c r="P485" s="2079">
        <f>IF(P488="No",0,IF(P482-P483-P484&lt;0,0,SUM(P482,-P483,-P484)))</f>
        <v>0</v>
      </c>
      <c r="Q485" s="2080"/>
      <c r="R485" s="2127">
        <f>IF(V488="No",0,IF(R482-R483-R484&lt;0,0,SUM(R482,-R483,-R484)))</f>
        <v>0</v>
      </c>
      <c r="S485" s="2114"/>
      <c r="T485" s="2113">
        <f>IF(V488="No",0,IF(T482-T483-T484&lt;0,0,SUM(T482,-T483,-T484)))</f>
        <v>0</v>
      </c>
      <c r="U485" s="2114"/>
      <c r="V485" s="2079">
        <f>IF(V488="No",0,IF(V482-V483-V484&lt;0,0,SUM(V482,-V483,-V484)))</f>
        <v>0</v>
      </c>
      <c r="W485" s="2080"/>
      <c r="X485" s="2113">
        <f>IF(AB488="No",0,IF(X482-X483-X484&lt;0,0,SUM(X482,-X483,-X484)))</f>
        <v>0</v>
      </c>
      <c r="Y485" s="2114"/>
      <c r="Z485" s="2113">
        <f>IF(AB488="No",0,IF(Z482-Z483-Z484&lt;0,0,SUM(Z482,-Z483,-Z484)))</f>
        <v>0</v>
      </c>
      <c r="AA485" s="2114"/>
      <c r="AB485" s="2079">
        <f>IF(AB488="No",0,IF(AB482-AB483-AB484&lt;0,0,SUM(AB482,-AB483,-AB484)))</f>
        <v>0</v>
      </c>
      <c r="AC485" s="2080"/>
    </row>
    <row r="486" spans="1:29" ht="15.45">
      <c r="A486" s="1177" t="s">
        <v>929</v>
      </c>
      <c r="B486" s="273"/>
      <c r="C486" s="273"/>
      <c r="D486" s="273"/>
      <c r="E486" s="1176"/>
      <c r="F486" s="1166"/>
      <c r="G486" s="1167"/>
      <c r="H486" s="1167"/>
      <c r="I486" s="1167"/>
      <c r="J486" s="1167"/>
      <c r="K486" s="1168"/>
      <c r="L486" s="2131">
        <f>IF(P488="No",0,IF((L482-L483-L484)&lt;0,(L482-L483-L484)*-1,0))</f>
        <v>0</v>
      </c>
      <c r="M486" s="2131"/>
      <c r="N486" s="2131">
        <f>IF(R488="No",0,IF((N482-N483-N484)&lt;0,(N482-N483-N484)*-1,0))</f>
        <v>0</v>
      </c>
      <c r="O486" s="2131"/>
      <c r="P486" s="2131">
        <f>IF(T488="No",0,IF((P482-P483-P484)&lt;0,(P482-P483-P484)*-1,0))</f>
        <v>0</v>
      </c>
      <c r="Q486" s="2132"/>
      <c r="R486" s="2078">
        <f>IF(V488="No",0,IF((R482-R483-R484)&lt;0,(R482-R483-R484)*-1,0))</f>
        <v>0</v>
      </c>
      <c r="S486" s="2131"/>
      <c r="T486" s="2131">
        <f>IF(V488="No",0,IF((T482-T483-T484)&lt;0,(T482-T483-T484)*-1,0))</f>
        <v>0</v>
      </c>
      <c r="U486" s="2131"/>
      <c r="V486" s="2131">
        <f>IF(V488="No",0,IF((V482-V483-V484)&lt;0,(V482-V483-V484)*-1,0))</f>
        <v>0</v>
      </c>
      <c r="W486" s="2132"/>
      <c r="X486" s="2134">
        <f>IF(AB488="No",0,IF((X482-X483-X484)&lt;0,(X482-X483-X484)*-1,0))</f>
        <v>0</v>
      </c>
      <c r="Y486" s="2131"/>
      <c r="Z486" s="2131">
        <f>IF(AB488="No",0,IF((Z482-Z483-Z484)&lt;0,(Z482-Z483-Z484)*-1,0))</f>
        <v>0</v>
      </c>
      <c r="AA486" s="2131"/>
      <c r="AB486" s="2131">
        <f>IF(AB488="No",0,IF((AB482-AB483-AB484)&lt;0,(AB482-AB483-AB484)*-1,0))</f>
        <v>0</v>
      </c>
      <c r="AC486" s="2132"/>
    </row>
    <row r="487" spans="1:29" ht="16.100000000000001" thickBot="1">
      <c r="A487" s="505" t="s">
        <v>991</v>
      </c>
      <c r="B487" s="506"/>
      <c r="C487" s="506"/>
      <c r="D487" s="506"/>
      <c r="E487" s="291"/>
      <c r="F487" s="2073">
        <v>0</v>
      </c>
      <c r="G487" s="2074"/>
      <c r="H487" s="2075">
        <v>0</v>
      </c>
      <c r="I487" s="2074"/>
      <c r="J487" s="2101">
        <v>0</v>
      </c>
      <c r="K487" s="2102"/>
      <c r="L487" s="292"/>
      <c r="M487" s="293"/>
      <c r="N487" s="292"/>
      <c r="O487" s="293"/>
      <c r="P487" s="294"/>
      <c r="Q487" s="295"/>
      <c r="R487" s="296"/>
      <c r="S487" s="293"/>
      <c r="T487" s="292"/>
      <c r="U487" s="293"/>
      <c r="V487" s="292"/>
      <c r="W487" s="297"/>
      <c r="X487" s="296"/>
      <c r="Y487" s="293"/>
      <c r="Z487" s="292"/>
      <c r="AA487" s="293"/>
      <c r="AB487" s="292"/>
      <c r="AC487" s="297"/>
    </row>
    <row r="488" spans="1:29" ht="16.100000000000001" thickBot="1">
      <c r="A488" s="290" t="s">
        <v>992</v>
      </c>
      <c r="B488" s="21"/>
      <c r="C488" s="21"/>
      <c r="D488" s="21"/>
      <c r="F488" s="2096">
        <v>0</v>
      </c>
      <c r="G488" s="2097"/>
      <c r="H488" s="2098">
        <v>0</v>
      </c>
      <c r="I488" s="2097"/>
      <c r="J488" s="2103">
        <v>0</v>
      </c>
      <c r="K488" s="2104"/>
      <c r="L488" s="2093" t="s">
        <v>417</v>
      </c>
      <c r="M488" s="2094"/>
      <c r="N488" s="2094"/>
      <c r="O488" s="2095"/>
      <c r="P488" s="2106" t="str">
        <f>P470</f>
        <v>Yes</v>
      </c>
      <c r="Q488" s="2107"/>
      <c r="R488" s="2093" t="s">
        <v>417</v>
      </c>
      <c r="S488" s="2094"/>
      <c r="T488" s="2094"/>
      <c r="U488" s="2095"/>
      <c r="V488" s="2106" t="str">
        <f>V470</f>
        <v>No</v>
      </c>
      <c r="W488" s="2107"/>
      <c r="X488" s="2093" t="s">
        <v>417</v>
      </c>
      <c r="Y488" s="2094"/>
      <c r="Z488" s="2094"/>
      <c r="AA488" s="2095"/>
      <c r="AB488" s="2106" t="str">
        <f>AB470</f>
        <v>No</v>
      </c>
      <c r="AC488" s="2107"/>
    </row>
    <row r="489" spans="1:29" ht="13.75" thickBot="1">
      <c r="L489" s="2093" t="s">
        <v>419</v>
      </c>
      <c r="M489" s="2094"/>
      <c r="N489" s="2094"/>
      <c r="O489" s="2094"/>
      <c r="P489" s="2094"/>
      <c r="Q489" s="2095"/>
      <c r="R489" s="2106" t="str">
        <f>R471</f>
        <v>No</v>
      </c>
      <c r="S489" s="2107"/>
      <c r="T489" s="2093" t="s">
        <v>420</v>
      </c>
      <c r="U489" s="2095"/>
      <c r="V489" s="2121">
        <v>0</v>
      </c>
      <c r="W489" s="2122"/>
    </row>
    <row r="490" spans="1:29" ht="13.5" thickBot="1">
      <c r="L490" s="2093" t="s">
        <v>421</v>
      </c>
      <c r="M490" s="2094"/>
      <c r="N490" s="2094"/>
      <c r="O490" s="2094"/>
      <c r="P490" s="2094"/>
      <c r="Q490" s="2095"/>
      <c r="R490" s="2119">
        <v>0</v>
      </c>
      <c r="S490" s="2120"/>
      <c r="T490" s="2123" t="s">
        <v>422</v>
      </c>
      <c r="U490" s="2124"/>
      <c r="V490" s="2125">
        <v>0</v>
      </c>
      <c r="W490" s="2126"/>
    </row>
    <row r="491" spans="1:29" ht="13.75" thickBot="1">
      <c r="L491" s="2093" t="s">
        <v>921</v>
      </c>
      <c r="M491" s="2094"/>
      <c r="N491" s="2094"/>
      <c r="O491" s="2094"/>
      <c r="P491" s="2094"/>
      <c r="Q491" s="2095"/>
      <c r="R491" s="2106" t="str">
        <f>R473</f>
        <v>No</v>
      </c>
      <c r="S491" s="2107"/>
      <c r="T491" s="2093" t="s">
        <v>420</v>
      </c>
      <c r="U491" s="2095"/>
      <c r="V491" s="2121">
        <v>0</v>
      </c>
      <c r="W491" s="2122"/>
    </row>
    <row r="492" spans="1:29" ht="13.5" thickBot="1">
      <c r="L492" s="2093" t="s">
        <v>421</v>
      </c>
      <c r="M492" s="2094"/>
      <c r="N492" s="2094"/>
      <c r="O492" s="2094"/>
      <c r="P492" s="2094"/>
      <c r="Q492" s="2095"/>
      <c r="R492" s="2119">
        <v>0</v>
      </c>
      <c r="S492" s="2120"/>
      <c r="T492" s="2123" t="s">
        <v>422</v>
      </c>
      <c r="U492" s="2124"/>
      <c r="V492" s="2125">
        <v>0</v>
      </c>
      <c r="W492" s="2126"/>
    </row>
    <row r="493" spans="1:29" ht="13.1">
      <c r="A493" s="1644" t="s">
        <v>221</v>
      </c>
      <c r="B493" s="1644"/>
      <c r="C493" s="2130">
        <f>'Cost Control'!L161</f>
        <v>27</v>
      </c>
      <c r="D493" s="2130"/>
      <c r="E493" s="2130"/>
      <c r="F493" s="2130"/>
      <c r="G493" s="2130"/>
      <c r="H493" s="2130"/>
      <c r="I493" s="2130"/>
      <c r="L493" t="str">
        <f>IF(SUM(L485:Q485)=0," ","LTR SUMMARY:")</f>
        <v xml:space="preserve"> </v>
      </c>
      <c r="O493" s="1422">
        <f>SUM(L485:Q485)</f>
        <v>0</v>
      </c>
      <c r="P493" t="str">
        <f>IF(O493=0," ","m³")</f>
        <v xml:space="preserve"> </v>
      </c>
      <c r="R493" t="str">
        <f>IF(SUM(R485:W485)=0," ","LTR SUMMARY:")</f>
        <v xml:space="preserve"> </v>
      </c>
      <c r="U493" s="1422">
        <f>SUM(R485:W485)</f>
        <v>0</v>
      </c>
      <c r="V493" t="str">
        <f>IF(U493=0," ","m³")</f>
        <v xml:space="preserve"> </v>
      </c>
      <c r="X493" t="str">
        <f>IF(SUM(X485:AC485)=0," ","LTR SUMMARY:")</f>
        <v xml:space="preserve"> </v>
      </c>
      <c r="AA493" s="1422">
        <f>SUM(X485:AC485)</f>
        <v>0</v>
      </c>
      <c r="AB493" t="str">
        <f>IF(AA493=0," ","m³")</f>
        <v xml:space="preserve"> </v>
      </c>
    </row>
    <row r="494" spans="1:29" ht="13.5" thickBot="1"/>
    <row r="495" spans="1:29" ht="14.8" thickTop="1">
      <c r="A495" s="274" t="s">
        <v>190</v>
      </c>
      <c r="B495" s="275"/>
      <c r="C495" s="275"/>
      <c r="D495" s="275"/>
      <c r="E495" s="276"/>
      <c r="F495" s="277"/>
      <c r="G495" s="278"/>
      <c r="H495" s="271" t="s">
        <v>191</v>
      </c>
      <c r="I495" s="279"/>
      <c r="J495" s="279"/>
      <c r="K495" s="280"/>
      <c r="L495" s="279" t="str">
        <f>L477</f>
        <v xml:space="preserve">    Cum. to Date </v>
      </c>
      <c r="M495" s="281"/>
      <c r="N495" s="279"/>
      <c r="O495" s="334">
        <f>O477</f>
        <v>0</v>
      </c>
      <c r="P495" s="271"/>
      <c r="Q495" s="282"/>
      <c r="R495" s="283" t="str">
        <f>R477</f>
        <v xml:space="preserve">Cum. to Date </v>
      </c>
      <c r="S495" s="281"/>
      <c r="T495" s="279"/>
      <c r="U495" s="334">
        <f>U477</f>
        <v>0</v>
      </c>
      <c r="V495" s="284"/>
      <c r="W495" s="272"/>
      <c r="X495" s="283" t="str">
        <f>X477</f>
        <v xml:space="preserve">Cum. to Date </v>
      </c>
      <c r="Y495" s="281"/>
      <c r="Z495" s="279"/>
      <c r="AA495" s="334">
        <f>AA477</f>
        <v>0</v>
      </c>
      <c r="AB495" s="284"/>
      <c r="AC495" s="272"/>
    </row>
    <row r="496" spans="1:29" ht="14.8" thickBot="1">
      <c r="A496" s="285" t="s">
        <v>192</v>
      </c>
      <c r="B496" s="286"/>
      <c r="C496" s="286"/>
      <c r="D496" s="286"/>
      <c r="E496" s="287"/>
      <c r="F496" s="2067" t="s">
        <v>193</v>
      </c>
      <c r="G496" s="2068"/>
      <c r="H496" s="2069" t="s">
        <v>194</v>
      </c>
      <c r="I496" s="2070"/>
      <c r="J496" s="2069" t="str">
        <f>J478</f>
        <v>Other (1)</v>
      </c>
      <c r="K496" s="2091"/>
      <c r="L496" s="2092" t="s">
        <v>195</v>
      </c>
      <c r="M496" s="2070"/>
      <c r="N496" s="2069" t="s">
        <v>196</v>
      </c>
      <c r="O496" s="2070"/>
      <c r="P496" s="2069" t="str">
        <f>IF(P506="Yes",J496," ")</f>
        <v>Other (1)</v>
      </c>
      <c r="Q496" s="2091"/>
      <c r="R496" s="2092" t="str">
        <f>R478</f>
        <v>Water</v>
      </c>
      <c r="S496" s="2070"/>
      <c r="T496" s="2069" t="str">
        <f>T478</f>
        <v>Oil</v>
      </c>
      <c r="U496" s="2070"/>
      <c r="V496" s="2082" t="str">
        <f>IF(V506="Yes",J496," ")</f>
        <v xml:space="preserve"> </v>
      </c>
      <c r="W496" s="2083"/>
      <c r="X496" s="2092" t="str">
        <f>X478</f>
        <v>Water</v>
      </c>
      <c r="Y496" s="2070"/>
      <c r="Z496" s="2069" t="str">
        <f>Z478</f>
        <v>Oil</v>
      </c>
      <c r="AA496" s="2070"/>
      <c r="AB496" s="2082" t="str">
        <f>IF(AB506="Yes",J496," ")</f>
        <v xml:space="preserve"> </v>
      </c>
      <c r="AC496" s="2083"/>
    </row>
    <row r="497" spans="1:29" ht="16.100000000000001" thickTop="1">
      <c r="A497" s="288" t="s">
        <v>197</v>
      </c>
      <c r="B497" s="289"/>
      <c r="C497" s="289"/>
      <c r="D497" s="289"/>
      <c r="E497" s="289"/>
      <c r="F497" s="259"/>
      <c r="G497" s="260"/>
      <c r="H497" s="261"/>
      <c r="I497" s="260"/>
      <c r="J497" s="261"/>
      <c r="K497" s="262"/>
      <c r="L497" s="2084">
        <f>L479</f>
        <v>0</v>
      </c>
      <c r="M497" s="2084"/>
      <c r="N497" s="2085">
        <f>N479</f>
        <v>0</v>
      </c>
      <c r="O497" s="2086"/>
      <c r="P497" s="2085">
        <f>P479</f>
        <v>0</v>
      </c>
      <c r="Q497" s="2087"/>
      <c r="R497" s="2115">
        <f>R479</f>
        <v>0</v>
      </c>
      <c r="S497" s="2116"/>
      <c r="T497" s="2117">
        <f>T479</f>
        <v>0</v>
      </c>
      <c r="U497" s="2116"/>
      <c r="V497" s="2117">
        <f>V479</f>
        <v>0</v>
      </c>
      <c r="W497" s="2118"/>
      <c r="X497" s="2115">
        <f>X479</f>
        <v>0</v>
      </c>
      <c r="Y497" s="2116"/>
      <c r="Z497" s="2117">
        <f>Z479</f>
        <v>0</v>
      </c>
      <c r="AA497" s="2116"/>
      <c r="AB497" s="2117">
        <f>AB479</f>
        <v>0</v>
      </c>
      <c r="AC497" s="2118"/>
    </row>
    <row r="498" spans="1:29" ht="15.45">
      <c r="A498" s="288" t="s">
        <v>198</v>
      </c>
      <c r="B498" s="273"/>
      <c r="C498" s="273"/>
      <c r="D498" s="273"/>
      <c r="E498" s="273"/>
      <c r="F498" s="2073">
        <v>0</v>
      </c>
      <c r="G498" s="2074"/>
      <c r="H498" s="2075">
        <v>0</v>
      </c>
      <c r="I498" s="2074"/>
      <c r="J498" s="2075">
        <v>0</v>
      </c>
      <c r="K498" s="2076"/>
      <c r="L498" s="2077">
        <f>IF(P506="No",L480,F498+L480)</f>
        <v>0</v>
      </c>
      <c r="M498" s="2078"/>
      <c r="N498" s="2079">
        <f>IF(P506="No",N480,H498+N480)</f>
        <v>0</v>
      </c>
      <c r="O498" s="2078"/>
      <c r="P498" s="2079">
        <f>IF(P506="No",P480,J498+P480)</f>
        <v>0</v>
      </c>
      <c r="Q498" s="2080"/>
      <c r="R498" s="2081">
        <f>IF(V506="Yes",F498+R480,IF(R508="Water",IF(R507="Yes",V507,0),R480))</f>
        <v>0</v>
      </c>
      <c r="S498" s="2071"/>
      <c r="T498" s="2071">
        <f>IF(V506="Yes",H498+T480,IF(T508="Oil",IF(R507="Yes",V507,0),T480))</f>
        <v>0</v>
      </c>
      <c r="U498" s="2071"/>
      <c r="V498" s="2071">
        <f>IF(V506="Yes",J498+V480,IF(V508=V496,IF(R507="Yes",V507,0),V480))</f>
        <v>0</v>
      </c>
      <c r="W498" s="2072"/>
      <c r="X498" s="2081">
        <f>IF(AB506="Yes",F498+X480,IF(X508="Water",IF(X507="Yes",AB507,0),X480))</f>
        <v>0</v>
      </c>
      <c r="Y498" s="2071"/>
      <c r="Z498" s="2071">
        <f>IF(AB506="Yes",H498+Z480,IF(Z508=Z496,IF(X507="Yes",AB507,0),Z480))</f>
        <v>0</v>
      </c>
      <c r="AA498" s="2071"/>
      <c r="AB498" s="2071">
        <f>IF(AB506="Yes",J498+AB480,IF(AB508=AB496,IF(X507="Yes",AB507,0),AB480))</f>
        <v>0</v>
      </c>
      <c r="AC498" s="2072"/>
    </row>
    <row r="499" spans="1:29" ht="15.45">
      <c r="A499" s="288" t="s">
        <v>199</v>
      </c>
      <c r="B499" s="273"/>
      <c r="C499" s="273"/>
      <c r="D499" s="273"/>
      <c r="E499" s="273"/>
      <c r="F499" s="2073">
        <v>0</v>
      </c>
      <c r="G499" s="2074"/>
      <c r="H499" s="2075">
        <v>0</v>
      </c>
      <c r="I499" s="2074"/>
      <c r="J499" s="2075">
        <v>0</v>
      </c>
      <c r="K499" s="2076"/>
      <c r="L499" s="2077">
        <f>IF(P506="No",L481,F499+L481)</f>
        <v>0</v>
      </c>
      <c r="M499" s="2078"/>
      <c r="N499" s="2079">
        <f>IF(P506="No",N481,H499+N481)</f>
        <v>0</v>
      </c>
      <c r="O499" s="2078"/>
      <c r="P499" s="2079">
        <f>IF(P506="No",P481,J499+P481)</f>
        <v>0</v>
      </c>
      <c r="Q499" s="2080"/>
      <c r="R499" s="2081">
        <f>IF(V506="Yes",R481+F499,R481)</f>
        <v>0</v>
      </c>
      <c r="S499" s="2071"/>
      <c r="T499" s="2071">
        <f>IF(V506="Yes",T481+H499,T481)</f>
        <v>0</v>
      </c>
      <c r="U499" s="2071"/>
      <c r="V499" s="2071">
        <f>IF(V506="Yes",V481+J499,V481)</f>
        <v>0</v>
      </c>
      <c r="W499" s="2072"/>
      <c r="X499" s="2081">
        <f>IF(AB506="Yes",X481+F499,X481)</f>
        <v>0</v>
      </c>
      <c r="Y499" s="2071"/>
      <c r="Z499" s="2071">
        <f>IF(AB506="Yes",Z481+H499,Z481)</f>
        <v>0</v>
      </c>
      <c r="AA499" s="2071"/>
      <c r="AB499" s="2071">
        <f>IF(AB506="Yes",AB481+J499,AB481)</f>
        <v>0</v>
      </c>
      <c r="AC499" s="2072"/>
    </row>
    <row r="500" spans="1:29" ht="15.45">
      <c r="A500" s="288" t="s">
        <v>200</v>
      </c>
      <c r="B500" s="273"/>
      <c r="C500" s="273"/>
      <c r="D500" s="273"/>
      <c r="E500" s="273"/>
      <c r="F500" s="259"/>
      <c r="G500" s="260"/>
      <c r="H500" s="261"/>
      <c r="I500" s="263"/>
      <c r="J500" s="264"/>
      <c r="K500" s="265"/>
      <c r="L500" s="2077">
        <f>L497+L498-L499</f>
        <v>0</v>
      </c>
      <c r="M500" s="2078"/>
      <c r="N500" s="2079">
        <f>SUM(N497,N498,-N499)</f>
        <v>0</v>
      </c>
      <c r="O500" s="2078"/>
      <c r="P500" s="2079">
        <f>SUM(P497,P498,-P499)</f>
        <v>0</v>
      </c>
      <c r="Q500" s="2080"/>
      <c r="R500" s="2081">
        <f>SUM(R497,R498,-R499)</f>
        <v>0</v>
      </c>
      <c r="S500" s="2071"/>
      <c r="T500" s="2071">
        <f>SUM(T497,T498,-T499)</f>
        <v>0</v>
      </c>
      <c r="U500" s="2071"/>
      <c r="V500" s="2071">
        <f>SUM(V497,V498,-V499)</f>
        <v>0</v>
      </c>
      <c r="W500" s="2072"/>
      <c r="X500" s="2081">
        <f>SUM(X497,X498,-X499)</f>
        <v>0</v>
      </c>
      <c r="Y500" s="2071"/>
      <c r="Z500" s="2071">
        <f>SUM(Z497,Z498,-Z499)</f>
        <v>0</v>
      </c>
      <c r="AA500" s="2071"/>
      <c r="AB500" s="2071">
        <f>SUM(AB497,AB498,-AB499)</f>
        <v>0</v>
      </c>
      <c r="AC500" s="2072"/>
    </row>
    <row r="501" spans="1:29" ht="15.45">
      <c r="A501" s="288" t="s">
        <v>201</v>
      </c>
      <c r="B501" s="273"/>
      <c r="C501" s="273"/>
      <c r="D501" s="273"/>
      <c r="E501" s="273"/>
      <c r="F501" s="259"/>
      <c r="G501" s="260"/>
      <c r="H501" s="261"/>
      <c r="I501" s="263"/>
      <c r="J501" s="264"/>
      <c r="K501" s="265"/>
      <c r="L501" s="2073">
        <f>L483</f>
        <v>0</v>
      </c>
      <c r="M501" s="2074"/>
      <c r="N501" s="2075">
        <f>N483</f>
        <v>0</v>
      </c>
      <c r="O501" s="2074"/>
      <c r="P501" s="2075">
        <f>P483</f>
        <v>0</v>
      </c>
      <c r="Q501" s="2076"/>
      <c r="R501" s="2081">
        <f>R483</f>
        <v>0</v>
      </c>
      <c r="S501" s="2071"/>
      <c r="T501" s="2071">
        <f>T483</f>
        <v>0</v>
      </c>
      <c r="U501" s="2071"/>
      <c r="V501" s="2128">
        <f>V483</f>
        <v>0</v>
      </c>
      <c r="W501" s="2129"/>
      <c r="X501" s="2081">
        <f>X483</f>
        <v>0</v>
      </c>
      <c r="Y501" s="2071"/>
      <c r="Z501" s="2071">
        <f>Z483</f>
        <v>0</v>
      </c>
      <c r="AA501" s="2071"/>
      <c r="AB501" s="2128">
        <f>AB483</f>
        <v>0</v>
      </c>
      <c r="AC501" s="2129"/>
    </row>
    <row r="502" spans="1:29" ht="15.45">
      <c r="A502" s="288" t="s">
        <v>202</v>
      </c>
      <c r="B502" s="273"/>
      <c r="C502" s="273"/>
      <c r="D502" s="273"/>
      <c r="E502" s="273"/>
      <c r="F502" s="259"/>
      <c r="G502" s="260"/>
      <c r="H502" s="261"/>
      <c r="I502" s="263"/>
      <c r="J502" s="264"/>
      <c r="K502" s="265"/>
      <c r="L502" s="2077">
        <f>IF(P506="No",L484,L484+F498-F499+F505-F506)</f>
        <v>0</v>
      </c>
      <c r="M502" s="2078"/>
      <c r="N502" s="2079">
        <f>IF(P506="No",N484,N484+H498-H499+H505-H506)</f>
        <v>0</v>
      </c>
      <c r="O502" s="2078"/>
      <c r="P502" s="2079">
        <f>IF(P506="No",P484,P484+J498-J499+J505-J506)</f>
        <v>0</v>
      </c>
      <c r="Q502" s="2080"/>
      <c r="R502" s="2071">
        <f>IF(V506="Yes",R484+F498-F499+F505-F506,IF(P507="Yes",IF(R508=R496,R498-R499-V508,0),R484))</f>
        <v>0</v>
      </c>
      <c r="S502" s="2071"/>
      <c r="T502" s="2071">
        <f>IF(V506="Yes",T484+H498-H499+H505-H506,IF(R507="Yes",IF(R508=T496,T498-T499-V508,0),T484))</f>
        <v>0</v>
      </c>
      <c r="U502" s="2071"/>
      <c r="V502" s="2071">
        <f>IF(V506="Yes",V484+J498-J499+J505-J506,IF(T507="Yes",IF(R508=V496,V498-V499-V508,0),V484))</f>
        <v>0</v>
      </c>
      <c r="W502" s="2072"/>
      <c r="X502" s="2071">
        <f>IF(AB506="Yes",X484+F498-F499+F505-F506,IF(V507="Yes",IF(X508=X496,X498-X499-AB508,0),X484))</f>
        <v>0</v>
      </c>
      <c r="Y502" s="2071"/>
      <c r="Z502" s="2071">
        <f>IF(AB506="Yes",Z484+H498-H499+H505-H506,IF(X507="Yes",IF(X508=Z496,Z498-Z499-AB508,0),Z484))</f>
        <v>0</v>
      </c>
      <c r="AA502" s="2071"/>
      <c r="AB502" s="2071">
        <f>IF(AB506="Yes",AB484+J498-J499+J505-J506,IF(Z507="Yes",IF(X508=AB496,AB498-AB499-AB508,0),AB484))</f>
        <v>0</v>
      </c>
      <c r="AC502" s="2072"/>
    </row>
    <row r="503" spans="1:29" ht="15.45">
      <c r="A503" s="288" t="s">
        <v>203</v>
      </c>
      <c r="B503" s="273"/>
      <c r="C503" s="273"/>
      <c r="D503" s="273"/>
      <c r="E503" s="273"/>
      <c r="F503" s="2110"/>
      <c r="G503" s="2111"/>
      <c r="H503" s="2111"/>
      <c r="I503" s="2111"/>
      <c r="J503" s="2111"/>
      <c r="K503" s="2112"/>
      <c r="L503" s="2113">
        <f>IF(P506="No",0,IF(L500-L501-L502&lt;0,0,SUM(L500,-L501,-L502)))</f>
        <v>0</v>
      </c>
      <c r="M503" s="2114"/>
      <c r="N503" s="2113">
        <f>IF(P506="No",0,IF(N500-N501-N502&lt;0,0,SUM(N500,-N501,-N502)))</f>
        <v>0</v>
      </c>
      <c r="O503" s="2114"/>
      <c r="P503" s="2079">
        <f>IF(P506="No",0,IF(P500-P501-P502&lt;0,0,SUM(P500,-P501,-P502)))</f>
        <v>0</v>
      </c>
      <c r="Q503" s="2080"/>
      <c r="R503" s="2127">
        <f>IF(V506="No",0,IF(R500-R501-R502&lt;0,0,SUM(R500,-R501,-R502)))</f>
        <v>0</v>
      </c>
      <c r="S503" s="2114"/>
      <c r="T503" s="2113">
        <f>IF(V506="No",0,IF(T500-T501-T502&lt;0,0,SUM(T500,-T501,-T502)))</f>
        <v>0</v>
      </c>
      <c r="U503" s="2114"/>
      <c r="V503" s="2079">
        <f>IF(V506="No",0,IF(V500-V501-V502&lt;0,0,SUM(V500,-V501,-V502)))</f>
        <v>0</v>
      </c>
      <c r="W503" s="2080"/>
      <c r="X503" s="2113">
        <f>IF(AB506="No",0,IF(X500-X501-X502&lt;0,0,SUM(X500,-X501,-X502)))</f>
        <v>0</v>
      </c>
      <c r="Y503" s="2114"/>
      <c r="Z503" s="2113">
        <f>IF(AB506="No",0,IF(Z500-Z501-Z502&lt;0,0,SUM(Z500,-Z501,-Z502)))</f>
        <v>0</v>
      </c>
      <c r="AA503" s="2114"/>
      <c r="AB503" s="2079">
        <f>IF(AB506="No",0,IF(AB500-AB501-AB502&lt;0,0,SUM(AB500,-AB501,-AB502)))</f>
        <v>0</v>
      </c>
      <c r="AC503" s="2080"/>
    </row>
    <row r="504" spans="1:29" ht="15.45">
      <c r="A504" s="1177" t="s">
        <v>929</v>
      </c>
      <c r="B504" s="273"/>
      <c r="C504" s="273"/>
      <c r="D504" s="273"/>
      <c r="E504" s="1176"/>
      <c r="F504" s="1166"/>
      <c r="G504" s="1167"/>
      <c r="H504" s="1167"/>
      <c r="I504" s="1167"/>
      <c r="J504" s="1167"/>
      <c r="K504" s="1168"/>
      <c r="L504" s="2131">
        <f>IF(P506="No",0,IF((L500-L501-L502)&lt;0,(L500-L501-L502)*-1,0))</f>
        <v>0</v>
      </c>
      <c r="M504" s="2131"/>
      <c r="N504" s="2131">
        <f>IF(R506="No",0,IF((N500-N501-N502)&lt;0,(N500-N501-N502)*-1,0))</f>
        <v>0</v>
      </c>
      <c r="O504" s="2131"/>
      <c r="P504" s="2131">
        <f>IF(T506="No",0,IF((P500-P501-P502)&lt;0,(P500-P501-P502)*-1,0))</f>
        <v>0</v>
      </c>
      <c r="Q504" s="2132"/>
      <c r="R504" s="2078">
        <f>IF(V506="No",0,IF((R500-R501-R502)&lt;0,(R500-R501-R502)*-1,0))</f>
        <v>0</v>
      </c>
      <c r="S504" s="2131"/>
      <c r="T504" s="2131">
        <f>IF(V506="No",0,IF((T500-T501-T502)&lt;0,(T500-T501-T502)*-1,0))</f>
        <v>0</v>
      </c>
      <c r="U504" s="2131"/>
      <c r="V504" s="2131">
        <f>IF(V506="No",0,IF((V500-V501-V502)&lt;0,(V500-V501-V502)*-1,0))</f>
        <v>0</v>
      </c>
      <c r="W504" s="2132"/>
      <c r="X504" s="2134">
        <f>IF(AB506="No",0,IF((X500-X501-X502)&lt;0,(X500-X501-X502)*-1,0))</f>
        <v>0</v>
      </c>
      <c r="Y504" s="2131"/>
      <c r="Z504" s="2131">
        <f>IF(AB506="No",0,IF((Z500-Z501-Z502)&lt;0,(Z500-Z501-Z502)*-1,0))</f>
        <v>0</v>
      </c>
      <c r="AA504" s="2131"/>
      <c r="AB504" s="2131">
        <f>IF(AB506="No",0,IF((AB500-AB501-AB502)&lt;0,(AB500-AB501-AB502)*-1,0))</f>
        <v>0</v>
      </c>
      <c r="AC504" s="2132"/>
    </row>
    <row r="505" spans="1:29" ht="16.100000000000001" thickBot="1">
      <c r="A505" s="505" t="s">
        <v>991</v>
      </c>
      <c r="B505" s="506"/>
      <c r="C505" s="506"/>
      <c r="D505" s="506"/>
      <c r="E505" s="291"/>
      <c r="F505" s="2073">
        <v>0</v>
      </c>
      <c r="G505" s="2074"/>
      <c r="H505" s="2075">
        <v>0</v>
      </c>
      <c r="I505" s="2074"/>
      <c r="J505" s="2101">
        <v>0</v>
      </c>
      <c r="K505" s="2102"/>
      <c r="L505" s="292"/>
      <c r="M505" s="293"/>
      <c r="N505" s="292"/>
      <c r="O505" s="293"/>
      <c r="P505" s="294"/>
      <c r="Q505" s="295"/>
      <c r="R505" s="296"/>
      <c r="S505" s="293"/>
      <c r="T505" s="292"/>
      <c r="U505" s="293"/>
      <c r="V505" s="292"/>
      <c r="W505" s="297"/>
      <c r="X505" s="296"/>
      <c r="Y505" s="293"/>
      <c r="Z505" s="292"/>
      <c r="AA505" s="293"/>
      <c r="AB505" s="292"/>
      <c r="AC505" s="297"/>
    </row>
    <row r="506" spans="1:29" ht="16.100000000000001" thickBot="1">
      <c r="A506" s="290" t="s">
        <v>992</v>
      </c>
      <c r="B506" s="21"/>
      <c r="C506" s="21"/>
      <c r="D506" s="21"/>
      <c r="F506" s="2096">
        <v>0</v>
      </c>
      <c r="G506" s="2097"/>
      <c r="H506" s="2098">
        <v>0</v>
      </c>
      <c r="I506" s="2097"/>
      <c r="J506" s="2103">
        <v>0</v>
      </c>
      <c r="K506" s="2104"/>
      <c r="L506" s="2093" t="s">
        <v>417</v>
      </c>
      <c r="M506" s="2094"/>
      <c r="N506" s="2094"/>
      <c r="O506" s="2095"/>
      <c r="P506" s="2106" t="str">
        <f>P488</f>
        <v>Yes</v>
      </c>
      <c r="Q506" s="2107"/>
      <c r="R506" s="2093" t="s">
        <v>417</v>
      </c>
      <c r="S506" s="2094"/>
      <c r="T506" s="2094"/>
      <c r="U506" s="2095"/>
      <c r="V506" s="2106" t="str">
        <f>V488</f>
        <v>No</v>
      </c>
      <c r="W506" s="2107"/>
      <c r="X506" s="2093" t="s">
        <v>417</v>
      </c>
      <c r="Y506" s="2094"/>
      <c r="Z506" s="2094"/>
      <c r="AA506" s="2095"/>
      <c r="AB506" s="2106" t="str">
        <f>AB488</f>
        <v>No</v>
      </c>
      <c r="AC506" s="2107"/>
    </row>
    <row r="507" spans="1:29" ht="13.75" thickBot="1">
      <c r="L507" s="2093" t="s">
        <v>419</v>
      </c>
      <c r="M507" s="2094"/>
      <c r="N507" s="2094"/>
      <c r="O507" s="2094"/>
      <c r="P507" s="2094"/>
      <c r="Q507" s="2095"/>
      <c r="R507" s="2106" t="str">
        <f>R489</f>
        <v>No</v>
      </c>
      <c r="S507" s="2107"/>
      <c r="T507" s="2093" t="s">
        <v>420</v>
      </c>
      <c r="U507" s="2095"/>
      <c r="V507" s="2121">
        <v>0</v>
      </c>
      <c r="W507" s="2122"/>
    </row>
    <row r="508" spans="1:29" ht="13.5" thickBot="1">
      <c r="L508" s="2093" t="s">
        <v>421</v>
      </c>
      <c r="M508" s="2094"/>
      <c r="N508" s="2094"/>
      <c r="O508" s="2094"/>
      <c r="P508" s="2094"/>
      <c r="Q508" s="2095"/>
      <c r="R508" s="2119">
        <v>0</v>
      </c>
      <c r="S508" s="2120"/>
      <c r="T508" s="2123" t="s">
        <v>422</v>
      </c>
      <c r="U508" s="2124"/>
      <c r="V508" s="2125">
        <v>0</v>
      </c>
      <c r="W508" s="2126"/>
    </row>
    <row r="509" spans="1:29" ht="13.75" thickBot="1">
      <c r="L509" s="2093" t="s">
        <v>921</v>
      </c>
      <c r="M509" s="2094"/>
      <c r="N509" s="2094"/>
      <c r="O509" s="2094"/>
      <c r="P509" s="2094"/>
      <c r="Q509" s="2095"/>
      <c r="R509" s="2106" t="str">
        <f>R491</f>
        <v>No</v>
      </c>
      <c r="S509" s="2107"/>
      <c r="T509" s="2093" t="s">
        <v>420</v>
      </c>
      <c r="U509" s="2095"/>
      <c r="V509" s="2121">
        <v>0</v>
      </c>
      <c r="W509" s="2122"/>
    </row>
    <row r="510" spans="1:29" ht="13.5" thickBot="1">
      <c r="L510" s="2093" t="s">
        <v>421</v>
      </c>
      <c r="M510" s="2094"/>
      <c r="N510" s="2094"/>
      <c r="O510" s="2094"/>
      <c r="P510" s="2094"/>
      <c r="Q510" s="2095"/>
      <c r="R510" s="2119">
        <v>0</v>
      </c>
      <c r="S510" s="2120"/>
      <c r="T510" s="2123" t="s">
        <v>422</v>
      </c>
      <c r="U510" s="2124"/>
      <c r="V510" s="2125">
        <v>0</v>
      </c>
      <c r="W510" s="2126"/>
    </row>
    <row r="511" spans="1:29" ht="13.1">
      <c r="A511" s="1644" t="s">
        <v>221</v>
      </c>
      <c r="B511" s="1644"/>
      <c r="C511" s="2130">
        <f>'Cost Control'!M161</f>
        <v>28</v>
      </c>
      <c r="D511" s="2130"/>
      <c r="E511" s="2130"/>
      <c r="F511" s="2130"/>
      <c r="G511" s="2130"/>
      <c r="H511" s="2130"/>
      <c r="I511" s="2130"/>
      <c r="L511" t="str">
        <f>IF(SUM(L503:Q503)=0," ","LTR SUMMARY:")</f>
        <v xml:space="preserve"> </v>
      </c>
      <c r="O511" s="1422">
        <f>SUM(L503:Q503)</f>
        <v>0</v>
      </c>
      <c r="P511" t="str">
        <f>IF(O511=0," ","m³")</f>
        <v xml:space="preserve"> </v>
      </c>
      <c r="R511" t="str">
        <f>IF(SUM(R503:W503)=0," ","LTR SUMMARY:")</f>
        <v xml:space="preserve"> </v>
      </c>
      <c r="U511" s="1422">
        <f>SUM(R503:W503)</f>
        <v>0</v>
      </c>
      <c r="V511" t="str">
        <f>IF(U511=0," ","m³")</f>
        <v xml:space="preserve"> </v>
      </c>
      <c r="X511" t="str">
        <f>IF(SUM(X503:AC503)=0," ","LTR SUMMARY:")</f>
        <v xml:space="preserve"> </v>
      </c>
      <c r="AA511" s="1422">
        <f>SUM(X503:AC503)</f>
        <v>0</v>
      </c>
      <c r="AB511" t="str">
        <f>IF(AA511=0," ","m³")</f>
        <v xml:space="preserve"> </v>
      </c>
    </row>
    <row r="512" spans="1:29" ht="13.5" thickBot="1"/>
    <row r="513" spans="1:29" ht="14.8" thickTop="1">
      <c r="A513" s="274" t="s">
        <v>190</v>
      </c>
      <c r="B513" s="275"/>
      <c r="C513" s="275"/>
      <c r="D513" s="275"/>
      <c r="E513" s="276"/>
      <c r="F513" s="277"/>
      <c r="G513" s="278"/>
      <c r="H513" s="271" t="s">
        <v>191</v>
      </c>
      <c r="I513" s="279"/>
      <c r="J513" s="279"/>
      <c r="K513" s="280"/>
      <c r="L513" s="279" t="str">
        <f>L495</f>
        <v xml:space="preserve">    Cum. to Date </v>
      </c>
      <c r="M513" s="281"/>
      <c r="N513" s="279"/>
      <c r="O513" s="334">
        <f>O495</f>
        <v>0</v>
      </c>
      <c r="P513" s="271"/>
      <c r="Q513" s="282"/>
      <c r="R513" s="283" t="str">
        <f>R495</f>
        <v xml:space="preserve">Cum. to Date </v>
      </c>
      <c r="S513" s="281"/>
      <c r="T513" s="279"/>
      <c r="U513" s="334">
        <f>U495</f>
        <v>0</v>
      </c>
      <c r="V513" s="284"/>
      <c r="W513" s="272"/>
      <c r="X513" s="283" t="str">
        <f>X495</f>
        <v xml:space="preserve">Cum. to Date </v>
      </c>
      <c r="Y513" s="281"/>
      <c r="Z513" s="279"/>
      <c r="AA513" s="334">
        <f>AA495</f>
        <v>0</v>
      </c>
      <c r="AB513" s="284"/>
      <c r="AC513" s="272"/>
    </row>
    <row r="514" spans="1:29" ht="14.8" thickBot="1">
      <c r="A514" s="285" t="s">
        <v>192</v>
      </c>
      <c r="B514" s="286"/>
      <c r="C514" s="286"/>
      <c r="D514" s="286"/>
      <c r="E514" s="287"/>
      <c r="F514" s="2067" t="s">
        <v>193</v>
      </c>
      <c r="G514" s="2068"/>
      <c r="H514" s="2069" t="s">
        <v>194</v>
      </c>
      <c r="I514" s="2070"/>
      <c r="J514" s="2069" t="str">
        <f>J496</f>
        <v>Other (1)</v>
      </c>
      <c r="K514" s="2091"/>
      <c r="L514" s="2092" t="s">
        <v>195</v>
      </c>
      <c r="M514" s="2070"/>
      <c r="N514" s="2069" t="s">
        <v>196</v>
      </c>
      <c r="O514" s="2070"/>
      <c r="P514" s="2069" t="str">
        <f>IF(P524="Yes",J514," ")</f>
        <v>Other (1)</v>
      </c>
      <c r="Q514" s="2091"/>
      <c r="R514" s="2092" t="str">
        <f>R496</f>
        <v>Water</v>
      </c>
      <c r="S514" s="2070"/>
      <c r="T514" s="2069" t="str">
        <f>T496</f>
        <v>Oil</v>
      </c>
      <c r="U514" s="2070"/>
      <c r="V514" s="2082" t="str">
        <f>IF(V524="Yes",J514," ")</f>
        <v xml:space="preserve"> </v>
      </c>
      <c r="W514" s="2083"/>
      <c r="X514" s="2092" t="str">
        <f>X496</f>
        <v>Water</v>
      </c>
      <c r="Y514" s="2070"/>
      <c r="Z514" s="2069" t="str">
        <f>Z496</f>
        <v>Oil</v>
      </c>
      <c r="AA514" s="2070"/>
      <c r="AB514" s="2082" t="str">
        <f>IF(AB524="Yes",J514," ")</f>
        <v xml:space="preserve"> </v>
      </c>
      <c r="AC514" s="2083"/>
    </row>
    <row r="515" spans="1:29" ht="16.100000000000001" thickTop="1">
      <c r="A515" s="288" t="s">
        <v>197</v>
      </c>
      <c r="B515" s="289"/>
      <c r="C515" s="289"/>
      <c r="D515" s="289"/>
      <c r="E515" s="289"/>
      <c r="F515" s="259"/>
      <c r="G515" s="260"/>
      <c r="H515" s="261"/>
      <c r="I515" s="260"/>
      <c r="J515" s="261"/>
      <c r="K515" s="262"/>
      <c r="L515" s="2084">
        <f>L497</f>
        <v>0</v>
      </c>
      <c r="M515" s="2084"/>
      <c r="N515" s="2085">
        <f>N497</f>
        <v>0</v>
      </c>
      <c r="O515" s="2086"/>
      <c r="P515" s="2085">
        <f>P497</f>
        <v>0</v>
      </c>
      <c r="Q515" s="2087"/>
      <c r="R515" s="2115">
        <f>R497</f>
        <v>0</v>
      </c>
      <c r="S515" s="2116"/>
      <c r="T515" s="2117">
        <f>T497</f>
        <v>0</v>
      </c>
      <c r="U515" s="2116"/>
      <c r="V515" s="2117">
        <f>V497</f>
        <v>0</v>
      </c>
      <c r="W515" s="2118"/>
      <c r="X515" s="2115">
        <f>X497</f>
        <v>0</v>
      </c>
      <c r="Y515" s="2116"/>
      <c r="Z515" s="2117">
        <f>Z497</f>
        <v>0</v>
      </c>
      <c r="AA515" s="2116"/>
      <c r="AB515" s="2117">
        <f>AB497</f>
        <v>0</v>
      </c>
      <c r="AC515" s="2118"/>
    </row>
    <row r="516" spans="1:29" ht="15.45">
      <c r="A516" s="288" t="s">
        <v>198</v>
      </c>
      <c r="B516" s="273"/>
      <c r="C516" s="273"/>
      <c r="D516" s="273"/>
      <c r="E516" s="273"/>
      <c r="F516" s="2073">
        <v>0</v>
      </c>
      <c r="G516" s="2074"/>
      <c r="H516" s="2075">
        <v>0</v>
      </c>
      <c r="I516" s="2074"/>
      <c r="J516" s="2075">
        <v>0</v>
      </c>
      <c r="K516" s="2076"/>
      <c r="L516" s="2077">
        <f>IF(P524="No",L498,F516+L498)</f>
        <v>0</v>
      </c>
      <c r="M516" s="2078"/>
      <c r="N516" s="2079">
        <f>IF(P524="No",N498,H516+N498)</f>
        <v>0</v>
      </c>
      <c r="O516" s="2078"/>
      <c r="P516" s="2079">
        <f>IF(P524="No",P498,J516+P498)</f>
        <v>0</v>
      </c>
      <c r="Q516" s="2080"/>
      <c r="R516" s="2081">
        <f>IF(V524="Yes",F516+R498,IF(R526="Water",IF(R525="Yes",V525,0),R498))</f>
        <v>0</v>
      </c>
      <c r="S516" s="2071"/>
      <c r="T516" s="2071">
        <f>IF(V524="Yes",H516+T498,IF(T526="Oil",IF(R525="Yes",V525,0),T498))</f>
        <v>0</v>
      </c>
      <c r="U516" s="2071"/>
      <c r="V516" s="2071">
        <f>IF(V524="Yes",J516+V498,IF(V526=V514,IF(R525="Yes",V525,0),V498))</f>
        <v>0</v>
      </c>
      <c r="W516" s="2072"/>
      <c r="X516" s="2081">
        <f>IF(AB524="Yes",F516+X498,IF(X526="Water",IF(X525="Yes",AB525,0),X498))</f>
        <v>0</v>
      </c>
      <c r="Y516" s="2071"/>
      <c r="Z516" s="2071">
        <f>IF(AB524="Yes",H516+Z498,IF(Z526=Z514,IF(X525="Yes",AB525,0),Z498))</f>
        <v>0</v>
      </c>
      <c r="AA516" s="2071"/>
      <c r="AB516" s="2071">
        <f>IF(AB524="Yes",J516+AB498,IF(AB526=AB514,IF(X525="Yes",AB525,0),AB498))</f>
        <v>0</v>
      </c>
      <c r="AC516" s="2072"/>
    </row>
    <row r="517" spans="1:29" ht="15.45">
      <c r="A517" s="288" t="s">
        <v>199</v>
      </c>
      <c r="B517" s="273"/>
      <c r="C517" s="273"/>
      <c r="D517" s="273"/>
      <c r="E517" s="273"/>
      <c r="F517" s="2073">
        <v>0</v>
      </c>
      <c r="G517" s="2074"/>
      <c r="H517" s="2075">
        <v>0</v>
      </c>
      <c r="I517" s="2074"/>
      <c r="J517" s="2075">
        <v>0</v>
      </c>
      <c r="K517" s="2076"/>
      <c r="L517" s="2077">
        <f>IF(P524="No",L499,F517+L499)</f>
        <v>0</v>
      </c>
      <c r="M517" s="2078"/>
      <c r="N517" s="2079">
        <f>IF(P524="No",N499,H517+N499)</f>
        <v>0</v>
      </c>
      <c r="O517" s="2078"/>
      <c r="P517" s="2079">
        <f>IF(P524="No",P499,J517+P499)</f>
        <v>0</v>
      </c>
      <c r="Q517" s="2080"/>
      <c r="R517" s="2081">
        <f>IF(V524="Yes",R499+F517,R499)</f>
        <v>0</v>
      </c>
      <c r="S517" s="2071"/>
      <c r="T517" s="2071">
        <f>IF(V524="Yes",T499+H517,T499)</f>
        <v>0</v>
      </c>
      <c r="U517" s="2071"/>
      <c r="V517" s="2071">
        <f>IF(V524="Yes",V499+J517,V499)</f>
        <v>0</v>
      </c>
      <c r="W517" s="2072"/>
      <c r="X517" s="2081">
        <f>IF(AB524="Yes",X499+F517,X499)</f>
        <v>0</v>
      </c>
      <c r="Y517" s="2071"/>
      <c r="Z517" s="2071">
        <f>IF(AB524="Yes",Z499+H517,Z499)</f>
        <v>0</v>
      </c>
      <c r="AA517" s="2071"/>
      <c r="AB517" s="2071">
        <f>IF(AB524="Yes",AB499+J517,AB499)</f>
        <v>0</v>
      </c>
      <c r="AC517" s="2072"/>
    </row>
    <row r="518" spans="1:29" ht="15.45">
      <c r="A518" s="288" t="s">
        <v>200</v>
      </c>
      <c r="B518" s="273"/>
      <c r="C518" s="273"/>
      <c r="D518" s="273"/>
      <c r="E518" s="273"/>
      <c r="F518" s="259"/>
      <c r="G518" s="260"/>
      <c r="H518" s="261"/>
      <c r="I518" s="263"/>
      <c r="J518" s="264"/>
      <c r="K518" s="265"/>
      <c r="L518" s="2077">
        <f>L515+L516-L517</f>
        <v>0</v>
      </c>
      <c r="M518" s="2078"/>
      <c r="N518" s="2079">
        <f>SUM(N515,N516,-N517)</f>
        <v>0</v>
      </c>
      <c r="O518" s="2078"/>
      <c r="P518" s="2079">
        <f>SUM(P515,P516,-P517)</f>
        <v>0</v>
      </c>
      <c r="Q518" s="2080"/>
      <c r="R518" s="2081">
        <f>SUM(R515,R516,-R517)</f>
        <v>0</v>
      </c>
      <c r="S518" s="2071"/>
      <c r="T518" s="2071">
        <f>SUM(T515,T516,-T517)</f>
        <v>0</v>
      </c>
      <c r="U518" s="2071"/>
      <c r="V518" s="2071">
        <f>SUM(V515,V516,-V517)</f>
        <v>0</v>
      </c>
      <c r="W518" s="2072"/>
      <c r="X518" s="2081">
        <f>SUM(X515,X516,-X517)</f>
        <v>0</v>
      </c>
      <c r="Y518" s="2071"/>
      <c r="Z518" s="2071">
        <f>SUM(Z515,Z516,-Z517)</f>
        <v>0</v>
      </c>
      <c r="AA518" s="2071"/>
      <c r="AB518" s="2071">
        <f>SUM(AB515,AB516,-AB517)</f>
        <v>0</v>
      </c>
      <c r="AC518" s="2072"/>
    </row>
    <row r="519" spans="1:29" ht="15.45">
      <c r="A519" s="288" t="s">
        <v>201</v>
      </c>
      <c r="B519" s="273"/>
      <c r="C519" s="273"/>
      <c r="D519" s="273"/>
      <c r="E519" s="273"/>
      <c r="F519" s="259"/>
      <c r="G519" s="260"/>
      <c r="H519" s="261"/>
      <c r="I519" s="263"/>
      <c r="J519" s="264"/>
      <c r="K519" s="265"/>
      <c r="L519" s="2073">
        <f>L501</f>
        <v>0</v>
      </c>
      <c r="M519" s="2074"/>
      <c r="N519" s="2075">
        <f>N501</f>
        <v>0</v>
      </c>
      <c r="O519" s="2074"/>
      <c r="P519" s="2075">
        <f>P501</f>
        <v>0</v>
      </c>
      <c r="Q519" s="2076"/>
      <c r="R519" s="2081">
        <f>R501</f>
        <v>0</v>
      </c>
      <c r="S519" s="2071"/>
      <c r="T519" s="2071">
        <f>T501</f>
        <v>0</v>
      </c>
      <c r="U519" s="2071"/>
      <c r="V519" s="2128">
        <f>V501</f>
        <v>0</v>
      </c>
      <c r="W519" s="2129"/>
      <c r="X519" s="2081">
        <f>X501</f>
        <v>0</v>
      </c>
      <c r="Y519" s="2071"/>
      <c r="Z519" s="2071">
        <f>Z501</f>
        <v>0</v>
      </c>
      <c r="AA519" s="2071"/>
      <c r="AB519" s="2128">
        <f>AB501</f>
        <v>0</v>
      </c>
      <c r="AC519" s="2129"/>
    </row>
    <row r="520" spans="1:29" ht="15.45">
      <c r="A520" s="288" t="s">
        <v>202</v>
      </c>
      <c r="B520" s="273"/>
      <c r="C520" s="273"/>
      <c r="D520" s="273"/>
      <c r="E520" s="273"/>
      <c r="F520" s="259"/>
      <c r="G520" s="260"/>
      <c r="H520" s="261"/>
      <c r="I520" s="263"/>
      <c r="J520" s="264"/>
      <c r="K520" s="265"/>
      <c r="L520" s="2077">
        <f>IF(P524="No",L502,L502+F516-F517+F523-F524)</f>
        <v>0</v>
      </c>
      <c r="M520" s="2078"/>
      <c r="N520" s="2079">
        <f>IF(P524="No",N502,N502+H516-H517+H523-H524)</f>
        <v>0</v>
      </c>
      <c r="O520" s="2078"/>
      <c r="P520" s="2079">
        <f>IF(P524="No",P502,P502+J516-J517+J523-J524)</f>
        <v>0</v>
      </c>
      <c r="Q520" s="2080"/>
      <c r="R520" s="2071">
        <f>IF(V524="Yes",R502+F516-F517+F523-F524,IF(P525="Yes",IF(R526=R514,R516-R517-V526,0),R502))</f>
        <v>0</v>
      </c>
      <c r="S520" s="2071"/>
      <c r="T520" s="2071">
        <f>IF(V524="Yes",T502+H516-H517+H523-H524,IF(R525="Yes",IF(R526=T514,T516-T517-V526,0),T502))</f>
        <v>0</v>
      </c>
      <c r="U520" s="2071"/>
      <c r="V520" s="2071">
        <f>IF(V524="Yes",V502+J516-J517+J523-J524,IF(T525="Yes",IF(R526=V514,V516-V517-V526,0),V502))</f>
        <v>0</v>
      </c>
      <c r="W520" s="2072"/>
      <c r="X520" s="2071">
        <f>IF(AB524="Yes",X502+F516-F517+F523-F524,IF(V525="Yes",IF(X526=X514,X516-X517-AB526,0),X502))</f>
        <v>0</v>
      </c>
      <c r="Y520" s="2071"/>
      <c r="Z520" s="2071">
        <f>IF(AB524="Yes",Z502+H516-H517+H523-H524,IF(X525="Yes",IF(X526=Z514,Z516-Z517-AB526,0),Z502))</f>
        <v>0</v>
      </c>
      <c r="AA520" s="2071"/>
      <c r="AB520" s="2071">
        <f>IF(AB524="Yes",AB502+J516-J517+J523-J524,IF(Z525="Yes",IF(X526=AB514,AB516-AB517-AB526,0),AB502))</f>
        <v>0</v>
      </c>
      <c r="AC520" s="2072"/>
    </row>
    <row r="521" spans="1:29" ht="15.45">
      <c r="A521" s="288" t="s">
        <v>203</v>
      </c>
      <c r="B521" s="273"/>
      <c r="C521" s="273"/>
      <c r="D521" s="273"/>
      <c r="E521" s="273"/>
      <c r="F521" s="2110"/>
      <c r="G521" s="2111"/>
      <c r="H521" s="2111"/>
      <c r="I521" s="2111"/>
      <c r="J521" s="2111"/>
      <c r="K521" s="2112"/>
      <c r="L521" s="2113">
        <f>IF(P524="No",0,IF(L518-L519-L520&lt;0,0,SUM(L518,-L519,-L520)))</f>
        <v>0</v>
      </c>
      <c r="M521" s="2114"/>
      <c r="N521" s="2113">
        <f>IF(P524="No",0,IF(N518-N519-N520&lt;0,0,SUM(N518,-N519,-N520)))</f>
        <v>0</v>
      </c>
      <c r="O521" s="2114"/>
      <c r="P521" s="2079">
        <f>IF(P524="No",0,IF(P518-P519-P520&lt;0,0,SUM(P518,-P519,-P520)))</f>
        <v>0</v>
      </c>
      <c r="Q521" s="2080"/>
      <c r="R521" s="2127">
        <f>IF(V524="No",0,IF(R518-R519-R520&lt;0,0,SUM(R518,-R519,-R520)))</f>
        <v>0</v>
      </c>
      <c r="S521" s="2114"/>
      <c r="T521" s="2113">
        <f>IF(V524="No",0,IF(T518-T519-T520&lt;0,0,SUM(T518,-T519,-T520)))</f>
        <v>0</v>
      </c>
      <c r="U521" s="2114"/>
      <c r="V521" s="2079">
        <f>IF(V524="No",0,IF(V518-V519-V520&lt;0,0,SUM(V518,-V519,-V520)))</f>
        <v>0</v>
      </c>
      <c r="W521" s="2080"/>
      <c r="X521" s="2113">
        <f>IF(AB524="No",0,IF(X518-X519-X520&lt;0,0,SUM(X518,-X519,-X520)))</f>
        <v>0</v>
      </c>
      <c r="Y521" s="2114"/>
      <c r="Z521" s="2113">
        <f>IF(AB524="No",0,IF(Z518-Z519-Z520&lt;0,0,SUM(Z518,-Z519,-Z520)))</f>
        <v>0</v>
      </c>
      <c r="AA521" s="2114"/>
      <c r="AB521" s="2079">
        <f>IF(AB524="No",0,IF(AB518-AB519-AB520&lt;0,0,SUM(AB518,-AB519,-AB520)))</f>
        <v>0</v>
      </c>
      <c r="AC521" s="2080"/>
    </row>
    <row r="522" spans="1:29" ht="15.45">
      <c r="A522" s="1177" t="s">
        <v>929</v>
      </c>
      <c r="B522" s="273"/>
      <c r="C522" s="273"/>
      <c r="D522" s="273"/>
      <c r="E522" s="1176"/>
      <c r="F522" s="1166"/>
      <c r="G522" s="1167"/>
      <c r="H522" s="1167"/>
      <c r="I522" s="1167"/>
      <c r="J522" s="1167"/>
      <c r="K522" s="1168"/>
      <c r="L522" s="2131">
        <f>IF(P524="No",0,IF((L518-L519-L520)&lt;0,(L518-L519-L520)*-1,0))</f>
        <v>0</v>
      </c>
      <c r="M522" s="2131"/>
      <c r="N522" s="2131">
        <f>IF(R524="No",0,IF((N518-N519-N520)&lt;0,(N518-N519-N520)*-1,0))</f>
        <v>0</v>
      </c>
      <c r="O522" s="2131"/>
      <c r="P522" s="2131">
        <f>IF(T524="No",0,IF((P518-P519-P520)&lt;0,(P518-P519-P520)*-1,0))</f>
        <v>0</v>
      </c>
      <c r="Q522" s="2132"/>
      <c r="R522" s="2078">
        <f>IF(V524="No",0,IF((R518-R519-R520)&lt;0,(R518-R519-R520)*-1,0))</f>
        <v>0</v>
      </c>
      <c r="S522" s="2131"/>
      <c r="T522" s="2131">
        <f>IF(V524="No",0,IF((T518-T519-T520)&lt;0,(T518-T519-T520)*-1,0))</f>
        <v>0</v>
      </c>
      <c r="U522" s="2131"/>
      <c r="V522" s="2131">
        <f>IF(V524="No",0,IF((V518-V519-V520)&lt;0,(V518-V519-V520)*-1,0))</f>
        <v>0</v>
      </c>
      <c r="W522" s="2132"/>
      <c r="X522" s="2134">
        <f>IF(AB524="No",0,IF((X518-X519-X520)&lt;0,(X518-X519-X520)*-1,0))</f>
        <v>0</v>
      </c>
      <c r="Y522" s="2131"/>
      <c r="Z522" s="2131">
        <f>IF(AB524="No",0,IF((Z518-Z519-Z520)&lt;0,(Z518-Z519-Z520)*-1,0))</f>
        <v>0</v>
      </c>
      <c r="AA522" s="2131"/>
      <c r="AB522" s="2131">
        <f>IF(AB524="No",0,IF((AB518-AB519-AB520)&lt;0,(AB518-AB519-AB520)*-1,0))</f>
        <v>0</v>
      </c>
      <c r="AC522" s="2132"/>
    </row>
    <row r="523" spans="1:29" ht="16.100000000000001" thickBot="1">
      <c r="A523" s="505" t="s">
        <v>991</v>
      </c>
      <c r="B523" s="506"/>
      <c r="C523" s="506"/>
      <c r="D523" s="506"/>
      <c r="E523" s="291"/>
      <c r="F523" s="2073">
        <v>0</v>
      </c>
      <c r="G523" s="2074"/>
      <c r="H523" s="2075">
        <v>0</v>
      </c>
      <c r="I523" s="2074"/>
      <c r="J523" s="2101">
        <v>0</v>
      </c>
      <c r="K523" s="2102"/>
      <c r="L523" s="292"/>
      <c r="M523" s="293"/>
      <c r="N523" s="292"/>
      <c r="O523" s="293"/>
      <c r="P523" s="294"/>
      <c r="Q523" s="295"/>
      <c r="R523" s="296"/>
      <c r="S523" s="293"/>
      <c r="T523" s="292"/>
      <c r="U523" s="293"/>
      <c r="V523" s="292"/>
      <c r="W523" s="297"/>
      <c r="X523" s="296"/>
      <c r="Y523" s="293"/>
      <c r="Z523" s="292"/>
      <c r="AA523" s="293"/>
      <c r="AB523" s="292"/>
      <c r="AC523" s="297"/>
    </row>
    <row r="524" spans="1:29" ht="16.100000000000001" thickBot="1">
      <c r="A524" s="290" t="s">
        <v>992</v>
      </c>
      <c r="B524" s="21"/>
      <c r="C524" s="21"/>
      <c r="D524" s="21"/>
      <c r="F524" s="2096">
        <v>0</v>
      </c>
      <c r="G524" s="2097"/>
      <c r="H524" s="2098">
        <v>0</v>
      </c>
      <c r="I524" s="2097"/>
      <c r="J524" s="2103">
        <v>0</v>
      </c>
      <c r="K524" s="2104"/>
      <c r="L524" s="2093" t="s">
        <v>417</v>
      </c>
      <c r="M524" s="2094"/>
      <c r="N524" s="2094"/>
      <c r="O524" s="2095"/>
      <c r="P524" s="2106" t="str">
        <f>P506</f>
        <v>Yes</v>
      </c>
      <c r="Q524" s="2107"/>
      <c r="R524" s="2093" t="s">
        <v>417</v>
      </c>
      <c r="S524" s="2094"/>
      <c r="T524" s="2094"/>
      <c r="U524" s="2095"/>
      <c r="V524" s="2106" t="str">
        <f>V506</f>
        <v>No</v>
      </c>
      <c r="W524" s="2107"/>
      <c r="X524" s="2093" t="s">
        <v>417</v>
      </c>
      <c r="Y524" s="2094"/>
      <c r="Z524" s="2094"/>
      <c r="AA524" s="2095"/>
      <c r="AB524" s="2106" t="str">
        <f>AB506</f>
        <v>No</v>
      </c>
      <c r="AC524" s="2107"/>
    </row>
    <row r="525" spans="1:29" ht="13.75" thickBot="1">
      <c r="L525" s="2093" t="s">
        <v>419</v>
      </c>
      <c r="M525" s="2094"/>
      <c r="N525" s="2094"/>
      <c r="O525" s="2094"/>
      <c r="P525" s="2094"/>
      <c r="Q525" s="2095"/>
      <c r="R525" s="2106" t="str">
        <f>R507</f>
        <v>No</v>
      </c>
      <c r="S525" s="2107"/>
      <c r="T525" s="2093" t="s">
        <v>420</v>
      </c>
      <c r="U525" s="2095"/>
      <c r="V525" s="2121">
        <v>0</v>
      </c>
      <c r="W525" s="2122"/>
    </row>
    <row r="526" spans="1:29" ht="13.5" thickBot="1">
      <c r="L526" s="2093" t="s">
        <v>421</v>
      </c>
      <c r="M526" s="2094"/>
      <c r="N526" s="2094"/>
      <c r="O526" s="2094"/>
      <c r="P526" s="2094"/>
      <c r="Q526" s="2095"/>
      <c r="R526" s="2119">
        <v>0</v>
      </c>
      <c r="S526" s="2120"/>
      <c r="T526" s="2123" t="s">
        <v>422</v>
      </c>
      <c r="U526" s="2124"/>
      <c r="V526" s="2125">
        <v>0</v>
      </c>
      <c r="W526" s="2126"/>
    </row>
    <row r="527" spans="1:29" ht="13.75" thickBot="1">
      <c r="L527" s="2093" t="s">
        <v>921</v>
      </c>
      <c r="M527" s="2094"/>
      <c r="N527" s="2094"/>
      <c r="O527" s="2094"/>
      <c r="P527" s="2094"/>
      <c r="Q527" s="2095"/>
      <c r="R527" s="2106" t="str">
        <f>R509</f>
        <v>No</v>
      </c>
      <c r="S527" s="2107"/>
      <c r="T527" s="2093" t="s">
        <v>420</v>
      </c>
      <c r="U527" s="2095"/>
      <c r="V527" s="2121">
        <v>0</v>
      </c>
      <c r="W527" s="2122"/>
    </row>
    <row r="528" spans="1:29" ht="13.5" thickBot="1">
      <c r="L528" s="2093" t="s">
        <v>421</v>
      </c>
      <c r="M528" s="2094"/>
      <c r="N528" s="2094"/>
      <c r="O528" s="2094"/>
      <c r="P528" s="2094"/>
      <c r="Q528" s="2095"/>
      <c r="R528" s="2119">
        <v>0</v>
      </c>
      <c r="S528" s="2120"/>
      <c r="T528" s="2123" t="s">
        <v>422</v>
      </c>
      <c r="U528" s="2124"/>
      <c r="V528" s="2125">
        <v>0</v>
      </c>
      <c r="W528" s="2126"/>
    </row>
    <row r="529" spans="1:29" ht="13.1">
      <c r="A529" s="1644" t="s">
        <v>221</v>
      </c>
      <c r="B529" s="1644"/>
      <c r="C529" s="2130">
        <f>'Cost Control'!N161</f>
        <v>29</v>
      </c>
      <c r="D529" s="2130"/>
      <c r="E529" s="2130"/>
      <c r="F529" s="2130"/>
      <c r="G529" s="2130"/>
      <c r="H529" s="2130"/>
      <c r="I529" s="2130"/>
      <c r="L529" t="str">
        <f>IF(SUM(L521:Q521)=0," ","LTR SUMMARY:")</f>
        <v xml:space="preserve"> </v>
      </c>
      <c r="O529" s="1422">
        <f>SUM(L521:Q521)</f>
        <v>0</v>
      </c>
      <c r="P529" t="str">
        <f>IF(O529=0," ","m³")</f>
        <v xml:space="preserve"> </v>
      </c>
      <c r="R529" t="str">
        <f>IF(SUM(R521:W521)=0," ","LTR SUMMARY:")</f>
        <v xml:space="preserve"> </v>
      </c>
      <c r="U529" s="1422">
        <f>SUM(R521:W521)</f>
        <v>0</v>
      </c>
      <c r="V529" t="str">
        <f>IF(U529=0," ","m³")</f>
        <v xml:space="preserve"> </v>
      </c>
      <c r="X529" t="str">
        <f>IF(SUM(X521:AC521)=0," ","LTR SUMMARY:")</f>
        <v xml:space="preserve"> </v>
      </c>
      <c r="AA529" s="1422">
        <f>SUM(X521:AC521)</f>
        <v>0</v>
      </c>
      <c r="AB529" t="str">
        <f>IF(AA529=0," ","m³")</f>
        <v xml:space="preserve"> </v>
      </c>
    </row>
    <row r="530" spans="1:29" ht="13.5" thickBot="1"/>
    <row r="531" spans="1:29" ht="14.8" thickTop="1">
      <c r="A531" s="274" t="s">
        <v>190</v>
      </c>
      <c r="B531" s="275"/>
      <c r="C531" s="275"/>
      <c r="D531" s="275"/>
      <c r="E531" s="276"/>
      <c r="F531" s="277"/>
      <c r="G531" s="278"/>
      <c r="H531" s="271" t="s">
        <v>191</v>
      </c>
      <c r="I531" s="279"/>
      <c r="J531" s="279"/>
      <c r="K531" s="280"/>
      <c r="L531" s="279" t="str">
        <f>L513</f>
        <v xml:space="preserve">    Cum. to Date </v>
      </c>
      <c r="M531" s="281"/>
      <c r="N531" s="279"/>
      <c r="O531" s="334">
        <f>O513</f>
        <v>0</v>
      </c>
      <c r="P531" s="271"/>
      <c r="Q531" s="282"/>
      <c r="R531" s="283" t="str">
        <f>R513</f>
        <v xml:space="preserve">Cum. to Date </v>
      </c>
      <c r="S531" s="281"/>
      <c r="T531" s="279"/>
      <c r="U531" s="334">
        <f>U513</f>
        <v>0</v>
      </c>
      <c r="V531" s="284"/>
      <c r="W531" s="272"/>
      <c r="X531" s="283" t="str">
        <f>X513</f>
        <v xml:space="preserve">Cum. to Date </v>
      </c>
      <c r="Y531" s="281"/>
      <c r="Z531" s="279"/>
      <c r="AA531" s="334">
        <f>AA513</f>
        <v>0</v>
      </c>
      <c r="AB531" s="284"/>
      <c r="AC531" s="272"/>
    </row>
    <row r="532" spans="1:29" ht="14.8" thickBot="1">
      <c r="A532" s="285" t="s">
        <v>192</v>
      </c>
      <c r="B532" s="286"/>
      <c r="C532" s="286"/>
      <c r="D532" s="286"/>
      <c r="E532" s="287"/>
      <c r="F532" s="2067" t="s">
        <v>193</v>
      </c>
      <c r="G532" s="2068"/>
      <c r="H532" s="2069" t="s">
        <v>194</v>
      </c>
      <c r="I532" s="2070"/>
      <c r="J532" s="2069" t="str">
        <f>J514</f>
        <v>Other (1)</v>
      </c>
      <c r="K532" s="2091"/>
      <c r="L532" s="2092" t="s">
        <v>195</v>
      </c>
      <c r="M532" s="2070"/>
      <c r="N532" s="2069" t="s">
        <v>196</v>
      </c>
      <c r="O532" s="2070"/>
      <c r="P532" s="2069" t="str">
        <f>IF(P542="Yes",J532," ")</f>
        <v>Other (1)</v>
      </c>
      <c r="Q532" s="2091"/>
      <c r="R532" s="2092" t="str">
        <f>R514</f>
        <v>Water</v>
      </c>
      <c r="S532" s="2070"/>
      <c r="T532" s="2069" t="str">
        <f>T514</f>
        <v>Oil</v>
      </c>
      <c r="U532" s="2070"/>
      <c r="V532" s="2082" t="str">
        <f>IF(V542="Yes",J532," ")</f>
        <v xml:space="preserve"> </v>
      </c>
      <c r="W532" s="2083"/>
      <c r="X532" s="2092" t="str">
        <f>X514</f>
        <v>Water</v>
      </c>
      <c r="Y532" s="2070"/>
      <c r="Z532" s="2069" t="str">
        <f>Z514</f>
        <v>Oil</v>
      </c>
      <c r="AA532" s="2070"/>
      <c r="AB532" s="2082" t="str">
        <f>IF(AB542="Yes",J532," ")</f>
        <v xml:space="preserve"> </v>
      </c>
      <c r="AC532" s="2083"/>
    </row>
    <row r="533" spans="1:29" ht="16.100000000000001" thickTop="1">
      <c r="A533" s="288" t="s">
        <v>197</v>
      </c>
      <c r="B533" s="289"/>
      <c r="C533" s="289"/>
      <c r="D533" s="289"/>
      <c r="E533" s="289"/>
      <c r="F533" s="259"/>
      <c r="G533" s="260"/>
      <c r="H533" s="261"/>
      <c r="I533" s="260"/>
      <c r="J533" s="261"/>
      <c r="K533" s="262"/>
      <c r="L533" s="2084">
        <f>L515</f>
        <v>0</v>
      </c>
      <c r="M533" s="2084"/>
      <c r="N533" s="2085">
        <f>N515</f>
        <v>0</v>
      </c>
      <c r="O533" s="2086"/>
      <c r="P533" s="2085">
        <f>P515</f>
        <v>0</v>
      </c>
      <c r="Q533" s="2087"/>
      <c r="R533" s="2115">
        <f>R515</f>
        <v>0</v>
      </c>
      <c r="S533" s="2116"/>
      <c r="T533" s="2117">
        <f>T515</f>
        <v>0</v>
      </c>
      <c r="U533" s="2116"/>
      <c r="V533" s="2117">
        <f>V515</f>
        <v>0</v>
      </c>
      <c r="W533" s="2118"/>
      <c r="X533" s="2115">
        <f>X515</f>
        <v>0</v>
      </c>
      <c r="Y533" s="2116"/>
      <c r="Z533" s="2117">
        <f>Z515</f>
        <v>0</v>
      </c>
      <c r="AA533" s="2116"/>
      <c r="AB533" s="2117">
        <f>AB515</f>
        <v>0</v>
      </c>
      <c r="AC533" s="2118"/>
    </row>
    <row r="534" spans="1:29" ht="15.45">
      <c r="A534" s="288" t="s">
        <v>198</v>
      </c>
      <c r="B534" s="273"/>
      <c r="C534" s="273"/>
      <c r="D534" s="273"/>
      <c r="E534" s="273"/>
      <c r="F534" s="2073">
        <v>0</v>
      </c>
      <c r="G534" s="2074"/>
      <c r="H534" s="2075">
        <v>0</v>
      </c>
      <c r="I534" s="2074"/>
      <c r="J534" s="2075">
        <v>0</v>
      </c>
      <c r="K534" s="2076"/>
      <c r="L534" s="2077">
        <f>IF(P542="No",L516,F534+L516)</f>
        <v>0</v>
      </c>
      <c r="M534" s="2078"/>
      <c r="N534" s="2079">
        <f>IF(P542="No",N516,H534+N516)</f>
        <v>0</v>
      </c>
      <c r="O534" s="2078"/>
      <c r="P534" s="2079">
        <f>IF(P542="No",P516,J534+P516)</f>
        <v>0</v>
      </c>
      <c r="Q534" s="2080"/>
      <c r="R534" s="2081">
        <f>IF(V542="Yes",F534+R516,IF(R544="Water",IF(R543="Yes",V543,0),R516))</f>
        <v>0</v>
      </c>
      <c r="S534" s="2071"/>
      <c r="T534" s="2071">
        <f>IF(V542="Yes",H534+T516,IF(T544="Oil",IF(R543="Yes",V543,0),T516))</f>
        <v>0</v>
      </c>
      <c r="U534" s="2071"/>
      <c r="V534" s="2071">
        <f>IF(V542="Yes",J534+V516,IF(V544=V532,IF(R543="Yes",V543,0),V516))</f>
        <v>0</v>
      </c>
      <c r="W534" s="2072"/>
      <c r="X534" s="2081">
        <f>IF(AB542="Yes",F534+X516,IF(X544="Water",IF(X543="Yes",AB543,0),X516))</f>
        <v>0</v>
      </c>
      <c r="Y534" s="2071"/>
      <c r="Z534" s="2071">
        <f>IF(AB542="Yes",H534+Z516,IF(Z544=Z532,IF(X543="Yes",AB543,0),Z516))</f>
        <v>0</v>
      </c>
      <c r="AA534" s="2071"/>
      <c r="AB534" s="2071">
        <f>IF(AB542="Yes",J534+AB516,IF(AB544=AB532,IF(X543="Yes",AB543,0),AB516))</f>
        <v>0</v>
      </c>
      <c r="AC534" s="2072"/>
    </row>
    <row r="535" spans="1:29" ht="15.45">
      <c r="A535" s="288" t="s">
        <v>199</v>
      </c>
      <c r="B535" s="273"/>
      <c r="C535" s="273"/>
      <c r="D535" s="273"/>
      <c r="E535" s="273"/>
      <c r="F535" s="2073">
        <v>0</v>
      </c>
      <c r="G535" s="2074"/>
      <c r="H535" s="2075">
        <v>0</v>
      </c>
      <c r="I535" s="2074"/>
      <c r="J535" s="2075">
        <v>0</v>
      </c>
      <c r="K535" s="2076"/>
      <c r="L535" s="2077">
        <f>IF(P542="No",L517,F535+L517)</f>
        <v>0</v>
      </c>
      <c r="M535" s="2078"/>
      <c r="N535" s="2079">
        <f>IF(P542="No",N517,H535+N517)</f>
        <v>0</v>
      </c>
      <c r="O535" s="2078"/>
      <c r="P535" s="2079">
        <f>IF(P542="No",P517,J535+P517)</f>
        <v>0</v>
      </c>
      <c r="Q535" s="2080"/>
      <c r="R535" s="2081">
        <f>IF(V542="Yes",R517+F535,R517)</f>
        <v>0</v>
      </c>
      <c r="S535" s="2071"/>
      <c r="T535" s="2071">
        <f>IF(V542="Yes",T517+H535,T517)</f>
        <v>0</v>
      </c>
      <c r="U535" s="2071"/>
      <c r="V535" s="2071">
        <f>IF(V542="Yes",V517+J535,V517)</f>
        <v>0</v>
      </c>
      <c r="W535" s="2072"/>
      <c r="X535" s="2081">
        <f>IF(AB542="Yes",X517+F535,X517)</f>
        <v>0</v>
      </c>
      <c r="Y535" s="2071"/>
      <c r="Z535" s="2071">
        <f>IF(AB542="Yes",Z517+H535,Z517)</f>
        <v>0</v>
      </c>
      <c r="AA535" s="2071"/>
      <c r="AB535" s="2071">
        <f>IF(AB542="Yes",AB517+J535,AB517)</f>
        <v>0</v>
      </c>
      <c r="AC535" s="2072"/>
    </row>
    <row r="536" spans="1:29" ht="15.45">
      <c r="A536" s="288" t="s">
        <v>200</v>
      </c>
      <c r="B536" s="273"/>
      <c r="C536" s="273"/>
      <c r="D536" s="273"/>
      <c r="E536" s="273"/>
      <c r="F536" s="259"/>
      <c r="G536" s="260"/>
      <c r="H536" s="261"/>
      <c r="I536" s="263"/>
      <c r="J536" s="264"/>
      <c r="K536" s="265"/>
      <c r="L536" s="2077">
        <f>L533+L534-L535</f>
        <v>0</v>
      </c>
      <c r="M536" s="2078"/>
      <c r="N536" s="2079">
        <f>SUM(N533,N534,-N535)</f>
        <v>0</v>
      </c>
      <c r="O536" s="2078"/>
      <c r="P536" s="2079">
        <f>SUM(P533,P534,-P535)</f>
        <v>0</v>
      </c>
      <c r="Q536" s="2080"/>
      <c r="R536" s="2081">
        <f>SUM(R533,R534,-R535)</f>
        <v>0</v>
      </c>
      <c r="S536" s="2071"/>
      <c r="T536" s="2071">
        <f>SUM(T533,T534,-T535)</f>
        <v>0</v>
      </c>
      <c r="U536" s="2071"/>
      <c r="V536" s="2071">
        <f>SUM(V533,V534,-V535)</f>
        <v>0</v>
      </c>
      <c r="W536" s="2072"/>
      <c r="X536" s="2081">
        <f>SUM(X533,X534,-X535)</f>
        <v>0</v>
      </c>
      <c r="Y536" s="2071"/>
      <c r="Z536" s="2071">
        <f>SUM(Z533,Z534,-Z535)</f>
        <v>0</v>
      </c>
      <c r="AA536" s="2071"/>
      <c r="AB536" s="2071">
        <f>SUM(AB533,AB534,-AB535)</f>
        <v>0</v>
      </c>
      <c r="AC536" s="2072"/>
    </row>
    <row r="537" spans="1:29" ht="15.45">
      <c r="A537" s="288" t="s">
        <v>201</v>
      </c>
      <c r="B537" s="273"/>
      <c r="C537" s="273"/>
      <c r="D537" s="273"/>
      <c r="E537" s="273"/>
      <c r="F537" s="259"/>
      <c r="G537" s="260"/>
      <c r="H537" s="261"/>
      <c r="I537" s="263"/>
      <c r="J537" s="264"/>
      <c r="K537" s="265"/>
      <c r="L537" s="2073">
        <f>L519</f>
        <v>0</v>
      </c>
      <c r="M537" s="2074"/>
      <c r="N537" s="2075">
        <f>N519</f>
        <v>0</v>
      </c>
      <c r="O537" s="2074"/>
      <c r="P537" s="2075">
        <f>P519</f>
        <v>0</v>
      </c>
      <c r="Q537" s="2076"/>
      <c r="R537" s="2081">
        <f>R519</f>
        <v>0</v>
      </c>
      <c r="S537" s="2071"/>
      <c r="T537" s="2071">
        <f>T519</f>
        <v>0</v>
      </c>
      <c r="U537" s="2071"/>
      <c r="V537" s="2128">
        <f>V519</f>
        <v>0</v>
      </c>
      <c r="W537" s="2129"/>
      <c r="X537" s="2081">
        <f>X519</f>
        <v>0</v>
      </c>
      <c r="Y537" s="2071"/>
      <c r="Z537" s="2071">
        <f>Z519</f>
        <v>0</v>
      </c>
      <c r="AA537" s="2071"/>
      <c r="AB537" s="2128">
        <f>AB519</f>
        <v>0</v>
      </c>
      <c r="AC537" s="2129"/>
    </row>
    <row r="538" spans="1:29" ht="15.45">
      <c r="A538" s="288" t="s">
        <v>202</v>
      </c>
      <c r="B538" s="273"/>
      <c r="C538" s="273"/>
      <c r="D538" s="273"/>
      <c r="E538" s="273"/>
      <c r="F538" s="259"/>
      <c r="G538" s="260"/>
      <c r="H538" s="261"/>
      <c r="I538" s="263"/>
      <c r="J538" s="264"/>
      <c r="K538" s="265"/>
      <c r="L538" s="2077">
        <f>IF(P542="No",L520,L520+F534-F535+F541-F542)</f>
        <v>0</v>
      </c>
      <c r="M538" s="2078"/>
      <c r="N538" s="2079">
        <f>IF(P542="No",N520,N520+H534-H535+H541-H542)</f>
        <v>0</v>
      </c>
      <c r="O538" s="2078"/>
      <c r="P538" s="2079">
        <f>IF(P542="No",P520,P520+J534-J535+J541-J542)</f>
        <v>0</v>
      </c>
      <c r="Q538" s="2080"/>
      <c r="R538" s="2071">
        <f>IF(V542="Yes",R520+F534-F535+F541-F542,IF(P543="Yes",IF(R544=R532,R534-R535-V544,0),R520))</f>
        <v>0</v>
      </c>
      <c r="S538" s="2071"/>
      <c r="T538" s="2071">
        <f>IF(V542="Yes",T520+H534-H535+H541-H542,IF(R543="Yes",IF(R544=T532,T534-T535-V544,0),T520))</f>
        <v>0</v>
      </c>
      <c r="U538" s="2071"/>
      <c r="V538" s="2071">
        <f>IF(V542="Yes",V520+J534-J535+J541-J542,IF(T543="Yes",IF(R544=V532,V534-V535-V544,0),V520))</f>
        <v>0</v>
      </c>
      <c r="W538" s="2072"/>
      <c r="X538" s="2071">
        <f>IF(AB542="Yes",X520+F534-F535+F541-F542,IF(V543="Yes",IF(X544=X532,X534-X535-AB544,0),X520))</f>
        <v>0</v>
      </c>
      <c r="Y538" s="2071"/>
      <c r="Z538" s="2071">
        <f>IF(AB542="Yes",Z520+H534-H535+H541-H542,IF(X543="Yes",IF(X544=Z532,Z534-Z535-AB544,0),Z520))</f>
        <v>0</v>
      </c>
      <c r="AA538" s="2071"/>
      <c r="AB538" s="2071">
        <f>IF(AB542="Yes",AB520+J534-J535+J541-J542,IF(Z543="Yes",IF(X544=AB532,AB534-AB535-AB544,0),AB520))</f>
        <v>0</v>
      </c>
      <c r="AC538" s="2072"/>
    </row>
    <row r="539" spans="1:29" ht="15.45">
      <c r="A539" s="288" t="s">
        <v>203</v>
      </c>
      <c r="B539" s="273"/>
      <c r="C539" s="273"/>
      <c r="D539" s="273"/>
      <c r="E539" s="273"/>
      <c r="F539" s="2110"/>
      <c r="G539" s="2111"/>
      <c r="H539" s="2111"/>
      <c r="I539" s="2111"/>
      <c r="J539" s="2111"/>
      <c r="K539" s="2112"/>
      <c r="L539" s="2113">
        <f>IF(P542="No",0,IF(L536-L537-L538&lt;0,0,SUM(L536,-L537,-L538)))</f>
        <v>0</v>
      </c>
      <c r="M539" s="2114"/>
      <c r="N539" s="2113">
        <f>IF(P542="No",0,IF(N536-N537-N538&lt;0,0,SUM(N536,-N537,-N538)))</f>
        <v>0</v>
      </c>
      <c r="O539" s="2114"/>
      <c r="P539" s="2079">
        <f>IF(P542="No",0,IF(P536-P537-P538&lt;0,0,SUM(P536,-P537,-P538)))</f>
        <v>0</v>
      </c>
      <c r="Q539" s="2080"/>
      <c r="R539" s="2127">
        <f>IF(V542="No",0,IF(R536-R537-R538&lt;0,0,SUM(R536,-R537,-R538)))</f>
        <v>0</v>
      </c>
      <c r="S539" s="2114"/>
      <c r="T539" s="2113">
        <f>IF(V542="No",0,IF(T536-T537-T538&lt;0,0,SUM(T536,-T537,-T538)))</f>
        <v>0</v>
      </c>
      <c r="U539" s="2114"/>
      <c r="V539" s="2079">
        <f>IF(V542="No",0,IF(V536-V537-V538&lt;0,0,SUM(V536,-V537,-V538)))</f>
        <v>0</v>
      </c>
      <c r="W539" s="2080"/>
      <c r="X539" s="2113">
        <f>IF(AB542="No",0,IF(X536-X537-X538&lt;0,0,SUM(X536,-X537,-X538)))</f>
        <v>0</v>
      </c>
      <c r="Y539" s="2114"/>
      <c r="Z539" s="2113">
        <f>IF(AB542="No",0,IF(Z536-Z537-Z538&lt;0,0,SUM(Z536,-Z537,-Z538)))</f>
        <v>0</v>
      </c>
      <c r="AA539" s="2114"/>
      <c r="AB539" s="2079">
        <f>IF(AB542="No",0,IF(AB536-AB537-AB538&lt;0,0,SUM(AB536,-AB537,-AB538)))</f>
        <v>0</v>
      </c>
      <c r="AC539" s="2080"/>
    </row>
    <row r="540" spans="1:29" ht="15.45">
      <c r="A540" s="1177" t="s">
        <v>929</v>
      </c>
      <c r="B540" s="273"/>
      <c r="C540" s="273"/>
      <c r="D540" s="273"/>
      <c r="E540" s="1176"/>
      <c r="F540" s="1166"/>
      <c r="G540" s="1167"/>
      <c r="H540" s="1167"/>
      <c r="I540" s="1167"/>
      <c r="J540" s="1167"/>
      <c r="K540" s="1168"/>
      <c r="L540" s="2131">
        <f>IF(P542="No",0,IF((L536-L537-L538)&lt;0,(L536-L537-L538)*-1,0))</f>
        <v>0</v>
      </c>
      <c r="M540" s="2131"/>
      <c r="N540" s="2131">
        <f>IF(R542="No",0,IF((N536-N537-N538)&lt;0,(N536-N537-N538)*-1,0))</f>
        <v>0</v>
      </c>
      <c r="O540" s="2131"/>
      <c r="P540" s="2131">
        <f>IF(T542="No",0,IF((P536-P537-P538)&lt;0,(P536-P537-P538)*-1,0))</f>
        <v>0</v>
      </c>
      <c r="Q540" s="2132"/>
      <c r="R540" s="2078">
        <f>IF(V542="No",0,IF((R536-R537-R538)&lt;0,(R536-R537-R538)*-1,0))</f>
        <v>0</v>
      </c>
      <c r="S540" s="2131"/>
      <c r="T540" s="2131">
        <f>IF(V542="No",0,IF((T536-T537-T538)&lt;0,(T536-T537-T538)*-1,0))</f>
        <v>0</v>
      </c>
      <c r="U540" s="2131"/>
      <c r="V540" s="2131">
        <f>IF(V542="No",0,IF((V536-V537-V538)&lt;0,(V536-V537-V538)*-1,0))</f>
        <v>0</v>
      </c>
      <c r="W540" s="2132"/>
      <c r="X540" s="2134">
        <f>IF(AB542="No",0,IF((X536-X537-X538)&lt;0,(X536-X537-X538)*-1,0))</f>
        <v>0</v>
      </c>
      <c r="Y540" s="2131"/>
      <c r="Z540" s="2131">
        <f>IF(AB542="No",0,IF((Z536-Z537-Z538)&lt;0,(Z536-Z537-Z538)*-1,0))</f>
        <v>0</v>
      </c>
      <c r="AA540" s="2131"/>
      <c r="AB540" s="2131">
        <f>IF(AB542="No",0,IF((AB536-AB537-AB538)&lt;0,(AB536-AB537-AB538)*-1,0))</f>
        <v>0</v>
      </c>
      <c r="AC540" s="2132"/>
    </row>
    <row r="541" spans="1:29" ht="16.100000000000001" thickBot="1">
      <c r="A541" s="505" t="s">
        <v>991</v>
      </c>
      <c r="B541" s="506"/>
      <c r="C541" s="506"/>
      <c r="D541" s="506"/>
      <c r="E541" s="291"/>
      <c r="F541" s="2073">
        <v>0</v>
      </c>
      <c r="G541" s="2074"/>
      <c r="H541" s="2075">
        <v>0</v>
      </c>
      <c r="I541" s="2074"/>
      <c r="J541" s="2101">
        <v>0</v>
      </c>
      <c r="K541" s="2102"/>
      <c r="L541" s="292"/>
      <c r="M541" s="293"/>
      <c r="N541" s="292"/>
      <c r="O541" s="293"/>
      <c r="P541" s="294"/>
      <c r="Q541" s="295"/>
      <c r="R541" s="296"/>
      <c r="S541" s="293"/>
      <c r="T541" s="292"/>
      <c r="U541" s="293"/>
      <c r="V541" s="292"/>
      <c r="W541" s="297"/>
      <c r="X541" s="296"/>
      <c r="Y541" s="293"/>
      <c r="Z541" s="292"/>
      <c r="AA541" s="293"/>
      <c r="AB541" s="292"/>
      <c r="AC541" s="297"/>
    </row>
    <row r="542" spans="1:29" ht="16.100000000000001" thickBot="1">
      <c r="A542" s="290" t="s">
        <v>992</v>
      </c>
      <c r="B542" s="21"/>
      <c r="C542" s="21"/>
      <c r="D542" s="21"/>
      <c r="F542" s="2096">
        <v>0</v>
      </c>
      <c r="G542" s="2097"/>
      <c r="H542" s="2098">
        <v>0</v>
      </c>
      <c r="I542" s="2097"/>
      <c r="J542" s="2103">
        <v>0</v>
      </c>
      <c r="K542" s="2104"/>
      <c r="L542" s="2093" t="s">
        <v>417</v>
      </c>
      <c r="M542" s="2094"/>
      <c r="N542" s="2094"/>
      <c r="O542" s="2095"/>
      <c r="P542" s="2106" t="str">
        <f>P524</f>
        <v>Yes</v>
      </c>
      <c r="Q542" s="2107"/>
      <c r="R542" s="2093" t="s">
        <v>417</v>
      </c>
      <c r="S542" s="2094"/>
      <c r="T542" s="2094"/>
      <c r="U542" s="2095"/>
      <c r="V542" s="2106" t="str">
        <f>V524</f>
        <v>No</v>
      </c>
      <c r="W542" s="2107"/>
      <c r="X542" s="2093" t="s">
        <v>417</v>
      </c>
      <c r="Y542" s="2094"/>
      <c r="Z542" s="2094"/>
      <c r="AA542" s="2095"/>
      <c r="AB542" s="2106" t="str">
        <f>AB524</f>
        <v>No</v>
      </c>
      <c r="AC542" s="2107"/>
    </row>
    <row r="543" spans="1:29" ht="13.75" thickBot="1">
      <c r="L543" s="2093" t="s">
        <v>419</v>
      </c>
      <c r="M543" s="2094"/>
      <c r="N543" s="2094"/>
      <c r="O543" s="2094"/>
      <c r="P543" s="2094"/>
      <c r="Q543" s="2095"/>
      <c r="R543" s="2106" t="str">
        <f>R525</f>
        <v>No</v>
      </c>
      <c r="S543" s="2107"/>
      <c r="T543" s="2093" t="s">
        <v>420</v>
      </c>
      <c r="U543" s="2095"/>
      <c r="V543" s="2121">
        <v>0</v>
      </c>
      <c r="W543" s="2122"/>
    </row>
    <row r="544" spans="1:29" ht="13.5" thickBot="1">
      <c r="L544" s="2093" t="s">
        <v>421</v>
      </c>
      <c r="M544" s="2094"/>
      <c r="N544" s="2094"/>
      <c r="O544" s="2094"/>
      <c r="P544" s="2094"/>
      <c r="Q544" s="2095"/>
      <c r="R544" s="2119">
        <v>0</v>
      </c>
      <c r="S544" s="2120"/>
      <c r="T544" s="2123" t="s">
        <v>422</v>
      </c>
      <c r="U544" s="2124"/>
      <c r="V544" s="2125">
        <v>0</v>
      </c>
      <c r="W544" s="2126"/>
    </row>
    <row r="545" spans="12:28" ht="13.75" thickBot="1">
      <c r="L545" s="2093" t="s">
        <v>921</v>
      </c>
      <c r="M545" s="2094"/>
      <c r="N545" s="2094"/>
      <c r="O545" s="2094"/>
      <c r="P545" s="2094"/>
      <c r="Q545" s="2095"/>
      <c r="R545" s="2106" t="str">
        <f>R527</f>
        <v>No</v>
      </c>
      <c r="S545" s="2107"/>
      <c r="T545" s="2093" t="s">
        <v>420</v>
      </c>
      <c r="U545" s="2095"/>
      <c r="V545" s="2121">
        <v>0</v>
      </c>
      <c r="W545" s="2122"/>
    </row>
    <row r="546" spans="12:28" ht="13.5" thickBot="1">
      <c r="L546" s="2093" t="s">
        <v>421</v>
      </c>
      <c r="M546" s="2094"/>
      <c r="N546" s="2094"/>
      <c r="O546" s="2094"/>
      <c r="P546" s="2094"/>
      <c r="Q546" s="2095"/>
      <c r="R546" s="2119">
        <v>0</v>
      </c>
      <c r="S546" s="2120"/>
      <c r="T546" s="2123" t="s">
        <v>422</v>
      </c>
      <c r="U546" s="2124"/>
      <c r="V546" s="2125">
        <v>0</v>
      </c>
      <c r="W546" s="2126"/>
    </row>
    <row r="547" spans="12:28">
      <c r="L547" t="str">
        <f>IF(SUM(L539:Q539)=0," ","LTR SUMMARY:")</f>
        <v xml:space="preserve"> </v>
      </c>
      <c r="O547" s="1422">
        <f>SUM(L539:Q539)</f>
        <v>0</v>
      </c>
      <c r="P547" t="str">
        <f>IF(O547=0," ","m³")</f>
        <v xml:space="preserve"> </v>
      </c>
      <c r="R547" t="str">
        <f>IF(SUM(R539:W539)=0," ","LTR SUMMARY:")</f>
        <v xml:space="preserve"> </v>
      </c>
      <c r="U547" s="1422">
        <f>SUM(R539:W539)</f>
        <v>0</v>
      </c>
      <c r="V547" t="str">
        <f>IF(U547=0," ","m³")</f>
        <v xml:space="preserve"> </v>
      </c>
      <c r="X547" t="str">
        <f>IF(SUM(X539:AC539)=0," ","LTR SUMMARY:")</f>
        <v xml:space="preserve"> </v>
      </c>
      <c r="AA547" s="1422">
        <f>SUM(X539:AC539)</f>
        <v>0</v>
      </c>
      <c r="AB547" t="str">
        <f>IF(AA547=0," ","m³")</f>
        <v xml:space="preserve"> </v>
      </c>
    </row>
  </sheetData>
  <sheetProtection sheet="1" objects="1" scenarios="1"/>
  <protectedRanges>
    <protectedRange sqref="J10 J28 J46 J64 J82 J100 J118 J136 J154 J172 J190 J208 J226 J244 J262 J280 J298 J316 J334 J352 J370 J388 J406 J424 J442 J460 J478 J496 J514 J532" name="Range7"/>
    <protectedRange sqref="F12:K20 F30:K38 F48:K56 F66:K74 F84:K92 F102:K110 F120:K128 F138:K146 F156:K164 F174:K182 F192:K200 F210:K218 F228:K236 F246:K254 F264:K272" name="Range1"/>
    <protectedRange sqref="F282:K290 F300:K308 F318:K326 F336:K344 F354:K362 F372:K380 F390:K398 F408:K416 F426:K434 F444:K452 F462:K470 F480:K488 F498:K506 F516:K524 F534:K542" name="Range2"/>
    <protectedRange sqref="L11:AC11 L15:AC15 L33:AC33 L51:AC51 L69:AC69 L87:AC87 L105:AC105 L123:AC123 L141:AC141 L159:AC159 L177:AC177 L195:AC195 L213:AC213 L231:AC231 L249:AC249 L267:AC267" name="Range3"/>
    <protectedRange sqref="L285:AC285 L303:AC303 L321:AC321 L339:AC339 L357:AC357 L375:AC375 L393:AC393 L411:AC411 L429:AC429 L447:AC447 L465:AC465 L483:AC483 L501:AC501 L519:AC519 L537:AC537" name="Range4"/>
    <protectedRange sqref="L20:AC24 L38:AC42 L56:AC60 L74:AC78 L92:AC96 L110:AC114 L128:AC132 L146:AC150 L164:AC168 L182:AC186 L200:AC204 L218:AC222 L236:AC240 L254:AC258 L272:AC276 L290:AC294 L308:AC312 L326:AC330 L344:AC348 L362:AC366 L380:AC384 L398:AC402" name="Range5"/>
    <protectedRange sqref="L416:AC420 L434:AC438 L452:AC456 L470:AC474 L488:AC492 L506:AC510 L524:AC528 L542:AC546" name="Range6"/>
  </protectedRanges>
  <mergeCells count="3634">
    <mergeCell ref="L522:M522"/>
    <mergeCell ref="L504:M504"/>
    <mergeCell ref="L486:M486"/>
    <mergeCell ref="L528:Q528"/>
    <mergeCell ref="L510:Q510"/>
    <mergeCell ref="L492:Q492"/>
    <mergeCell ref="P538:Q538"/>
    <mergeCell ref="N534:O534"/>
    <mergeCell ref="P534:Q534"/>
    <mergeCell ref="L432:M432"/>
    <mergeCell ref="L414:M414"/>
    <mergeCell ref="L396:M396"/>
    <mergeCell ref="L438:Q438"/>
    <mergeCell ref="L420:Q420"/>
    <mergeCell ref="L402:Q402"/>
    <mergeCell ref="N432:O432"/>
    <mergeCell ref="P432:Q432"/>
    <mergeCell ref="N396:O396"/>
    <mergeCell ref="P396:Q396"/>
    <mergeCell ref="L509:Q509"/>
    <mergeCell ref="L455:Q455"/>
    <mergeCell ref="L419:Q419"/>
    <mergeCell ref="L526:Q526"/>
    <mergeCell ref="N514:O514"/>
    <mergeCell ref="P514:Q514"/>
    <mergeCell ref="N496:O496"/>
    <mergeCell ref="P496:Q496"/>
    <mergeCell ref="P488:Q488"/>
    <mergeCell ref="L482:M482"/>
    <mergeCell ref="N482:O482"/>
    <mergeCell ref="P482:Q482"/>
    <mergeCell ref="P358:Q358"/>
    <mergeCell ref="N324:O324"/>
    <mergeCell ref="P324:Q324"/>
    <mergeCell ref="L54:M54"/>
    <mergeCell ref="L57:Q57"/>
    <mergeCell ref="N108:O108"/>
    <mergeCell ref="P108:Q108"/>
    <mergeCell ref="N72:O72"/>
    <mergeCell ref="P72:Q72"/>
    <mergeCell ref="P106:Q106"/>
    <mergeCell ref="L72:M72"/>
    <mergeCell ref="N104:O104"/>
    <mergeCell ref="P104:Q104"/>
    <mergeCell ref="L329:Q329"/>
    <mergeCell ref="N298:O298"/>
    <mergeCell ref="P298:Q298"/>
    <mergeCell ref="P262:Q262"/>
    <mergeCell ref="L257:Q257"/>
    <mergeCell ref="N248:O248"/>
    <mergeCell ref="P248:Q248"/>
    <mergeCell ref="P236:Q236"/>
    <mergeCell ref="N194:O194"/>
    <mergeCell ref="P194:Q194"/>
    <mergeCell ref="P182:Q182"/>
    <mergeCell ref="N176:O176"/>
    <mergeCell ref="L108:M108"/>
    <mergeCell ref="L90:M90"/>
    <mergeCell ref="F145:G145"/>
    <mergeCell ref="H145:I145"/>
    <mergeCell ref="J145:K145"/>
    <mergeCell ref="F146:G146"/>
    <mergeCell ref="Z540:AA540"/>
    <mergeCell ref="AB540:AC540"/>
    <mergeCell ref="C3:J3"/>
    <mergeCell ref="C25:I25"/>
    <mergeCell ref="C43:I43"/>
    <mergeCell ref="C61:I61"/>
    <mergeCell ref="C79:I79"/>
    <mergeCell ref="C97:I97"/>
    <mergeCell ref="C115:I115"/>
    <mergeCell ref="C133:I133"/>
    <mergeCell ref="T522:U522"/>
    <mergeCell ref="V522:W522"/>
    <mergeCell ref="X522:Y522"/>
    <mergeCell ref="T540:U540"/>
    <mergeCell ref="V540:W540"/>
    <mergeCell ref="X540:Y540"/>
    <mergeCell ref="AB517:AC517"/>
    <mergeCell ref="X518:Y518"/>
    <mergeCell ref="Z518:AA518"/>
    <mergeCell ref="AB518:AC518"/>
    <mergeCell ref="N540:O540"/>
    <mergeCell ref="P540:Q540"/>
    <mergeCell ref="R540:S540"/>
    <mergeCell ref="N522:O522"/>
    <mergeCell ref="P522:Q522"/>
    <mergeCell ref="L216:M216"/>
    <mergeCell ref="R522:S522"/>
    <mergeCell ref="T504:U504"/>
    <mergeCell ref="V504:W504"/>
    <mergeCell ref="X504:Y504"/>
    <mergeCell ref="Z504:AA504"/>
    <mergeCell ref="X521:Y521"/>
    <mergeCell ref="Z521:AA521"/>
    <mergeCell ref="V520:W520"/>
    <mergeCell ref="V521:W521"/>
    <mergeCell ref="V517:W517"/>
    <mergeCell ref="V518:W518"/>
    <mergeCell ref="AB482:AC482"/>
    <mergeCell ref="N504:O504"/>
    <mergeCell ref="P504:Q504"/>
    <mergeCell ref="R504:S504"/>
    <mergeCell ref="AB468:AC468"/>
    <mergeCell ref="N486:O486"/>
    <mergeCell ref="P486:Q486"/>
    <mergeCell ref="R486:S486"/>
    <mergeCell ref="T486:U486"/>
    <mergeCell ref="V486:W486"/>
    <mergeCell ref="X468:Y468"/>
    <mergeCell ref="Z468:AA468"/>
    <mergeCell ref="X485:Y485"/>
    <mergeCell ref="Z485:AA485"/>
    <mergeCell ref="AB485:AC485"/>
    <mergeCell ref="X481:Y481"/>
    <mergeCell ref="Z481:AA481"/>
    <mergeCell ref="AB481:AC481"/>
    <mergeCell ref="X482:Y482"/>
    <mergeCell ref="Z482:AA482"/>
    <mergeCell ref="AB503:AC503"/>
    <mergeCell ref="V450:W450"/>
    <mergeCell ref="X450:Y450"/>
    <mergeCell ref="Z450:AA450"/>
    <mergeCell ref="AB450:AC450"/>
    <mergeCell ref="L468:M468"/>
    <mergeCell ref="N468:O468"/>
    <mergeCell ref="P468:Q468"/>
    <mergeCell ref="R468:S468"/>
    <mergeCell ref="T468:U468"/>
    <mergeCell ref="V468:W468"/>
    <mergeCell ref="T432:U432"/>
    <mergeCell ref="V432:W432"/>
    <mergeCell ref="X432:Y432"/>
    <mergeCell ref="Z432:AA432"/>
    <mergeCell ref="AB432:AC432"/>
    <mergeCell ref="L450:M450"/>
    <mergeCell ref="N450:O450"/>
    <mergeCell ref="P450:Q450"/>
    <mergeCell ref="R450:S450"/>
    <mergeCell ref="T450:U450"/>
    <mergeCell ref="R432:S432"/>
    <mergeCell ref="AB462:AC462"/>
    <mergeCell ref="AB463:AC463"/>
    <mergeCell ref="AB452:AC452"/>
    <mergeCell ref="AB460:AC460"/>
    <mergeCell ref="AB461:AC461"/>
    <mergeCell ref="X448:Y448"/>
    <mergeCell ref="Z448:AA448"/>
    <mergeCell ref="AB448:AC448"/>
    <mergeCell ref="X449:Y449"/>
    <mergeCell ref="Z449:AA449"/>
    <mergeCell ref="AB449:AC449"/>
    <mergeCell ref="AB396:AC396"/>
    <mergeCell ref="N414:O414"/>
    <mergeCell ref="P414:Q414"/>
    <mergeCell ref="R414:S414"/>
    <mergeCell ref="T414:U414"/>
    <mergeCell ref="V414:W414"/>
    <mergeCell ref="X414:Y414"/>
    <mergeCell ref="X413:Y413"/>
    <mergeCell ref="Z413:AA413"/>
    <mergeCell ref="V360:W360"/>
    <mergeCell ref="X360:Y360"/>
    <mergeCell ref="AB413:AC413"/>
    <mergeCell ref="X409:Y409"/>
    <mergeCell ref="T396:U396"/>
    <mergeCell ref="V396:W396"/>
    <mergeCell ref="X396:Y396"/>
    <mergeCell ref="Z396:AA396"/>
    <mergeCell ref="Z409:AA409"/>
    <mergeCell ref="AB409:AC409"/>
    <mergeCell ref="X407:Y407"/>
    <mergeCell ref="Z407:AA407"/>
    <mergeCell ref="AB407:AC407"/>
    <mergeCell ref="X408:Y408"/>
    <mergeCell ref="Z408:AA408"/>
    <mergeCell ref="AB408:AC408"/>
    <mergeCell ref="X398:AA398"/>
    <mergeCell ref="AB398:AC398"/>
    <mergeCell ref="X406:Y406"/>
    <mergeCell ref="Z406:AA406"/>
    <mergeCell ref="AB406:AC406"/>
    <mergeCell ref="X392:Y392"/>
    <mergeCell ref="Z392:AA392"/>
    <mergeCell ref="L360:M360"/>
    <mergeCell ref="N360:O360"/>
    <mergeCell ref="P360:Q360"/>
    <mergeCell ref="R360:S360"/>
    <mergeCell ref="T360:U360"/>
    <mergeCell ref="X395:Y395"/>
    <mergeCell ref="Z395:AA395"/>
    <mergeCell ref="AB395:AC395"/>
    <mergeCell ref="X393:Y393"/>
    <mergeCell ref="Z393:AA393"/>
    <mergeCell ref="AB393:AC393"/>
    <mergeCell ref="X394:Y394"/>
    <mergeCell ref="Z394:AA394"/>
    <mergeCell ref="AB394:AC394"/>
    <mergeCell ref="X391:Y391"/>
    <mergeCell ref="Z391:AA391"/>
    <mergeCell ref="AB391:AC391"/>
    <mergeCell ref="L366:Q366"/>
    <mergeCell ref="L364:Q364"/>
    <mergeCell ref="L342:M342"/>
    <mergeCell ref="N342:O342"/>
    <mergeCell ref="P342:Q342"/>
    <mergeCell ref="R342:S342"/>
    <mergeCell ref="T342:U342"/>
    <mergeCell ref="T306:U306"/>
    <mergeCell ref="V306:W306"/>
    <mergeCell ref="X306:Y306"/>
    <mergeCell ref="Z306:AA306"/>
    <mergeCell ref="AB306:AC306"/>
    <mergeCell ref="T288:U288"/>
    <mergeCell ref="V288:W288"/>
    <mergeCell ref="X288:Y288"/>
    <mergeCell ref="X305:Y305"/>
    <mergeCell ref="Z305:AA305"/>
    <mergeCell ref="R288:S288"/>
    <mergeCell ref="L306:M306"/>
    <mergeCell ref="N306:O306"/>
    <mergeCell ref="P306:Q306"/>
    <mergeCell ref="R306:S306"/>
    <mergeCell ref="R324:S324"/>
    <mergeCell ref="L311:Q311"/>
    <mergeCell ref="R311:S311"/>
    <mergeCell ref="L320:M320"/>
    <mergeCell ref="N320:O320"/>
    <mergeCell ref="X341:Y341"/>
    <mergeCell ref="Z341:AA341"/>
    <mergeCell ref="V342:W342"/>
    <mergeCell ref="X342:Y342"/>
    <mergeCell ref="Z342:AA342"/>
    <mergeCell ref="AB342:AC342"/>
    <mergeCell ref="L324:M324"/>
    <mergeCell ref="T270:U270"/>
    <mergeCell ref="V270:W270"/>
    <mergeCell ref="X270:Y270"/>
    <mergeCell ref="Z270:AA270"/>
    <mergeCell ref="AB270:AC270"/>
    <mergeCell ref="V234:W234"/>
    <mergeCell ref="X234:Y234"/>
    <mergeCell ref="Z234:AA234"/>
    <mergeCell ref="AB234:AC234"/>
    <mergeCell ref="L252:M252"/>
    <mergeCell ref="N252:O252"/>
    <mergeCell ref="P252:Q252"/>
    <mergeCell ref="R252:S252"/>
    <mergeCell ref="T252:U252"/>
    <mergeCell ref="V252:W252"/>
    <mergeCell ref="X265:Y265"/>
    <mergeCell ref="Z265:AA265"/>
    <mergeCell ref="AB265:AC265"/>
    <mergeCell ref="X266:Y266"/>
    <mergeCell ref="Z266:AA266"/>
    <mergeCell ref="AB266:AC266"/>
    <mergeCell ref="X263:Y263"/>
    <mergeCell ref="Z263:AA263"/>
    <mergeCell ref="AB263:AC263"/>
    <mergeCell ref="X264:Y264"/>
    <mergeCell ref="Z264:AA264"/>
    <mergeCell ref="AB264:AC264"/>
    <mergeCell ref="Z178:AA178"/>
    <mergeCell ref="AB178:AC178"/>
    <mergeCell ref="X179:Y179"/>
    <mergeCell ref="Z179:AA179"/>
    <mergeCell ref="AB179:AC179"/>
    <mergeCell ref="T216:U216"/>
    <mergeCell ref="V216:W216"/>
    <mergeCell ref="X216:Y216"/>
    <mergeCell ref="Z216:AA216"/>
    <mergeCell ref="AB216:AC216"/>
    <mergeCell ref="L234:M234"/>
    <mergeCell ref="N234:O234"/>
    <mergeCell ref="P234:Q234"/>
    <mergeCell ref="R234:S234"/>
    <mergeCell ref="T234:U234"/>
    <mergeCell ref="N216:O216"/>
    <mergeCell ref="P216:Q216"/>
    <mergeCell ref="R216:S216"/>
    <mergeCell ref="AB180:AC180"/>
    <mergeCell ref="N198:O198"/>
    <mergeCell ref="P198:Q198"/>
    <mergeCell ref="R198:S198"/>
    <mergeCell ref="T198:U198"/>
    <mergeCell ref="V198:W198"/>
    <mergeCell ref="X198:Y198"/>
    <mergeCell ref="Z180:AA180"/>
    <mergeCell ref="X197:Y197"/>
    <mergeCell ref="Z197:AA197"/>
    <mergeCell ref="AB197:AC197"/>
    <mergeCell ref="X193:Y193"/>
    <mergeCell ref="Z193:AA193"/>
    <mergeCell ref="AB193:AC193"/>
    <mergeCell ref="X74:AA74"/>
    <mergeCell ref="T85:U85"/>
    <mergeCell ref="V85:W85"/>
    <mergeCell ref="AB85:AC85"/>
    <mergeCell ref="X86:Y86"/>
    <mergeCell ref="X162:Y162"/>
    <mergeCell ref="Z162:AA162"/>
    <mergeCell ref="AB162:AC162"/>
    <mergeCell ref="L180:M180"/>
    <mergeCell ref="N180:O180"/>
    <mergeCell ref="P180:Q180"/>
    <mergeCell ref="R180:S180"/>
    <mergeCell ref="T180:U180"/>
    <mergeCell ref="V180:W180"/>
    <mergeCell ref="X180:Y180"/>
    <mergeCell ref="L162:M162"/>
    <mergeCell ref="N162:O162"/>
    <mergeCell ref="P162:Q162"/>
    <mergeCell ref="R162:S162"/>
    <mergeCell ref="T162:U162"/>
    <mergeCell ref="V162:W162"/>
    <mergeCell ref="AB126:AC126"/>
    <mergeCell ref="L144:M144"/>
    <mergeCell ref="N144:O144"/>
    <mergeCell ref="P144:Q144"/>
    <mergeCell ref="R144:S144"/>
    <mergeCell ref="T144:U144"/>
    <mergeCell ref="V144:W144"/>
    <mergeCell ref="X144:Y144"/>
    <mergeCell ref="Z144:AA144"/>
    <mergeCell ref="AB144:AC144"/>
    <mergeCell ref="X178:Y178"/>
    <mergeCell ref="X452:AA452"/>
    <mergeCell ref="X460:Y460"/>
    <mergeCell ref="Z460:AA460"/>
    <mergeCell ref="X461:Y461"/>
    <mergeCell ref="Z461:AA461"/>
    <mergeCell ref="Z108:AA108"/>
    <mergeCell ref="AB108:AC108"/>
    <mergeCell ref="L126:M126"/>
    <mergeCell ref="N126:O126"/>
    <mergeCell ref="P126:Q126"/>
    <mergeCell ref="R126:S126"/>
    <mergeCell ref="T126:U126"/>
    <mergeCell ref="V126:W126"/>
    <mergeCell ref="X126:Y126"/>
    <mergeCell ref="Z126:AA126"/>
    <mergeCell ref="AB72:AC72"/>
    <mergeCell ref="N90:O90"/>
    <mergeCell ref="P90:Q90"/>
    <mergeCell ref="R90:S90"/>
    <mergeCell ref="T90:U90"/>
    <mergeCell ref="V90:W90"/>
    <mergeCell ref="X90:Y90"/>
    <mergeCell ref="X89:Y89"/>
    <mergeCell ref="Z89:AA89"/>
    <mergeCell ref="AB89:AC89"/>
    <mergeCell ref="X85:Y85"/>
    <mergeCell ref="T72:U72"/>
    <mergeCell ref="V72:W72"/>
    <mergeCell ref="X72:Y72"/>
    <mergeCell ref="Z72:AA72"/>
    <mergeCell ref="Z85:AA85"/>
    <mergeCell ref="Z84:AA84"/>
    <mergeCell ref="X542:AA542"/>
    <mergeCell ref="Z538:AA538"/>
    <mergeCell ref="X536:Y536"/>
    <mergeCell ref="Z536:AA536"/>
    <mergeCell ref="X534:Y534"/>
    <mergeCell ref="Z534:AA534"/>
    <mergeCell ref="X535:Y535"/>
    <mergeCell ref="Z535:AA535"/>
    <mergeCell ref="X503:Y503"/>
    <mergeCell ref="Z503:AA503"/>
    <mergeCell ref="X506:AA506"/>
    <mergeCell ref="X497:Y497"/>
    <mergeCell ref="Z497:AA497"/>
    <mergeCell ref="X470:AA470"/>
    <mergeCell ref="X462:Y462"/>
    <mergeCell ref="Z462:AA462"/>
    <mergeCell ref="X463:Y463"/>
    <mergeCell ref="Z463:AA463"/>
    <mergeCell ref="X538:Y538"/>
    <mergeCell ref="V54:W54"/>
    <mergeCell ref="X54:Y54"/>
    <mergeCell ref="Z54:AA54"/>
    <mergeCell ref="X532:Y532"/>
    <mergeCell ref="V108:W108"/>
    <mergeCell ref="X108:Y108"/>
    <mergeCell ref="AB538:AC538"/>
    <mergeCell ref="X539:Y539"/>
    <mergeCell ref="Z539:AA539"/>
    <mergeCell ref="AB539:AC539"/>
    <mergeCell ref="AB542:AC542"/>
    <mergeCell ref="L18:M18"/>
    <mergeCell ref="N18:O18"/>
    <mergeCell ref="P18:Q18"/>
    <mergeCell ref="R18:S18"/>
    <mergeCell ref="T18:U18"/>
    <mergeCell ref="AB535:AC535"/>
    <mergeCell ref="AB536:AC536"/>
    <mergeCell ref="X537:Y537"/>
    <mergeCell ref="Z537:AA537"/>
    <mergeCell ref="AB537:AC537"/>
    <mergeCell ref="Z532:AA532"/>
    <mergeCell ref="AB532:AC532"/>
    <mergeCell ref="X533:Y533"/>
    <mergeCell ref="Z533:AA533"/>
    <mergeCell ref="AB533:AC533"/>
    <mergeCell ref="AB534:AC534"/>
    <mergeCell ref="X524:AA524"/>
    <mergeCell ref="Z86:AA86"/>
    <mergeCell ref="N54:O54"/>
    <mergeCell ref="P54:Q54"/>
    <mergeCell ref="AB524:AC524"/>
    <mergeCell ref="X519:Y519"/>
    <mergeCell ref="Z519:AA519"/>
    <mergeCell ref="AB519:AC519"/>
    <mergeCell ref="X520:Y520"/>
    <mergeCell ref="Z520:AA520"/>
    <mergeCell ref="AB520:AC520"/>
    <mergeCell ref="Z522:AA522"/>
    <mergeCell ref="AB522:AC522"/>
    <mergeCell ref="X515:Y515"/>
    <mergeCell ref="Z515:AA515"/>
    <mergeCell ref="AB515:AC515"/>
    <mergeCell ref="X516:Y516"/>
    <mergeCell ref="Z516:AA516"/>
    <mergeCell ref="AB516:AC516"/>
    <mergeCell ref="AB521:AC521"/>
    <mergeCell ref="X517:Y517"/>
    <mergeCell ref="Z517:AA517"/>
    <mergeCell ref="AB506:AC506"/>
    <mergeCell ref="X514:Y514"/>
    <mergeCell ref="Z514:AA514"/>
    <mergeCell ref="AB514:AC514"/>
    <mergeCell ref="AB504:AC504"/>
    <mergeCell ref="X501:Y501"/>
    <mergeCell ref="Z501:AA501"/>
    <mergeCell ref="AB501:AC501"/>
    <mergeCell ref="X502:Y502"/>
    <mergeCell ref="Z502:AA502"/>
    <mergeCell ref="AB502:AC502"/>
    <mergeCell ref="X499:Y499"/>
    <mergeCell ref="Z499:AA499"/>
    <mergeCell ref="AB499:AC499"/>
    <mergeCell ref="X500:Y500"/>
    <mergeCell ref="Z500:AA500"/>
    <mergeCell ref="AB500:AC500"/>
    <mergeCell ref="AB497:AC497"/>
    <mergeCell ref="X498:Y498"/>
    <mergeCell ref="Z498:AA498"/>
    <mergeCell ref="AB498:AC498"/>
    <mergeCell ref="AB484:AC484"/>
    <mergeCell ref="Z486:AA486"/>
    <mergeCell ref="AB486:AC486"/>
    <mergeCell ref="X496:Y496"/>
    <mergeCell ref="Z496:AA496"/>
    <mergeCell ref="AB496:AC496"/>
    <mergeCell ref="X486:Y486"/>
    <mergeCell ref="X480:Y480"/>
    <mergeCell ref="Z480:AA480"/>
    <mergeCell ref="AB480:AC480"/>
    <mergeCell ref="X488:AA488"/>
    <mergeCell ref="AB488:AC488"/>
    <mergeCell ref="X483:Y483"/>
    <mergeCell ref="Z483:AA483"/>
    <mergeCell ref="AB483:AC483"/>
    <mergeCell ref="X484:Y484"/>
    <mergeCell ref="Z484:AA484"/>
    <mergeCell ref="AB470:AC470"/>
    <mergeCell ref="X478:Y478"/>
    <mergeCell ref="Z478:AA478"/>
    <mergeCell ref="AB478:AC478"/>
    <mergeCell ref="X479:Y479"/>
    <mergeCell ref="Z479:AA479"/>
    <mergeCell ref="AB479:AC479"/>
    <mergeCell ref="X466:Y466"/>
    <mergeCell ref="Z466:AA466"/>
    <mergeCell ref="AB466:AC466"/>
    <mergeCell ref="X467:Y467"/>
    <mergeCell ref="Z467:AA467"/>
    <mergeCell ref="AB467:AC467"/>
    <mergeCell ref="X464:Y464"/>
    <mergeCell ref="Z464:AA464"/>
    <mergeCell ref="AB464:AC464"/>
    <mergeCell ref="X465:Y465"/>
    <mergeCell ref="Z465:AA465"/>
    <mergeCell ref="AB465:AC465"/>
    <mergeCell ref="X446:Y446"/>
    <mergeCell ref="Z446:AA446"/>
    <mergeCell ref="AB446:AC446"/>
    <mergeCell ref="X447:Y447"/>
    <mergeCell ref="Z447:AA447"/>
    <mergeCell ref="AB447:AC447"/>
    <mergeCell ref="X444:Y444"/>
    <mergeCell ref="Z444:AA444"/>
    <mergeCell ref="AB444:AC444"/>
    <mergeCell ref="X445:Y445"/>
    <mergeCell ref="Z445:AA445"/>
    <mergeCell ref="AB445:AC445"/>
    <mergeCell ref="X434:AA434"/>
    <mergeCell ref="AB434:AC434"/>
    <mergeCell ref="X442:Y442"/>
    <mergeCell ref="Z442:AA442"/>
    <mergeCell ref="AB442:AC442"/>
    <mergeCell ref="X443:Y443"/>
    <mergeCell ref="Z443:AA443"/>
    <mergeCell ref="AB443:AC443"/>
    <mergeCell ref="X430:Y430"/>
    <mergeCell ref="Z430:AA430"/>
    <mergeCell ref="AB430:AC430"/>
    <mergeCell ref="X431:Y431"/>
    <mergeCell ref="Z431:AA431"/>
    <mergeCell ref="AB431:AC431"/>
    <mergeCell ref="X428:Y428"/>
    <mergeCell ref="Z428:AA428"/>
    <mergeCell ref="AB428:AC428"/>
    <mergeCell ref="X429:Y429"/>
    <mergeCell ref="Z429:AA429"/>
    <mergeCell ref="AB429:AC429"/>
    <mergeCell ref="X426:Y426"/>
    <mergeCell ref="Z426:AA426"/>
    <mergeCell ref="AB426:AC426"/>
    <mergeCell ref="X427:Y427"/>
    <mergeCell ref="Z427:AA427"/>
    <mergeCell ref="AB427:AC427"/>
    <mergeCell ref="X424:Y424"/>
    <mergeCell ref="Z424:AA424"/>
    <mergeCell ref="AB424:AC424"/>
    <mergeCell ref="X425:Y425"/>
    <mergeCell ref="Z425:AA425"/>
    <mergeCell ref="AB425:AC425"/>
    <mergeCell ref="X416:AA416"/>
    <mergeCell ref="AB416:AC416"/>
    <mergeCell ref="X411:Y411"/>
    <mergeCell ref="Z411:AA411"/>
    <mergeCell ref="AB411:AC411"/>
    <mergeCell ref="X412:Y412"/>
    <mergeCell ref="Z412:AA412"/>
    <mergeCell ref="AB412:AC412"/>
    <mergeCell ref="Z414:AA414"/>
    <mergeCell ref="AB414:AC414"/>
    <mergeCell ref="AB410:AC410"/>
    <mergeCell ref="X410:Y410"/>
    <mergeCell ref="Z410:AA410"/>
    <mergeCell ref="AB392:AC392"/>
    <mergeCell ref="X389:Y389"/>
    <mergeCell ref="Z389:AA389"/>
    <mergeCell ref="AB389:AC389"/>
    <mergeCell ref="X390:Y390"/>
    <mergeCell ref="Z390:AA390"/>
    <mergeCell ref="AB390:AC390"/>
    <mergeCell ref="X377:Y377"/>
    <mergeCell ref="Z377:AA377"/>
    <mergeCell ref="AB377:AC377"/>
    <mergeCell ref="X380:AA380"/>
    <mergeCell ref="AB380:AC380"/>
    <mergeCell ref="X388:Y388"/>
    <mergeCell ref="Z388:AA388"/>
    <mergeCell ref="AB388:AC388"/>
    <mergeCell ref="AB378:AC378"/>
    <mergeCell ref="X375:Y375"/>
    <mergeCell ref="Z375:AA375"/>
    <mergeCell ref="AB375:AC375"/>
    <mergeCell ref="X376:Y376"/>
    <mergeCell ref="Z376:AA376"/>
    <mergeCell ref="AB376:AC376"/>
    <mergeCell ref="X378:Y378"/>
    <mergeCell ref="Z378:AA378"/>
    <mergeCell ref="X373:Y373"/>
    <mergeCell ref="Z373:AA373"/>
    <mergeCell ref="AB373:AC373"/>
    <mergeCell ref="X374:Y374"/>
    <mergeCell ref="Z374:AA374"/>
    <mergeCell ref="AB374:AC374"/>
    <mergeCell ref="X371:Y371"/>
    <mergeCell ref="Z371:AA371"/>
    <mergeCell ref="AB371:AC371"/>
    <mergeCell ref="X372:Y372"/>
    <mergeCell ref="Z372:AA372"/>
    <mergeCell ref="AB372:AC372"/>
    <mergeCell ref="X359:Y359"/>
    <mergeCell ref="Z359:AA359"/>
    <mergeCell ref="AB359:AC359"/>
    <mergeCell ref="X362:AA362"/>
    <mergeCell ref="AB362:AC362"/>
    <mergeCell ref="X370:Y370"/>
    <mergeCell ref="Z370:AA370"/>
    <mergeCell ref="AB370:AC370"/>
    <mergeCell ref="AB360:AC360"/>
    <mergeCell ref="Z360:AA360"/>
    <mergeCell ref="X357:Y357"/>
    <mergeCell ref="Z357:AA357"/>
    <mergeCell ref="AB357:AC357"/>
    <mergeCell ref="X358:Y358"/>
    <mergeCell ref="Z358:AA358"/>
    <mergeCell ref="AB358:AC358"/>
    <mergeCell ref="X355:Y355"/>
    <mergeCell ref="Z355:AA355"/>
    <mergeCell ref="AB355:AC355"/>
    <mergeCell ref="X356:Y356"/>
    <mergeCell ref="Z356:AA356"/>
    <mergeCell ref="AB356:AC356"/>
    <mergeCell ref="X353:Y353"/>
    <mergeCell ref="Z353:AA353"/>
    <mergeCell ref="AB353:AC353"/>
    <mergeCell ref="X354:Y354"/>
    <mergeCell ref="Z354:AA354"/>
    <mergeCell ref="AB354:AC354"/>
    <mergeCell ref="AB341:AC341"/>
    <mergeCell ref="X344:AA344"/>
    <mergeCell ref="AB344:AC344"/>
    <mergeCell ref="X352:Y352"/>
    <mergeCell ref="Z352:AA352"/>
    <mergeCell ref="AB352:AC352"/>
    <mergeCell ref="X339:Y339"/>
    <mergeCell ref="Z339:AA339"/>
    <mergeCell ref="AB339:AC339"/>
    <mergeCell ref="X340:Y340"/>
    <mergeCell ref="Z340:AA340"/>
    <mergeCell ref="AB340:AC340"/>
    <mergeCell ref="X337:Y337"/>
    <mergeCell ref="Z337:AA337"/>
    <mergeCell ref="AB337:AC337"/>
    <mergeCell ref="X338:Y338"/>
    <mergeCell ref="Z338:AA338"/>
    <mergeCell ref="AB338:AC338"/>
    <mergeCell ref="X335:Y335"/>
    <mergeCell ref="Z335:AA335"/>
    <mergeCell ref="AB335:AC335"/>
    <mergeCell ref="X336:Y336"/>
    <mergeCell ref="Z336:AA336"/>
    <mergeCell ref="AB336:AC336"/>
    <mergeCell ref="X323:Y323"/>
    <mergeCell ref="Z323:AA323"/>
    <mergeCell ref="AB323:AC323"/>
    <mergeCell ref="X326:AA326"/>
    <mergeCell ref="AB326:AC326"/>
    <mergeCell ref="X334:Y334"/>
    <mergeCell ref="Z334:AA334"/>
    <mergeCell ref="AB334:AC334"/>
    <mergeCell ref="X321:Y321"/>
    <mergeCell ref="Z321:AA321"/>
    <mergeCell ref="AB321:AC321"/>
    <mergeCell ref="X322:Y322"/>
    <mergeCell ref="Z322:AA322"/>
    <mergeCell ref="AB322:AC322"/>
    <mergeCell ref="X324:Y324"/>
    <mergeCell ref="Z324:AA324"/>
    <mergeCell ref="AB324:AC324"/>
    <mergeCell ref="X319:Y319"/>
    <mergeCell ref="Z319:AA319"/>
    <mergeCell ref="AB319:AC319"/>
    <mergeCell ref="X320:Y320"/>
    <mergeCell ref="Z320:AA320"/>
    <mergeCell ref="AB320:AC320"/>
    <mergeCell ref="X317:Y317"/>
    <mergeCell ref="Z317:AA317"/>
    <mergeCell ref="AB317:AC317"/>
    <mergeCell ref="X318:Y318"/>
    <mergeCell ref="Z318:AA318"/>
    <mergeCell ref="AB318:AC318"/>
    <mergeCell ref="AB305:AC305"/>
    <mergeCell ref="X308:AA308"/>
    <mergeCell ref="AB308:AC308"/>
    <mergeCell ref="X316:Y316"/>
    <mergeCell ref="Z316:AA316"/>
    <mergeCell ref="AB316:AC316"/>
    <mergeCell ref="X303:Y303"/>
    <mergeCell ref="Z303:AA303"/>
    <mergeCell ref="AB303:AC303"/>
    <mergeCell ref="X304:Y304"/>
    <mergeCell ref="Z304:AA304"/>
    <mergeCell ref="AB304:AC304"/>
    <mergeCell ref="X301:Y301"/>
    <mergeCell ref="Z301:AA301"/>
    <mergeCell ref="AB301:AC301"/>
    <mergeCell ref="X302:Y302"/>
    <mergeCell ref="Z302:AA302"/>
    <mergeCell ref="AB302:AC302"/>
    <mergeCell ref="X299:Y299"/>
    <mergeCell ref="Z299:AA299"/>
    <mergeCell ref="AB299:AC299"/>
    <mergeCell ref="X300:Y300"/>
    <mergeCell ref="Z300:AA300"/>
    <mergeCell ref="AB300:AC300"/>
    <mergeCell ref="X287:Y287"/>
    <mergeCell ref="Z287:AA287"/>
    <mergeCell ref="AB287:AC287"/>
    <mergeCell ref="X290:AA290"/>
    <mergeCell ref="AB290:AC290"/>
    <mergeCell ref="X298:Y298"/>
    <mergeCell ref="Z298:AA298"/>
    <mergeCell ref="AB298:AC298"/>
    <mergeCell ref="Z288:AA288"/>
    <mergeCell ref="AB288:AC288"/>
    <mergeCell ref="X285:Y285"/>
    <mergeCell ref="Z285:AA285"/>
    <mergeCell ref="AB285:AC285"/>
    <mergeCell ref="X286:Y286"/>
    <mergeCell ref="Z286:AA286"/>
    <mergeCell ref="AB286:AC286"/>
    <mergeCell ref="X283:Y283"/>
    <mergeCell ref="Z283:AA283"/>
    <mergeCell ref="AB283:AC283"/>
    <mergeCell ref="X284:Y284"/>
    <mergeCell ref="Z284:AA284"/>
    <mergeCell ref="AB284:AC284"/>
    <mergeCell ref="X281:Y281"/>
    <mergeCell ref="Z281:AA281"/>
    <mergeCell ref="AB281:AC281"/>
    <mergeCell ref="X282:Y282"/>
    <mergeCell ref="Z282:AA282"/>
    <mergeCell ref="AB282:AC282"/>
    <mergeCell ref="X269:Y269"/>
    <mergeCell ref="Z269:AA269"/>
    <mergeCell ref="AB269:AC269"/>
    <mergeCell ref="X272:AA272"/>
    <mergeCell ref="AB272:AC272"/>
    <mergeCell ref="X280:Y280"/>
    <mergeCell ref="Z280:AA280"/>
    <mergeCell ref="AB280:AC280"/>
    <mergeCell ref="X267:Y267"/>
    <mergeCell ref="Z267:AA267"/>
    <mergeCell ref="AB267:AC267"/>
    <mergeCell ref="X268:Y268"/>
    <mergeCell ref="Z268:AA268"/>
    <mergeCell ref="AB268:AC268"/>
    <mergeCell ref="X251:Y251"/>
    <mergeCell ref="Z251:AA251"/>
    <mergeCell ref="AB251:AC251"/>
    <mergeCell ref="X254:AA254"/>
    <mergeCell ref="AB254:AC254"/>
    <mergeCell ref="X262:Y262"/>
    <mergeCell ref="Z262:AA262"/>
    <mergeCell ref="AB262:AC262"/>
    <mergeCell ref="X252:Y252"/>
    <mergeCell ref="Z252:AA252"/>
    <mergeCell ref="X249:Y249"/>
    <mergeCell ref="Z249:AA249"/>
    <mergeCell ref="AB249:AC249"/>
    <mergeCell ref="X250:Y250"/>
    <mergeCell ref="Z250:AA250"/>
    <mergeCell ref="AB250:AC250"/>
    <mergeCell ref="X247:Y247"/>
    <mergeCell ref="Z247:AA247"/>
    <mergeCell ref="AB247:AC247"/>
    <mergeCell ref="X248:Y248"/>
    <mergeCell ref="Z248:AA248"/>
    <mergeCell ref="AB248:AC248"/>
    <mergeCell ref="AB252:AC252"/>
    <mergeCell ref="X245:Y245"/>
    <mergeCell ref="Z245:AA245"/>
    <mergeCell ref="AB245:AC245"/>
    <mergeCell ref="X246:Y246"/>
    <mergeCell ref="Z246:AA246"/>
    <mergeCell ref="AB246:AC246"/>
    <mergeCell ref="X233:Y233"/>
    <mergeCell ref="Z233:AA233"/>
    <mergeCell ref="AB233:AC233"/>
    <mergeCell ref="X236:AA236"/>
    <mergeCell ref="AB236:AC236"/>
    <mergeCell ref="X244:Y244"/>
    <mergeCell ref="Z244:AA244"/>
    <mergeCell ref="AB244:AC244"/>
    <mergeCell ref="X231:Y231"/>
    <mergeCell ref="Z231:AA231"/>
    <mergeCell ref="AB231:AC231"/>
    <mergeCell ref="X232:Y232"/>
    <mergeCell ref="Z232:AA232"/>
    <mergeCell ref="AB232:AC232"/>
    <mergeCell ref="AB229:AC229"/>
    <mergeCell ref="X230:Y230"/>
    <mergeCell ref="Z230:AA230"/>
    <mergeCell ref="AB230:AC230"/>
    <mergeCell ref="X227:Y227"/>
    <mergeCell ref="Z227:AA227"/>
    <mergeCell ref="AB227:AC227"/>
    <mergeCell ref="X228:Y228"/>
    <mergeCell ref="Z228:AA228"/>
    <mergeCell ref="AB228:AC228"/>
    <mergeCell ref="X215:Y215"/>
    <mergeCell ref="Z215:AA215"/>
    <mergeCell ref="AB215:AC215"/>
    <mergeCell ref="X218:AA218"/>
    <mergeCell ref="AB218:AC218"/>
    <mergeCell ref="X226:Y226"/>
    <mergeCell ref="Z226:AA226"/>
    <mergeCell ref="AB226:AC226"/>
    <mergeCell ref="X229:Y229"/>
    <mergeCell ref="Z229:AA229"/>
    <mergeCell ref="X213:Y213"/>
    <mergeCell ref="Z213:AA213"/>
    <mergeCell ref="AB213:AC213"/>
    <mergeCell ref="X214:Y214"/>
    <mergeCell ref="Z214:AA214"/>
    <mergeCell ref="AB214:AC214"/>
    <mergeCell ref="X211:Y211"/>
    <mergeCell ref="Z211:AA211"/>
    <mergeCell ref="AB211:AC211"/>
    <mergeCell ref="X212:Y212"/>
    <mergeCell ref="Z212:AA212"/>
    <mergeCell ref="AB212:AC212"/>
    <mergeCell ref="X209:Y209"/>
    <mergeCell ref="Z209:AA209"/>
    <mergeCell ref="AB209:AC209"/>
    <mergeCell ref="X210:Y210"/>
    <mergeCell ref="Z210:AA210"/>
    <mergeCell ref="AB210:AC210"/>
    <mergeCell ref="AB196:AC196"/>
    <mergeCell ref="Z198:AA198"/>
    <mergeCell ref="AB198:AC198"/>
    <mergeCell ref="X208:Y208"/>
    <mergeCell ref="Z208:AA208"/>
    <mergeCell ref="AB208:AC208"/>
    <mergeCell ref="X192:Y192"/>
    <mergeCell ref="Z192:AA192"/>
    <mergeCell ref="AB192:AC192"/>
    <mergeCell ref="X200:AA200"/>
    <mergeCell ref="AB200:AC200"/>
    <mergeCell ref="X195:Y195"/>
    <mergeCell ref="Z195:AA195"/>
    <mergeCell ref="AB195:AC195"/>
    <mergeCell ref="X196:Y196"/>
    <mergeCell ref="Z196:AA196"/>
    <mergeCell ref="X182:AA182"/>
    <mergeCell ref="AB182:AC182"/>
    <mergeCell ref="X190:Y190"/>
    <mergeCell ref="Z190:AA190"/>
    <mergeCell ref="AB190:AC190"/>
    <mergeCell ref="X191:Y191"/>
    <mergeCell ref="Z191:AA191"/>
    <mergeCell ref="AB191:AC191"/>
    <mergeCell ref="X194:Y194"/>
    <mergeCell ref="Z194:AA194"/>
    <mergeCell ref="AB194:AC194"/>
    <mergeCell ref="X176:Y176"/>
    <mergeCell ref="Z176:AA176"/>
    <mergeCell ref="AB176:AC176"/>
    <mergeCell ref="X177:Y177"/>
    <mergeCell ref="Z177:AA177"/>
    <mergeCell ref="AB177:AC177"/>
    <mergeCell ref="X174:Y174"/>
    <mergeCell ref="Z174:AA174"/>
    <mergeCell ref="AB174:AC174"/>
    <mergeCell ref="X175:Y175"/>
    <mergeCell ref="Z175:AA175"/>
    <mergeCell ref="AB175:AC175"/>
    <mergeCell ref="X164:AA164"/>
    <mergeCell ref="AB164:AC164"/>
    <mergeCell ref="X172:Y172"/>
    <mergeCell ref="Z172:AA172"/>
    <mergeCell ref="AB172:AC172"/>
    <mergeCell ref="X173:Y173"/>
    <mergeCell ref="Z173:AA173"/>
    <mergeCell ref="AB173:AC173"/>
    <mergeCell ref="X160:Y160"/>
    <mergeCell ref="Z160:AA160"/>
    <mergeCell ref="AB160:AC160"/>
    <mergeCell ref="X161:Y161"/>
    <mergeCell ref="Z161:AA161"/>
    <mergeCell ref="AB161:AC161"/>
    <mergeCell ref="X158:Y158"/>
    <mergeCell ref="Z158:AA158"/>
    <mergeCell ref="AB158:AC158"/>
    <mergeCell ref="X159:Y159"/>
    <mergeCell ref="Z159:AA159"/>
    <mergeCell ref="AB159:AC159"/>
    <mergeCell ref="X156:Y156"/>
    <mergeCell ref="Z156:AA156"/>
    <mergeCell ref="AB156:AC156"/>
    <mergeCell ref="X157:Y157"/>
    <mergeCell ref="Z157:AA157"/>
    <mergeCell ref="AB157:AC157"/>
    <mergeCell ref="X146:AA146"/>
    <mergeCell ref="AB146:AC146"/>
    <mergeCell ref="X154:Y154"/>
    <mergeCell ref="Z154:AA154"/>
    <mergeCell ref="AB154:AC154"/>
    <mergeCell ref="X155:Y155"/>
    <mergeCell ref="Z155:AA155"/>
    <mergeCell ref="AB155:AC155"/>
    <mergeCell ref="X142:Y142"/>
    <mergeCell ref="Z142:AA142"/>
    <mergeCell ref="AB142:AC142"/>
    <mergeCell ref="X143:Y143"/>
    <mergeCell ref="Z143:AA143"/>
    <mergeCell ref="AB143:AC143"/>
    <mergeCell ref="X140:Y140"/>
    <mergeCell ref="Z140:AA140"/>
    <mergeCell ref="AB140:AC140"/>
    <mergeCell ref="X141:Y141"/>
    <mergeCell ref="Z141:AA141"/>
    <mergeCell ref="AB141:AC141"/>
    <mergeCell ref="X138:Y138"/>
    <mergeCell ref="Z138:AA138"/>
    <mergeCell ref="AB138:AC138"/>
    <mergeCell ref="X139:Y139"/>
    <mergeCell ref="Z139:AA139"/>
    <mergeCell ref="AB139:AC139"/>
    <mergeCell ref="X128:AA128"/>
    <mergeCell ref="AB128:AC128"/>
    <mergeCell ref="X136:Y136"/>
    <mergeCell ref="Z136:AA136"/>
    <mergeCell ref="AB136:AC136"/>
    <mergeCell ref="X137:Y137"/>
    <mergeCell ref="Z137:AA137"/>
    <mergeCell ref="AB137:AC137"/>
    <mergeCell ref="X124:Y124"/>
    <mergeCell ref="Z124:AA124"/>
    <mergeCell ref="AB124:AC124"/>
    <mergeCell ref="X125:Y125"/>
    <mergeCell ref="Z125:AA125"/>
    <mergeCell ref="AB125:AC125"/>
    <mergeCell ref="X122:Y122"/>
    <mergeCell ref="Z122:AA122"/>
    <mergeCell ref="AB122:AC122"/>
    <mergeCell ref="X123:Y123"/>
    <mergeCell ref="Z123:AA123"/>
    <mergeCell ref="AB123:AC123"/>
    <mergeCell ref="X120:Y120"/>
    <mergeCell ref="Z120:AA120"/>
    <mergeCell ref="AB120:AC120"/>
    <mergeCell ref="X121:Y121"/>
    <mergeCell ref="Z121:AA121"/>
    <mergeCell ref="AB121:AC121"/>
    <mergeCell ref="X110:AA110"/>
    <mergeCell ref="AB110:AC110"/>
    <mergeCell ref="X118:Y118"/>
    <mergeCell ref="Z118:AA118"/>
    <mergeCell ref="AB118:AC118"/>
    <mergeCell ref="X119:Y119"/>
    <mergeCell ref="Z119:AA119"/>
    <mergeCell ref="AB119:AC119"/>
    <mergeCell ref="AB84:AC84"/>
    <mergeCell ref="X106:Y106"/>
    <mergeCell ref="Z106:AA106"/>
    <mergeCell ref="AB106:AC106"/>
    <mergeCell ref="X107:Y107"/>
    <mergeCell ref="Z107:AA107"/>
    <mergeCell ref="AB107:AC107"/>
    <mergeCell ref="X104:Y104"/>
    <mergeCell ref="Z104:AA104"/>
    <mergeCell ref="AB104:AC104"/>
    <mergeCell ref="X105:Y105"/>
    <mergeCell ref="Z105:AA105"/>
    <mergeCell ref="AB105:AC105"/>
    <mergeCell ref="X102:Y102"/>
    <mergeCell ref="Z102:AA102"/>
    <mergeCell ref="AB102:AC102"/>
    <mergeCell ref="X103:Y103"/>
    <mergeCell ref="Z103:AA103"/>
    <mergeCell ref="AB103:AC103"/>
    <mergeCell ref="AB69:AC69"/>
    <mergeCell ref="AB67:AC67"/>
    <mergeCell ref="X66:Y66"/>
    <mergeCell ref="Z66:AA66"/>
    <mergeCell ref="AB66:AC66"/>
    <mergeCell ref="X67:Y67"/>
    <mergeCell ref="Z67:AA67"/>
    <mergeCell ref="X100:Y100"/>
    <mergeCell ref="Z100:AA100"/>
    <mergeCell ref="AB100:AC100"/>
    <mergeCell ref="X101:Y101"/>
    <mergeCell ref="Z101:AA101"/>
    <mergeCell ref="AB101:AC101"/>
    <mergeCell ref="X92:AA92"/>
    <mergeCell ref="AB92:AC92"/>
    <mergeCell ref="X87:Y87"/>
    <mergeCell ref="Z87:AA87"/>
    <mergeCell ref="AB87:AC87"/>
    <mergeCell ref="X88:Y88"/>
    <mergeCell ref="Z88:AA88"/>
    <mergeCell ref="AB88:AC88"/>
    <mergeCell ref="Z90:AA90"/>
    <mergeCell ref="AB90:AC90"/>
    <mergeCell ref="AB74:AC74"/>
    <mergeCell ref="X82:Y82"/>
    <mergeCell ref="Z82:AA82"/>
    <mergeCell ref="AB82:AC82"/>
    <mergeCell ref="AB86:AC86"/>
    <mergeCell ref="X83:Y83"/>
    <mergeCell ref="Z83:AA83"/>
    <mergeCell ref="AB83:AC83"/>
    <mergeCell ref="X84:Y84"/>
    <mergeCell ref="A1:AC1"/>
    <mergeCell ref="L36:M36"/>
    <mergeCell ref="N36:O36"/>
    <mergeCell ref="R36:S36"/>
    <mergeCell ref="T36:U36"/>
    <mergeCell ref="P36:Q36"/>
    <mergeCell ref="V36:W36"/>
    <mergeCell ref="X36:Y36"/>
    <mergeCell ref="Z36:AA36"/>
    <mergeCell ref="AB36:AC36"/>
    <mergeCell ref="X53:Y53"/>
    <mergeCell ref="Z53:AA53"/>
    <mergeCell ref="AB53:AC53"/>
    <mergeCell ref="X56:AA56"/>
    <mergeCell ref="AB56:AC56"/>
    <mergeCell ref="AB54:AC54"/>
    <mergeCell ref="X51:Y51"/>
    <mergeCell ref="Z51:AA51"/>
    <mergeCell ref="AB51:AC51"/>
    <mergeCell ref="X52:Y52"/>
    <mergeCell ref="Z52:AA52"/>
    <mergeCell ref="AB52:AC52"/>
    <mergeCell ref="V18:W18"/>
    <mergeCell ref="X18:Y18"/>
    <mergeCell ref="Z18:AA18"/>
    <mergeCell ref="R54:S54"/>
    <mergeCell ref="V544:W544"/>
    <mergeCell ref="P542:Q542"/>
    <mergeCell ref="R542:U542"/>
    <mergeCell ref="V542:W542"/>
    <mergeCell ref="L543:Q543"/>
    <mergeCell ref="R543:S543"/>
    <mergeCell ref="T543:U543"/>
    <mergeCell ref="V543:W543"/>
    <mergeCell ref="L536:M536"/>
    <mergeCell ref="N536:O536"/>
    <mergeCell ref="P536:Q536"/>
    <mergeCell ref="P19:Q19"/>
    <mergeCell ref="X64:Y64"/>
    <mergeCell ref="Z64:AA64"/>
    <mergeCell ref="AB64:AC64"/>
    <mergeCell ref="X65:Y65"/>
    <mergeCell ref="Z65:AA65"/>
    <mergeCell ref="AB65:AC65"/>
    <mergeCell ref="T54:U54"/>
    <mergeCell ref="V59:W59"/>
    <mergeCell ref="L60:Q60"/>
    <mergeCell ref="X70:Y70"/>
    <mergeCell ref="Z70:AA70"/>
    <mergeCell ref="AB70:AC70"/>
    <mergeCell ref="X71:Y71"/>
    <mergeCell ref="Z71:AA71"/>
    <mergeCell ref="AB71:AC71"/>
    <mergeCell ref="X68:Y68"/>
    <mergeCell ref="Z68:AA68"/>
    <mergeCell ref="AB68:AC68"/>
    <mergeCell ref="X69:Y69"/>
    <mergeCell ref="Z69:AA69"/>
    <mergeCell ref="L507:Q507"/>
    <mergeCell ref="R507:S507"/>
    <mergeCell ref="T507:U507"/>
    <mergeCell ref="V507:W507"/>
    <mergeCell ref="L500:M500"/>
    <mergeCell ref="N500:O500"/>
    <mergeCell ref="P500:Q500"/>
    <mergeCell ref="T500:U500"/>
    <mergeCell ref="R500:S500"/>
    <mergeCell ref="R499:S499"/>
    <mergeCell ref="T499:U499"/>
    <mergeCell ref="L545:Q545"/>
    <mergeCell ref="R545:S545"/>
    <mergeCell ref="T545:U545"/>
    <mergeCell ref="V545:W545"/>
    <mergeCell ref="L546:Q546"/>
    <mergeCell ref="R546:S546"/>
    <mergeCell ref="T546:U546"/>
    <mergeCell ref="V546:W546"/>
    <mergeCell ref="R528:S528"/>
    <mergeCell ref="T528:U528"/>
    <mergeCell ref="V528:W528"/>
    <mergeCell ref="L527:Q527"/>
    <mergeCell ref="R527:S527"/>
    <mergeCell ref="T527:U527"/>
    <mergeCell ref="V527:W527"/>
    <mergeCell ref="R510:S510"/>
    <mergeCell ref="T510:U510"/>
    <mergeCell ref="V510:W510"/>
    <mergeCell ref="L544:Q544"/>
    <mergeCell ref="R544:S544"/>
    <mergeCell ref="T544:U544"/>
    <mergeCell ref="R417:S417"/>
    <mergeCell ref="T417:U417"/>
    <mergeCell ref="V417:W417"/>
    <mergeCell ref="L410:M410"/>
    <mergeCell ref="N410:O410"/>
    <mergeCell ref="P410:Q410"/>
    <mergeCell ref="T410:U410"/>
    <mergeCell ref="R410:S410"/>
    <mergeCell ref="R409:S409"/>
    <mergeCell ref="T409:U409"/>
    <mergeCell ref="R455:S455"/>
    <mergeCell ref="T455:U455"/>
    <mergeCell ref="V455:W455"/>
    <mergeCell ref="L456:Q456"/>
    <mergeCell ref="R456:S456"/>
    <mergeCell ref="T456:U456"/>
    <mergeCell ref="V456:W456"/>
    <mergeCell ref="R438:S438"/>
    <mergeCell ref="T438:U438"/>
    <mergeCell ref="V438:W438"/>
    <mergeCell ref="L437:Q437"/>
    <mergeCell ref="R437:S437"/>
    <mergeCell ref="T437:U437"/>
    <mergeCell ref="V437:W437"/>
    <mergeCell ref="R420:S420"/>
    <mergeCell ref="T420:U420"/>
    <mergeCell ref="V420:W420"/>
    <mergeCell ref="L454:Q454"/>
    <mergeCell ref="R454:S454"/>
    <mergeCell ref="T454:U454"/>
    <mergeCell ref="V454:W454"/>
    <mergeCell ref="V448:W448"/>
    <mergeCell ref="V358:W358"/>
    <mergeCell ref="V353:W353"/>
    <mergeCell ref="L346:Q346"/>
    <mergeCell ref="R346:S346"/>
    <mergeCell ref="T346:U346"/>
    <mergeCell ref="V346:W346"/>
    <mergeCell ref="V340:W340"/>
    <mergeCell ref="R337:S337"/>
    <mergeCell ref="T337:U337"/>
    <mergeCell ref="V337:W337"/>
    <mergeCell ref="R419:S419"/>
    <mergeCell ref="T419:U419"/>
    <mergeCell ref="V419:W419"/>
    <mergeCell ref="R402:S402"/>
    <mergeCell ref="T402:U402"/>
    <mergeCell ref="V402:W402"/>
    <mergeCell ref="L401:Q401"/>
    <mergeCell ref="R401:S401"/>
    <mergeCell ref="T401:U401"/>
    <mergeCell ref="V401:W401"/>
    <mergeCell ref="L383:Q383"/>
    <mergeCell ref="R383:S383"/>
    <mergeCell ref="T383:U383"/>
    <mergeCell ref="V383:W383"/>
    <mergeCell ref="L384:Q384"/>
    <mergeCell ref="R384:S384"/>
    <mergeCell ref="T384:U384"/>
    <mergeCell ref="V384:W384"/>
    <mergeCell ref="P416:Q416"/>
    <mergeCell ref="R416:U416"/>
    <mergeCell ref="V416:W416"/>
    <mergeCell ref="L417:Q417"/>
    <mergeCell ref="R293:S293"/>
    <mergeCell ref="T293:U293"/>
    <mergeCell ref="V293:W293"/>
    <mergeCell ref="L288:M288"/>
    <mergeCell ref="N288:O288"/>
    <mergeCell ref="P288:Q288"/>
    <mergeCell ref="L328:Q328"/>
    <mergeCell ref="R328:S328"/>
    <mergeCell ref="T328:U328"/>
    <mergeCell ref="V328:W328"/>
    <mergeCell ref="V322:W322"/>
    <mergeCell ref="V317:W317"/>
    <mergeCell ref="L310:Q310"/>
    <mergeCell ref="R310:S310"/>
    <mergeCell ref="T310:U310"/>
    <mergeCell ref="V310:W310"/>
    <mergeCell ref="V304:W304"/>
    <mergeCell ref="R300:S300"/>
    <mergeCell ref="T300:U300"/>
    <mergeCell ref="T324:U324"/>
    <mergeCell ref="V324:W324"/>
    <mergeCell ref="R215:S215"/>
    <mergeCell ref="T215:U215"/>
    <mergeCell ref="V215:W215"/>
    <mergeCell ref="L214:M214"/>
    <mergeCell ref="N214:O214"/>
    <mergeCell ref="N212:O212"/>
    <mergeCell ref="P212:Q212"/>
    <mergeCell ref="P214:Q214"/>
    <mergeCell ref="R258:S258"/>
    <mergeCell ref="T258:U258"/>
    <mergeCell ref="V258:W258"/>
    <mergeCell ref="R275:S275"/>
    <mergeCell ref="T275:U275"/>
    <mergeCell ref="V275:W275"/>
    <mergeCell ref="R274:S274"/>
    <mergeCell ref="T274:U274"/>
    <mergeCell ref="V274:W274"/>
    <mergeCell ref="V268:W268"/>
    <mergeCell ref="R239:S239"/>
    <mergeCell ref="T239:U239"/>
    <mergeCell ref="V239:W239"/>
    <mergeCell ref="L240:Q240"/>
    <mergeCell ref="R240:S240"/>
    <mergeCell ref="T240:U240"/>
    <mergeCell ref="V240:W240"/>
    <mergeCell ref="P272:Q272"/>
    <mergeCell ref="R272:U272"/>
    <mergeCell ref="V272:W272"/>
    <mergeCell ref="L273:Q273"/>
    <mergeCell ref="R273:S273"/>
    <mergeCell ref="T273:U273"/>
    <mergeCell ref="V273:W273"/>
    <mergeCell ref="T140:U140"/>
    <mergeCell ref="R156:S156"/>
    <mergeCell ref="T156:U156"/>
    <mergeCell ref="V156:W156"/>
    <mergeCell ref="V142:W142"/>
    <mergeCell ref="R138:S138"/>
    <mergeCell ref="T138:U138"/>
    <mergeCell ref="V138:W138"/>
    <mergeCell ref="R221:S221"/>
    <mergeCell ref="T221:U221"/>
    <mergeCell ref="V221:W221"/>
    <mergeCell ref="L222:Q222"/>
    <mergeCell ref="R222:S222"/>
    <mergeCell ref="T222:U222"/>
    <mergeCell ref="V222:W222"/>
    <mergeCell ref="R203:S203"/>
    <mergeCell ref="T203:U203"/>
    <mergeCell ref="V203:W203"/>
    <mergeCell ref="L204:Q204"/>
    <mergeCell ref="R204:S204"/>
    <mergeCell ref="T204:U204"/>
    <mergeCell ref="V204:W204"/>
    <mergeCell ref="R185:S185"/>
    <mergeCell ref="T185:U185"/>
    <mergeCell ref="V185:W185"/>
    <mergeCell ref="L186:Q186"/>
    <mergeCell ref="R186:S186"/>
    <mergeCell ref="T186:U186"/>
    <mergeCell ref="V186:W186"/>
    <mergeCell ref="L215:M215"/>
    <mergeCell ref="N215:O215"/>
    <mergeCell ref="P215:Q215"/>
    <mergeCell ref="V124:W124"/>
    <mergeCell ref="R96:S96"/>
    <mergeCell ref="T96:U96"/>
    <mergeCell ref="V96:W96"/>
    <mergeCell ref="R113:S113"/>
    <mergeCell ref="T113:U113"/>
    <mergeCell ref="V113:W113"/>
    <mergeCell ref="R108:S108"/>
    <mergeCell ref="T108:U108"/>
    <mergeCell ref="R112:S112"/>
    <mergeCell ref="T112:U112"/>
    <mergeCell ref="T124:U124"/>
    <mergeCell ref="V119:W119"/>
    <mergeCell ref="T111:U111"/>
    <mergeCell ref="V111:W111"/>
    <mergeCell ref="V107:W107"/>
    <mergeCell ref="R102:S102"/>
    <mergeCell ref="T102:U102"/>
    <mergeCell ref="V102:W102"/>
    <mergeCell ref="X49:Y49"/>
    <mergeCell ref="Z49:AA49"/>
    <mergeCell ref="AB49:AC49"/>
    <mergeCell ref="X50:Y50"/>
    <mergeCell ref="Z50:AA50"/>
    <mergeCell ref="AB50:AC50"/>
    <mergeCell ref="X47:Y47"/>
    <mergeCell ref="Z47:AA47"/>
    <mergeCell ref="AB47:AC47"/>
    <mergeCell ref="X48:Y48"/>
    <mergeCell ref="Z48:AA48"/>
    <mergeCell ref="AB48:AC48"/>
    <mergeCell ref="C169:I169"/>
    <mergeCell ref="R166:S166"/>
    <mergeCell ref="T166:U166"/>
    <mergeCell ref="V166:W166"/>
    <mergeCell ref="P164:Q164"/>
    <mergeCell ref="R164:U164"/>
    <mergeCell ref="V164:W164"/>
    <mergeCell ref="L168:Q168"/>
    <mergeCell ref="R168:S168"/>
    <mergeCell ref="T168:U168"/>
    <mergeCell ref="F163:G163"/>
    <mergeCell ref="H163:I163"/>
    <mergeCell ref="J163:K163"/>
    <mergeCell ref="L164:O164"/>
    <mergeCell ref="F164:G164"/>
    <mergeCell ref="H164:I164"/>
    <mergeCell ref="J164:K164"/>
    <mergeCell ref="F161:K161"/>
    <mergeCell ref="L161:M161"/>
    <mergeCell ref="N161:O161"/>
    <mergeCell ref="AB46:AC46"/>
    <mergeCell ref="T46:U46"/>
    <mergeCell ref="V23:W23"/>
    <mergeCell ref="V24:W24"/>
    <mergeCell ref="T23:U23"/>
    <mergeCell ref="T24:U24"/>
    <mergeCell ref="L41:Q41"/>
    <mergeCell ref="R41:S41"/>
    <mergeCell ref="T41:U41"/>
    <mergeCell ref="V41:W41"/>
    <mergeCell ref="L40:Q40"/>
    <mergeCell ref="R40:S40"/>
    <mergeCell ref="X35:Y35"/>
    <mergeCell ref="Z35:AA35"/>
    <mergeCell ref="AB35:AC35"/>
    <mergeCell ref="X38:AA38"/>
    <mergeCell ref="AB38:AC38"/>
    <mergeCell ref="X29:Y29"/>
    <mergeCell ref="Z29:AA29"/>
    <mergeCell ref="AB29:AC29"/>
    <mergeCell ref="X30:Y30"/>
    <mergeCell ref="Z30:AA30"/>
    <mergeCell ref="AB30:AC30"/>
    <mergeCell ref="X28:Y28"/>
    <mergeCell ref="Z28:AA28"/>
    <mergeCell ref="AB28:AC28"/>
    <mergeCell ref="V30:W30"/>
    <mergeCell ref="X33:Y33"/>
    <mergeCell ref="Z33:AA33"/>
    <mergeCell ref="AB33:AC33"/>
    <mergeCell ref="X34:Y34"/>
    <mergeCell ref="Z34:AA34"/>
    <mergeCell ref="AB34:AC34"/>
    <mergeCell ref="X31:Y31"/>
    <mergeCell ref="Z31:AA31"/>
    <mergeCell ref="AB31:AC31"/>
    <mergeCell ref="X32:Y32"/>
    <mergeCell ref="Z32:AA32"/>
    <mergeCell ref="AB32:AC32"/>
    <mergeCell ref="R226:S226"/>
    <mergeCell ref="T226:U226"/>
    <mergeCell ref="J226:K226"/>
    <mergeCell ref="V226:W226"/>
    <mergeCell ref="L227:M227"/>
    <mergeCell ref="N227:O227"/>
    <mergeCell ref="P227:Q227"/>
    <mergeCell ref="R227:S227"/>
    <mergeCell ref="T227:U227"/>
    <mergeCell ref="V227:W227"/>
    <mergeCell ref="L226:M226"/>
    <mergeCell ref="N226:O226"/>
    <mergeCell ref="P226:Q226"/>
    <mergeCell ref="V214:W214"/>
    <mergeCell ref="F215:K215"/>
    <mergeCell ref="R42:S42"/>
    <mergeCell ref="T42:U42"/>
    <mergeCell ref="V42:W42"/>
    <mergeCell ref="X46:Y46"/>
    <mergeCell ref="Z46:AA46"/>
    <mergeCell ref="F287:K287"/>
    <mergeCell ref="L287:M287"/>
    <mergeCell ref="N287:O287"/>
    <mergeCell ref="P287:Q287"/>
    <mergeCell ref="R287:S287"/>
    <mergeCell ref="T287:U287"/>
    <mergeCell ref="V287:W287"/>
    <mergeCell ref="L286:M286"/>
    <mergeCell ref="N286:O286"/>
    <mergeCell ref="N284:O284"/>
    <mergeCell ref="P284:Q284"/>
    <mergeCell ref="P286:Q286"/>
    <mergeCell ref="R286:S286"/>
    <mergeCell ref="F228:G228"/>
    <mergeCell ref="H228:I228"/>
    <mergeCell ref="F217:G217"/>
    <mergeCell ref="H217:I217"/>
    <mergeCell ref="T265:U265"/>
    <mergeCell ref="V265:W265"/>
    <mergeCell ref="R264:S264"/>
    <mergeCell ref="T264:U264"/>
    <mergeCell ref="V264:W264"/>
    <mergeCell ref="T263:U263"/>
    <mergeCell ref="V263:W263"/>
    <mergeCell ref="N262:O262"/>
    <mergeCell ref="L276:Q276"/>
    <mergeCell ref="R276:S276"/>
    <mergeCell ref="T276:U276"/>
    <mergeCell ref="V276:W276"/>
    <mergeCell ref="L270:M270"/>
    <mergeCell ref="N270:O270"/>
    <mergeCell ref="P270:Q270"/>
    <mergeCell ref="AB16:AC16"/>
    <mergeCell ref="X17:Y17"/>
    <mergeCell ref="Z17:AA17"/>
    <mergeCell ref="AB17:AC17"/>
    <mergeCell ref="X20:AA20"/>
    <mergeCell ref="AB20:AC20"/>
    <mergeCell ref="AB18:AC18"/>
    <mergeCell ref="AB13:AC13"/>
    <mergeCell ref="X14:Y14"/>
    <mergeCell ref="Z14:AA14"/>
    <mergeCell ref="AB14:AC14"/>
    <mergeCell ref="X15:Y15"/>
    <mergeCell ref="Z15:AA15"/>
    <mergeCell ref="AB15:AC15"/>
    <mergeCell ref="AB10:AC10"/>
    <mergeCell ref="X11:Y11"/>
    <mergeCell ref="Z11:AA11"/>
    <mergeCell ref="AB11:AC11"/>
    <mergeCell ref="X12:Y12"/>
    <mergeCell ref="Z12:AA12"/>
    <mergeCell ref="AB12:AC12"/>
    <mergeCell ref="X10:Y10"/>
    <mergeCell ref="Z10:AA10"/>
    <mergeCell ref="X13:Y13"/>
    <mergeCell ref="Z13:AA13"/>
    <mergeCell ref="X16:Y16"/>
    <mergeCell ref="Z16:AA16"/>
    <mergeCell ref="F541:G541"/>
    <mergeCell ref="H541:I541"/>
    <mergeCell ref="J541:K541"/>
    <mergeCell ref="L542:O542"/>
    <mergeCell ref="F542:G542"/>
    <mergeCell ref="H542:I542"/>
    <mergeCell ref="J542:K542"/>
    <mergeCell ref="V538:W538"/>
    <mergeCell ref="F539:K539"/>
    <mergeCell ref="L539:M539"/>
    <mergeCell ref="N539:O539"/>
    <mergeCell ref="P539:Q539"/>
    <mergeCell ref="R539:S539"/>
    <mergeCell ref="T539:U539"/>
    <mergeCell ref="V539:W539"/>
    <mergeCell ref="L538:M538"/>
    <mergeCell ref="N538:O538"/>
    <mergeCell ref="R538:S538"/>
    <mergeCell ref="L540:M540"/>
    <mergeCell ref="T536:U536"/>
    <mergeCell ref="R536:S536"/>
    <mergeCell ref="T538:U538"/>
    <mergeCell ref="R535:S535"/>
    <mergeCell ref="T535:U535"/>
    <mergeCell ref="V535:W535"/>
    <mergeCell ref="V536:W536"/>
    <mergeCell ref="L537:M537"/>
    <mergeCell ref="N537:O537"/>
    <mergeCell ref="P537:Q537"/>
    <mergeCell ref="R537:S537"/>
    <mergeCell ref="T537:U537"/>
    <mergeCell ref="V537:W537"/>
    <mergeCell ref="F535:G535"/>
    <mergeCell ref="H535:I535"/>
    <mergeCell ref="J535:K535"/>
    <mergeCell ref="L535:M535"/>
    <mergeCell ref="N535:O535"/>
    <mergeCell ref="P535:Q535"/>
    <mergeCell ref="V533:W533"/>
    <mergeCell ref="R534:S534"/>
    <mergeCell ref="T534:U534"/>
    <mergeCell ref="F534:G534"/>
    <mergeCell ref="H534:I534"/>
    <mergeCell ref="J534:K534"/>
    <mergeCell ref="L534:M534"/>
    <mergeCell ref="V534:W534"/>
    <mergeCell ref="N532:O532"/>
    <mergeCell ref="P532:Q532"/>
    <mergeCell ref="R532:S532"/>
    <mergeCell ref="T532:U532"/>
    <mergeCell ref="V532:W532"/>
    <mergeCell ref="L533:M533"/>
    <mergeCell ref="N533:O533"/>
    <mergeCell ref="P533:Q533"/>
    <mergeCell ref="R533:S533"/>
    <mergeCell ref="T533:U533"/>
    <mergeCell ref="R526:S526"/>
    <mergeCell ref="T526:U526"/>
    <mergeCell ref="V526:W526"/>
    <mergeCell ref="A529:B529"/>
    <mergeCell ref="F532:G532"/>
    <mergeCell ref="H532:I532"/>
    <mergeCell ref="C529:I529"/>
    <mergeCell ref="J532:K532"/>
    <mergeCell ref="L532:M532"/>
    <mergeCell ref="P524:Q524"/>
    <mergeCell ref="R524:U524"/>
    <mergeCell ref="V524:W524"/>
    <mergeCell ref="L525:Q525"/>
    <mergeCell ref="R525:S525"/>
    <mergeCell ref="T525:U525"/>
    <mergeCell ref="V525:W525"/>
    <mergeCell ref="F523:G523"/>
    <mergeCell ref="H523:I523"/>
    <mergeCell ref="J523:K523"/>
    <mergeCell ref="L524:O524"/>
    <mergeCell ref="F524:G524"/>
    <mergeCell ref="H524:I524"/>
    <mergeCell ref="J524:K524"/>
    <mergeCell ref="F521:K521"/>
    <mergeCell ref="L521:M521"/>
    <mergeCell ref="N521:O521"/>
    <mergeCell ref="P521:Q521"/>
    <mergeCell ref="R521:S521"/>
    <mergeCell ref="T521:U521"/>
    <mergeCell ref="L520:M520"/>
    <mergeCell ref="N520:O520"/>
    <mergeCell ref="L518:M518"/>
    <mergeCell ref="N518:O518"/>
    <mergeCell ref="P518:Q518"/>
    <mergeCell ref="P520:Q520"/>
    <mergeCell ref="L519:M519"/>
    <mergeCell ref="N519:O519"/>
    <mergeCell ref="P519:Q519"/>
    <mergeCell ref="R520:S520"/>
    <mergeCell ref="T518:U518"/>
    <mergeCell ref="R518:S518"/>
    <mergeCell ref="T520:U520"/>
    <mergeCell ref="R517:S517"/>
    <mergeCell ref="T517:U517"/>
    <mergeCell ref="R519:S519"/>
    <mergeCell ref="T519:U519"/>
    <mergeCell ref="V519:W519"/>
    <mergeCell ref="F517:G517"/>
    <mergeCell ref="H517:I517"/>
    <mergeCell ref="J517:K517"/>
    <mergeCell ref="L517:M517"/>
    <mergeCell ref="N517:O517"/>
    <mergeCell ref="P517:Q517"/>
    <mergeCell ref="V515:W515"/>
    <mergeCell ref="F516:G516"/>
    <mergeCell ref="H516:I516"/>
    <mergeCell ref="J516:K516"/>
    <mergeCell ref="L516:M516"/>
    <mergeCell ref="N516:O516"/>
    <mergeCell ref="P516:Q516"/>
    <mergeCell ref="R516:S516"/>
    <mergeCell ref="T516:U516"/>
    <mergeCell ref="V516:W516"/>
    <mergeCell ref="R514:S514"/>
    <mergeCell ref="T514:U514"/>
    <mergeCell ref="V514:W514"/>
    <mergeCell ref="L515:M515"/>
    <mergeCell ref="N515:O515"/>
    <mergeCell ref="P515:Q515"/>
    <mergeCell ref="R515:S515"/>
    <mergeCell ref="T515:U515"/>
    <mergeCell ref="L508:Q508"/>
    <mergeCell ref="R508:S508"/>
    <mergeCell ref="T508:U508"/>
    <mergeCell ref="V508:W508"/>
    <mergeCell ref="A511:B511"/>
    <mergeCell ref="F514:G514"/>
    <mergeCell ref="H514:I514"/>
    <mergeCell ref="C511:I511"/>
    <mergeCell ref="J514:K514"/>
    <mergeCell ref="L514:M514"/>
    <mergeCell ref="R509:S509"/>
    <mergeCell ref="T509:U509"/>
    <mergeCell ref="V509:W509"/>
    <mergeCell ref="F505:G505"/>
    <mergeCell ref="H505:I505"/>
    <mergeCell ref="J505:K505"/>
    <mergeCell ref="L506:O506"/>
    <mergeCell ref="F506:G506"/>
    <mergeCell ref="H506:I506"/>
    <mergeCell ref="J506:K506"/>
    <mergeCell ref="V502:W502"/>
    <mergeCell ref="F503:K503"/>
    <mergeCell ref="L503:M503"/>
    <mergeCell ref="N503:O503"/>
    <mergeCell ref="P503:Q503"/>
    <mergeCell ref="R503:S503"/>
    <mergeCell ref="T503:U503"/>
    <mergeCell ref="V503:W503"/>
    <mergeCell ref="L502:M502"/>
    <mergeCell ref="N502:O502"/>
    <mergeCell ref="P502:Q502"/>
    <mergeCell ref="R502:S502"/>
    <mergeCell ref="T502:U502"/>
    <mergeCell ref="P506:Q506"/>
    <mergeCell ref="R506:U506"/>
    <mergeCell ref="V506:W506"/>
    <mergeCell ref="V499:W499"/>
    <mergeCell ref="V500:W500"/>
    <mergeCell ref="L501:M501"/>
    <mergeCell ref="N501:O501"/>
    <mergeCell ref="P501:Q501"/>
    <mergeCell ref="R501:S501"/>
    <mergeCell ref="T501:U501"/>
    <mergeCell ref="V501:W501"/>
    <mergeCell ref="F499:G499"/>
    <mergeCell ref="H499:I499"/>
    <mergeCell ref="J499:K499"/>
    <mergeCell ref="L499:M499"/>
    <mergeCell ref="N499:O499"/>
    <mergeCell ref="P499:Q499"/>
    <mergeCell ref="V497:W497"/>
    <mergeCell ref="F498:G498"/>
    <mergeCell ref="H498:I498"/>
    <mergeCell ref="J498:K498"/>
    <mergeCell ref="L498:M498"/>
    <mergeCell ref="N498:O498"/>
    <mergeCell ref="P498:Q498"/>
    <mergeCell ref="R498:S498"/>
    <mergeCell ref="T498:U498"/>
    <mergeCell ref="V498:W498"/>
    <mergeCell ref="R496:S496"/>
    <mergeCell ref="T496:U496"/>
    <mergeCell ref="V496:W496"/>
    <mergeCell ref="L497:M497"/>
    <mergeCell ref="N497:O497"/>
    <mergeCell ref="P497:Q497"/>
    <mergeCell ref="R497:S497"/>
    <mergeCell ref="T497:U497"/>
    <mergeCell ref="L490:Q490"/>
    <mergeCell ref="R490:S490"/>
    <mergeCell ref="T490:U490"/>
    <mergeCell ref="V490:W490"/>
    <mergeCell ref="A493:B493"/>
    <mergeCell ref="F496:G496"/>
    <mergeCell ref="H496:I496"/>
    <mergeCell ref="C493:I493"/>
    <mergeCell ref="J496:K496"/>
    <mergeCell ref="L496:M496"/>
    <mergeCell ref="R492:S492"/>
    <mergeCell ref="T492:U492"/>
    <mergeCell ref="V492:W492"/>
    <mergeCell ref="L491:Q491"/>
    <mergeCell ref="R491:S491"/>
    <mergeCell ref="T491:U491"/>
    <mergeCell ref="V491:W491"/>
    <mergeCell ref="R488:U488"/>
    <mergeCell ref="V488:W488"/>
    <mergeCell ref="L489:Q489"/>
    <mergeCell ref="R489:S489"/>
    <mergeCell ref="T489:U489"/>
    <mergeCell ref="V489:W489"/>
    <mergeCell ref="F487:G487"/>
    <mergeCell ref="H487:I487"/>
    <mergeCell ref="J487:K487"/>
    <mergeCell ref="L488:O488"/>
    <mergeCell ref="F488:G488"/>
    <mergeCell ref="H488:I488"/>
    <mergeCell ref="J488:K488"/>
    <mergeCell ref="V484:W484"/>
    <mergeCell ref="F485:K485"/>
    <mergeCell ref="L485:M485"/>
    <mergeCell ref="N485:O485"/>
    <mergeCell ref="P485:Q485"/>
    <mergeCell ref="R485:S485"/>
    <mergeCell ref="T485:U485"/>
    <mergeCell ref="V485:W485"/>
    <mergeCell ref="L484:M484"/>
    <mergeCell ref="N484:O484"/>
    <mergeCell ref="P484:Q484"/>
    <mergeCell ref="R484:S484"/>
    <mergeCell ref="T482:U482"/>
    <mergeCell ref="R482:S482"/>
    <mergeCell ref="T484:U484"/>
    <mergeCell ref="R481:S481"/>
    <mergeCell ref="T481:U481"/>
    <mergeCell ref="V481:W481"/>
    <mergeCell ref="V482:W482"/>
    <mergeCell ref="L483:M483"/>
    <mergeCell ref="N483:O483"/>
    <mergeCell ref="P483:Q483"/>
    <mergeCell ref="R483:S483"/>
    <mergeCell ref="T483:U483"/>
    <mergeCell ref="V483:W483"/>
    <mergeCell ref="F481:G481"/>
    <mergeCell ref="H481:I481"/>
    <mergeCell ref="J481:K481"/>
    <mergeCell ref="L481:M481"/>
    <mergeCell ref="N481:O481"/>
    <mergeCell ref="P481:Q481"/>
    <mergeCell ref="V479:W479"/>
    <mergeCell ref="F480:G480"/>
    <mergeCell ref="H480:I480"/>
    <mergeCell ref="J480:K480"/>
    <mergeCell ref="L480:M480"/>
    <mergeCell ref="N480:O480"/>
    <mergeCell ref="P480:Q480"/>
    <mergeCell ref="R480:S480"/>
    <mergeCell ref="T480:U480"/>
    <mergeCell ref="V480:W480"/>
    <mergeCell ref="N478:O478"/>
    <mergeCell ref="P478:Q478"/>
    <mergeCell ref="R478:S478"/>
    <mergeCell ref="T478:U478"/>
    <mergeCell ref="V478:W478"/>
    <mergeCell ref="L479:M479"/>
    <mergeCell ref="N479:O479"/>
    <mergeCell ref="P479:Q479"/>
    <mergeCell ref="R479:S479"/>
    <mergeCell ref="T479:U479"/>
    <mergeCell ref="L472:Q472"/>
    <mergeCell ref="R472:S472"/>
    <mergeCell ref="T472:U472"/>
    <mergeCell ref="V472:W472"/>
    <mergeCell ref="A475:B475"/>
    <mergeCell ref="F478:G478"/>
    <mergeCell ref="H478:I478"/>
    <mergeCell ref="C475:I475"/>
    <mergeCell ref="J478:K478"/>
    <mergeCell ref="L478:M478"/>
    <mergeCell ref="P470:Q470"/>
    <mergeCell ref="R470:U470"/>
    <mergeCell ref="V470:W470"/>
    <mergeCell ref="L471:Q471"/>
    <mergeCell ref="R471:S471"/>
    <mergeCell ref="T471:U471"/>
    <mergeCell ref="V471:W471"/>
    <mergeCell ref="L473:Q473"/>
    <mergeCell ref="R473:S473"/>
    <mergeCell ref="T473:U473"/>
    <mergeCell ref="V473:W473"/>
    <mergeCell ref="L474:Q474"/>
    <mergeCell ref="R474:S474"/>
    <mergeCell ref="T474:U474"/>
    <mergeCell ref="V474:W474"/>
    <mergeCell ref="F469:G469"/>
    <mergeCell ref="H469:I469"/>
    <mergeCell ref="J469:K469"/>
    <mergeCell ref="L470:O470"/>
    <mergeCell ref="F470:G470"/>
    <mergeCell ref="H470:I470"/>
    <mergeCell ref="J470:K470"/>
    <mergeCell ref="V466:W466"/>
    <mergeCell ref="F467:K467"/>
    <mergeCell ref="L467:M467"/>
    <mergeCell ref="N467:O467"/>
    <mergeCell ref="P467:Q467"/>
    <mergeCell ref="R467:S467"/>
    <mergeCell ref="T467:U467"/>
    <mergeCell ref="V467:W467"/>
    <mergeCell ref="L466:M466"/>
    <mergeCell ref="N466:O466"/>
    <mergeCell ref="L464:M464"/>
    <mergeCell ref="N464:O464"/>
    <mergeCell ref="P464:Q464"/>
    <mergeCell ref="P466:Q466"/>
    <mergeCell ref="R466:S466"/>
    <mergeCell ref="T464:U464"/>
    <mergeCell ref="R464:S464"/>
    <mergeCell ref="T466:U466"/>
    <mergeCell ref="R463:S463"/>
    <mergeCell ref="T463:U463"/>
    <mergeCell ref="V463:W463"/>
    <mergeCell ref="V464:W464"/>
    <mergeCell ref="L465:M465"/>
    <mergeCell ref="N465:O465"/>
    <mergeCell ref="P465:Q465"/>
    <mergeCell ref="R465:S465"/>
    <mergeCell ref="T465:U465"/>
    <mergeCell ref="V465:W465"/>
    <mergeCell ref="F463:G463"/>
    <mergeCell ref="H463:I463"/>
    <mergeCell ref="J463:K463"/>
    <mergeCell ref="L463:M463"/>
    <mergeCell ref="N463:O463"/>
    <mergeCell ref="P463:Q463"/>
    <mergeCell ref="V461:W461"/>
    <mergeCell ref="F462:G462"/>
    <mergeCell ref="H462:I462"/>
    <mergeCell ref="J462:K462"/>
    <mergeCell ref="L462:M462"/>
    <mergeCell ref="N462:O462"/>
    <mergeCell ref="P462:Q462"/>
    <mergeCell ref="R462:S462"/>
    <mergeCell ref="T462:U462"/>
    <mergeCell ref="V462:W462"/>
    <mergeCell ref="N460:O460"/>
    <mergeCell ref="P460:Q460"/>
    <mergeCell ref="R460:S460"/>
    <mergeCell ref="T460:U460"/>
    <mergeCell ref="V460:W460"/>
    <mergeCell ref="L461:M461"/>
    <mergeCell ref="N461:O461"/>
    <mergeCell ref="P461:Q461"/>
    <mergeCell ref="R461:S461"/>
    <mergeCell ref="T461:U461"/>
    <mergeCell ref="A457:B457"/>
    <mergeCell ref="F460:G460"/>
    <mergeCell ref="H460:I460"/>
    <mergeCell ref="C457:I457"/>
    <mergeCell ref="J460:K460"/>
    <mergeCell ref="L460:M460"/>
    <mergeCell ref="P452:Q452"/>
    <mergeCell ref="R452:U452"/>
    <mergeCell ref="V452:W452"/>
    <mergeCell ref="L453:Q453"/>
    <mergeCell ref="R453:S453"/>
    <mergeCell ref="T453:U453"/>
    <mergeCell ref="V453:W453"/>
    <mergeCell ref="F451:G451"/>
    <mergeCell ref="H451:I451"/>
    <mergeCell ref="J451:K451"/>
    <mergeCell ref="L452:O452"/>
    <mergeCell ref="F452:G452"/>
    <mergeCell ref="H452:I452"/>
    <mergeCell ref="J452:K452"/>
    <mergeCell ref="F449:K449"/>
    <mergeCell ref="L449:M449"/>
    <mergeCell ref="N449:O449"/>
    <mergeCell ref="P449:Q449"/>
    <mergeCell ref="R449:S449"/>
    <mergeCell ref="T449:U449"/>
    <mergeCell ref="V449:W449"/>
    <mergeCell ref="L448:M448"/>
    <mergeCell ref="N448:O448"/>
    <mergeCell ref="L446:M446"/>
    <mergeCell ref="N446:O446"/>
    <mergeCell ref="P446:Q446"/>
    <mergeCell ref="P448:Q448"/>
    <mergeCell ref="R448:S448"/>
    <mergeCell ref="T446:U446"/>
    <mergeCell ref="R446:S446"/>
    <mergeCell ref="T448:U448"/>
    <mergeCell ref="V446:W446"/>
    <mergeCell ref="L447:M447"/>
    <mergeCell ref="N447:O447"/>
    <mergeCell ref="P447:Q447"/>
    <mergeCell ref="R447:S447"/>
    <mergeCell ref="T447:U447"/>
    <mergeCell ref="V447:W447"/>
    <mergeCell ref="F445:G445"/>
    <mergeCell ref="H445:I445"/>
    <mergeCell ref="J445:K445"/>
    <mergeCell ref="L445:M445"/>
    <mergeCell ref="N445:O445"/>
    <mergeCell ref="P445:Q445"/>
    <mergeCell ref="V443:W443"/>
    <mergeCell ref="F444:G444"/>
    <mergeCell ref="H444:I444"/>
    <mergeCell ref="J444:K444"/>
    <mergeCell ref="L444:M444"/>
    <mergeCell ref="N444:O444"/>
    <mergeCell ref="P444:Q444"/>
    <mergeCell ref="R444:S444"/>
    <mergeCell ref="T444:U444"/>
    <mergeCell ref="V444:W444"/>
    <mergeCell ref="N442:O442"/>
    <mergeCell ref="P442:Q442"/>
    <mergeCell ref="R442:S442"/>
    <mergeCell ref="T442:U442"/>
    <mergeCell ref="V442:W442"/>
    <mergeCell ref="L443:M443"/>
    <mergeCell ref="N443:O443"/>
    <mergeCell ref="P443:Q443"/>
    <mergeCell ref="R443:S443"/>
    <mergeCell ref="T443:U443"/>
    <mergeCell ref="R445:S445"/>
    <mergeCell ref="T445:U445"/>
    <mergeCell ref="V445:W445"/>
    <mergeCell ref="A439:B439"/>
    <mergeCell ref="F442:G442"/>
    <mergeCell ref="H442:I442"/>
    <mergeCell ref="C439:I439"/>
    <mergeCell ref="J442:K442"/>
    <mergeCell ref="L442:M442"/>
    <mergeCell ref="P434:Q434"/>
    <mergeCell ref="R434:U434"/>
    <mergeCell ref="V434:W434"/>
    <mergeCell ref="L435:Q435"/>
    <mergeCell ref="R435:S435"/>
    <mergeCell ref="T435:U435"/>
    <mergeCell ref="V435:W435"/>
    <mergeCell ref="F433:G433"/>
    <mergeCell ref="H433:I433"/>
    <mergeCell ref="J433:K433"/>
    <mergeCell ref="L434:O434"/>
    <mergeCell ref="F434:G434"/>
    <mergeCell ref="H434:I434"/>
    <mergeCell ref="J434:K434"/>
    <mergeCell ref="L436:Q436"/>
    <mergeCell ref="R436:S436"/>
    <mergeCell ref="T436:U436"/>
    <mergeCell ref="V436:W436"/>
    <mergeCell ref="F431:K431"/>
    <mergeCell ref="L431:M431"/>
    <mergeCell ref="N431:O431"/>
    <mergeCell ref="P431:Q431"/>
    <mergeCell ref="R431:S431"/>
    <mergeCell ref="T431:U431"/>
    <mergeCell ref="V431:W431"/>
    <mergeCell ref="L430:M430"/>
    <mergeCell ref="N430:O430"/>
    <mergeCell ref="L428:M428"/>
    <mergeCell ref="N428:O428"/>
    <mergeCell ref="P428:Q428"/>
    <mergeCell ref="P430:Q430"/>
    <mergeCell ref="R430:S430"/>
    <mergeCell ref="T428:U428"/>
    <mergeCell ref="R428:S428"/>
    <mergeCell ref="T430:U430"/>
    <mergeCell ref="V430:W430"/>
    <mergeCell ref="V427:W427"/>
    <mergeCell ref="V428:W428"/>
    <mergeCell ref="L429:M429"/>
    <mergeCell ref="N429:O429"/>
    <mergeCell ref="P429:Q429"/>
    <mergeCell ref="R429:S429"/>
    <mergeCell ref="T429:U429"/>
    <mergeCell ref="V429:W429"/>
    <mergeCell ref="F427:G427"/>
    <mergeCell ref="H427:I427"/>
    <mergeCell ref="J427:K427"/>
    <mergeCell ref="L427:M427"/>
    <mergeCell ref="N427:O427"/>
    <mergeCell ref="P427:Q427"/>
    <mergeCell ref="V425:W425"/>
    <mergeCell ref="F426:G426"/>
    <mergeCell ref="H426:I426"/>
    <mergeCell ref="J426:K426"/>
    <mergeCell ref="L426:M426"/>
    <mergeCell ref="N426:O426"/>
    <mergeCell ref="P426:Q426"/>
    <mergeCell ref="R426:S426"/>
    <mergeCell ref="T426:U426"/>
    <mergeCell ref="V426:W426"/>
    <mergeCell ref="R427:S427"/>
    <mergeCell ref="T427:U427"/>
    <mergeCell ref="N424:O424"/>
    <mergeCell ref="P424:Q424"/>
    <mergeCell ref="R424:S424"/>
    <mergeCell ref="T424:U424"/>
    <mergeCell ref="V424:W424"/>
    <mergeCell ref="L425:M425"/>
    <mergeCell ref="N425:O425"/>
    <mergeCell ref="P425:Q425"/>
    <mergeCell ref="R425:S425"/>
    <mergeCell ref="T425:U425"/>
    <mergeCell ref="L418:Q418"/>
    <mergeCell ref="R418:S418"/>
    <mergeCell ref="T418:U418"/>
    <mergeCell ref="V418:W418"/>
    <mergeCell ref="A421:B421"/>
    <mergeCell ref="F424:G424"/>
    <mergeCell ref="H424:I424"/>
    <mergeCell ref="C421:I421"/>
    <mergeCell ref="J424:K424"/>
    <mergeCell ref="L424:M424"/>
    <mergeCell ref="F415:G415"/>
    <mergeCell ref="H415:I415"/>
    <mergeCell ref="J415:K415"/>
    <mergeCell ref="L416:O416"/>
    <mergeCell ref="F416:G416"/>
    <mergeCell ref="H416:I416"/>
    <mergeCell ref="J416:K416"/>
    <mergeCell ref="V412:W412"/>
    <mergeCell ref="F413:K413"/>
    <mergeCell ref="L413:M413"/>
    <mergeCell ref="N413:O413"/>
    <mergeCell ref="P413:Q413"/>
    <mergeCell ref="R413:S413"/>
    <mergeCell ref="T413:U413"/>
    <mergeCell ref="V413:W413"/>
    <mergeCell ref="L412:M412"/>
    <mergeCell ref="N412:O412"/>
    <mergeCell ref="P412:Q412"/>
    <mergeCell ref="R412:S412"/>
    <mergeCell ref="T412:U412"/>
    <mergeCell ref="V409:W409"/>
    <mergeCell ref="V410:W410"/>
    <mergeCell ref="L411:M411"/>
    <mergeCell ref="N411:O411"/>
    <mergeCell ref="P411:Q411"/>
    <mergeCell ref="R411:S411"/>
    <mergeCell ref="T411:U411"/>
    <mergeCell ref="V411:W411"/>
    <mergeCell ref="F409:G409"/>
    <mergeCell ref="H409:I409"/>
    <mergeCell ref="J409:K409"/>
    <mergeCell ref="L409:M409"/>
    <mergeCell ref="N409:O409"/>
    <mergeCell ref="P409:Q409"/>
    <mergeCell ref="V407:W407"/>
    <mergeCell ref="F408:G408"/>
    <mergeCell ref="H408:I408"/>
    <mergeCell ref="J408:K408"/>
    <mergeCell ref="L408:M408"/>
    <mergeCell ref="N408:O408"/>
    <mergeCell ref="P408:Q408"/>
    <mergeCell ref="R408:S408"/>
    <mergeCell ref="T408:U408"/>
    <mergeCell ref="V408:W408"/>
    <mergeCell ref="N406:O406"/>
    <mergeCell ref="P406:Q406"/>
    <mergeCell ref="R406:S406"/>
    <mergeCell ref="T406:U406"/>
    <mergeCell ref="V406:W406"/>
    <mergeCell ref="L407:M407"/>
    <mergeCell ref="N407:O407"/>
    <mergeCell ref="P407:Q407"/>
    <mergeCell ref="R407:S407"/>
    <mergeCell ref="T407:U407"/>
    <mergeCell ref="L400:Q400"/>
    <mergeCell ref="R400:S400"/>
    <mergeCell ref="T400:U400"/>
    <mergeCell ref="V400:W400"/>
    <mergeCell ref="A403:B403"/>
    <mergeCell ref="F406:G406"/>
    <mergeCell ref="H406:I406"/>
    <mergeCell ref="C403:I403"/>
    <mergeCell ref="J406:K406"/>
    <mergeCell ref="L406:M406"/>
    <mergeCell ref="P398:Q398"/>
    <mergeCell ref="R398:U398"/>
    <mergeCell ref="V398:W398"/>
    <mergeCell ref="L399:Q399"/>
    <mergeCell ref="R399:S399"/>
    <mergeCell ref="T399:U399"/>
    <mergeCell ref="V399:W399"/>
    <mergeCell ref="F397:G397"/>
    <mergeCell ref="H397:I397"/>
    <mergeCell ref="J397:K397"/>
    <mergeCell ref="L398:O398"/>
    <mergeCell ref="F398:G398"/>
    <mergeCell ref="H398:I398"/>
    <mergeCell ref="J398:K398"/>
    <mergeCell ref="V394:W394"/>
    <mergeCell ref="F395:K395"/>
    <mergeCell ref="L395:M395"/>
    <mergeCell ref="N395:O395"/>
    <mergeCell ref="P395:Q395"/>
    <mergeCell ref="R395:S395"/>
    <mergeCell ref="T395:U395"/>
    <mergeCell ref="V395:W395"/>
    <mergeCell ref="L394:M394"/>
    <mergeCell ref="N394:O394"/>
    <mergeCell ref="R396:S396"/>
    <mergeCell ref="L392:M392"/>
    <mergeCell ref="N392:O392"/>
    <mergeCell ref="P392:Q392"/>
    <mergeCell ref="P394:Q394"/>
    <mergeCell ref="R394:S394"/>
    <mergeCell ref="T392:U392"/>
    <mergeCell ref="R392:S392"/>
    <mergeCell ref="T394:U394"/>
    <mergeCell ref="R391:S391"/>
    <mergeCell ref="T391:U391"/>
    <mergeCell ref="V391:W391"/>
    <mergeCell ref="V392:W392"/>
    <mergeCell ref="L393:M393"/>
    <mergeCell ref="N393:O393"/>
    <mergeCell ref="P393:Q393"/>
    <mergeCell ref="R393:S393"/>
    <mergeCell ref="T393:U393"/>
    <mergeCell ref="V393:W393"/>
    <mergeCell ref="F391:G391"/>
    <mergeCell ref="H391:I391"/>
    <mergeCell ref="J391:K391"/>
    <mergeCell ref="L391:M391"/>
    <mergeCell ref="N391:O391"/>
    <mergeCell ref="P391:Q391"/>
    <mergeCell ref="V389:W389"/>
    <mergeCell ref="F390:G390"/>
    <mergeCell ref="H390:I390"/>
    <mergeCell ref="J390:K390"/>
    <mergeCell ref="L390:M390"/>
    <mergeCell ref="N390:O390"/>
    <mergeCell ref="P390:Q390"/>
    <mergeCell ref="R390:S390"/>
    <mergeCell ref="T390:U390"/>
    <mergeCell ref="V390:W390"/>
    <mergeCell ref="N388:O388"/>
    <mergeCell ref="P388:Q388"/>
    <mergeCell ref="R388:S388"/>
    <mergeCell ref="T388:U388"/>
    <mergeCell ref="V388:W388"/>
    <mergeCell ref="L389:M389"/>
    <mergeCell ref="N389:O389"/>
    <mergeCell ref="P389:Q389"/>
    <mergeCell ref="R389:S389"/>
    <mergeCell ref="T389:U389"/>
    <mergeCell ref="L382:Q382"/>
    <mergeCell ref="R382:S382"/>
    <mergeCell ref="T382:U382"/>
    <mergeCell ref="V382:W382"/>
    <mergeCell ref="A385:B385"/>
    <mergeCell ref="F388:G388"/>
    <mergeCell ref="H388:I388"/>
    <mergeCell ref="C385:I385"/>
    <mergeCell ref="J388:K388"/>
    <mergeCell ref="L388:M388"/>
    <mergeCell ref="P380:Q380"/>
    <mergeCell ref="R380:U380"/>
    <mergeCell ref="V380:W380"/>
    <mergeCell ref="L381:Q381"/>
    <mergeCell ref="R381:S381"/>
    <mergeCell ref="T381:U381"/>
    <mergeCell ref="V381:W381"/>
    <mergeCell ref="F379:G379"/>
    <mergeCell ref="H379:I379"/>
    <mergeCell ref="J379:K379"/>
    <mergeCell ref="L380:O380"/>
    <mergeCell ref="F380:G380"/>
    <mergeCell ref="H380:I380"/>
    <mergeCell ref="J380:K380"/>
    <mergeCell ref="V376:W376"/>
    <mergeCell ref="F377:K377"/>
    <mergeCell ref="L377:M377"/>
    <mergeCell ref="N377:O377"/>
    <mergeCell ref="P377:Q377"/>
    <mergeCell ref="R377:S377"/>
    <mergeCell ref="T377:U377"/>
    <mergeCell ref="V377:W377"/>
    <mergeCell ref="L376:M376"/>
    <mergeCell ref="N376:O376"/>
    <mergeCell ref="L378:M378"/>
    <mergeCell ref="N378:O378"/>
    <mergeCell ref="P378:Q378"/>
    <mergeCell ref="R378:S378"/>
    <mergeCell ref="T378:U378"/>
    <mergeCell ref="V378:W378"/>
    <mergeCell ref="L374:M374"/>
    <mergeCell ref="N374:O374"/>
    <mergeCell ref="P374:Q374"/>
    <mergeCell ref="P376:Q376"/>
    <mergeCell ref="R376:S376"/>
    <mergeCell ref="T374:U374"/>
    <mergeCell ref="R374:S374"/>
    <mergeCell ref="T376:U376"/>
    <mergeCell ref="R373:S373"/>
    <mergeCell ref="T373:U373"/>
    <mergeCell ref="V373:W373"/>
    <mergeCell ref="V374:W374"/>
    <mergeCell ref="L375:M375"/>
    <mergeCell ref="N375:O375"/>
    <mergeCell ref="P375:Q375"/>
    <mergeCell ref="R375:S375"/>
    <mergeCell ref="T375:U375"/>
    <mergeCell ref="V375:W375"/>
    <mergeCell ref="F373:G373"/>
    <mergeCell ref="H373:I373"/>
    <mergeCell ref="J373:K373"/>
    <mergeCell ref="L373:M373"/>
    <mergeCell ref="N373:O373"/>
    <mergeCell ref="P373:Q373"/>
    <mergeCell ref="V371:W371"/>
    <mergeCell ref="F372:G372"/>
    <mergeCell ref="H372:I372"/>
    <mergeCell ref="J372:K372"/>
    <mergeCell ref="L372:M372"/>
    <mergeCell ref="N372:O372"/>
    <mergeCell ref="P372:Q372"/>
    <mergeCell ref="R372:S372"/>
    <mergeCell ref="T372:U372"/>
    <mergeCell ref="V372:W372"/>
    <mergeCell ref="N370:O370"/>
    <mergeCell ref="P370:Q370"/>
    <mergeCell ref="R370:S370"/>
    <mergeCell ref="T370:U370"/>
    <mergeCell ref="V370:W370"/>
    <mergeCell ref="L371:M371"/>
    <mergeCell ref="N371:O371"/>
    <mergeCell ref="P371:Q371"/>
    <mergeCell ref="R371:S371"/>
    <mergeCell ref="T371:U371"/>
    <mergeCell ref="A367:B367"/>
    <mergeCell ref="F370:G370"/>
    <mergeCell ref="H370:I370"/>
    <mergeCell ref="C367:I367"/>
    <mergeCell ref="J370:K370"/>
    <mergeCell ref="L370:M370"/>
    <mergeCell ref="R364:S364"/>
    <mergeCell ref="T364:U364"/>
    <mergeCell ref="V364:W364"/>
    <mergeCell ref="P362:Q362"/>
    <mergeCell ref="R362:U362"/>
    <mergeCell ref="V362:W362"/>
    <mergeCell ref="L363:Q363"/>
    <mergeCell ref="R363:S363"/>
    <mergeCell ref="T363:U363"/>
    <mergeCell ref="V363:W363"/>
    <mergeCell ref="F361:G361"/>
    <mergeCell ref="H361:I361"/>
    <mergeCell ref="J361:K361"/>
    <mergeCell ref="L362:O362"/>
    <mergeCell ref="F362:G362"/>
    <mergeCell ref="H362:I362"/>
    <mergeCell ref="J362:K362"/>
    <mergeCell ref="R366:S366"/>
    <mergeCell ref="T366:U366"/>
    <mergeCell ref="V366:W366"/>
    <mergeCell ref="L365:Q365"/>
    <mergeCell ref="R365:S365"/>
    <mergeCell ref="T365:U365"/>
    <mergeCell ref="V365:W365"/>
    <mergeCell ref="F359:K359"/>
    <mergeCell ref="L359:M359"/>
    <mergeCell ref="N359:O359"/>
    <mergeCell ref="P359:Q359"/>
    <mergeCell ref="R359:S359"/>
    <mergeCell ref="T359:U359"/>
    <mergeCell ref="V359:W359"/>
    <mergeCell ref="L358:M358"/>
    <mergeCell ref="N358:O358"/>
    <mergeCell ref="L356:M356"/>
    <mergeCell ref="N356:O356"/>
    <mergeCell ref="P356:Q356"/>
    <mergeCell ref="R358:S358"/>
    <mergeCell ref="T356:U356"/>
    <mergeCell ref="R356:S356"/>
    <mergeCell ref="T358:U358"/>
    <mergeCell ref="R355:S355"/>
    <mergeCell ref="T355:U355"/>
    <mergeCell ref="V355:W355"/>
    <mergeCell ref="V356:W356"/>
    <mergeCell ref="L357:M357"/>
    <mergeCell ref="N357:O357"/>
    <mergeCell ref="P357:Q357"/>
    <mergeCell ref="R357:S357"/>
    <mergeCell ref="T357:U357"/>
    <mergeCell ref="V357:W357"/>
    <mergeCell ref="F355:G355"/>
    <mergeCell ref="H355:I355"/>
    <mergeCell ref="J355:K355"/>
    <mergeCell ref="L355:M355"/>
    <mergeCell ref="N355:O355"/>
    <mergeCell ref="P355:Q355"/>
    <mergeCell ref="F354:G354"/>
    <mergeCell ref="H354:I354"/>
    <mergeCell ref="J354:K354"/>
    <mergeCell ref="L354:M354"/>
    <mergeCell ref="N354:O354"/>
    <mergeCell ref="P354:Q354"/>
    <mergeCell ref="R354:S354"/>
    <mergeCell ref="T354:U354"/>
    <mergeCell ref="V354:W354"/>
    <mergeCell ref="N352:O352"/>
    <mergeCell ref="P352:Q352"/>
    <mergeCell ref="R352:S352"/>
    <mergeCell ref="T352:U352"/>
    <mergeCell ref="V352:W352"/>
    <mergeCell ref="L353:M353"/>
    <mergeCell ref="N353:O353"/>
    <mergeCell ref="P353:Q353"/>
    <mergeCell ref="R353:S353"/>
    <mergeCell ref="T353:U353"/>
    <mergeCell ref="A349:B349"/>
    <mergeCell ref="F352:G352"/>
    <mergeCell ref="H352:I352"/>
    <mergeCell ref="C349:I349"/>
    <mergeCell ref="J352:K352"/>
    <mergeCell ref="L352:M352"/>
    <mergeCell ref="P344:Q344"/>
    <mergeCell ref="R344:U344"/>
    <mergeCell ref="V344:W344"/>
    <mergeCell ref="L345:Q345"/>
    <mergeCell ref="R345:S345"/>
    <mergeCell ref="T345:U345"/>
    <mergeCell ref="V345:W345"/>
    <mergeCell ref="F343:G343"/>
    <mergeCell ref="H343:I343"/>
    <mergeCell ref="J343:K343"/>
    <mergeCell ref="L344:O344"/>
    <mergeCell ref="F344:G344"/>
    <mergeCell ref="H344:I344"/>
    <mergeCell ref="J344:K344"/>
    <mergeCell ref="R348:S348"/>
    <mergeCell ref="T348:U348"/>
    <mergeCell ref="V348:W348"/>
    <mergeCell ref="L347:Q347"/>
    <mergeCell ref="R347:S347"/>
    <mergeCell ref="T347:U347"/>
    <mergeCell ref="V347:W347"/>
    <mergeCell ref="L348:Q348"/>
    <mergeCell ref="F341:K341"/>
    <mergeCell ref="L341:M341"/>
    <mergeCell ref="N341:O341"/>
    <mergeCell ref="P341:Q341"/>
    <mergeCell ref="R341:S341"/>
    <mergeCell ref="T341:U341"/>
    <mergeCell ref="V341:W341"/>
    <mergeCell ref="L340:M340"/>
    <mergeCell ref="N340:O340"/>
    <mergeCell ref="L338:M338"/>
    <mergeCell ref="N338:O338"/>
    <mergeCell ref="P338:Q338"/>
    <mergeCell ref="P340:Q340"/>
    <mergeCell ref="R340:S340"/>
    <mergeCell ref="T338:U338"/>
    <mergeCell ref="R338:S338"/>
    <mergeCell ref="T340:U340"/>
    <mergeCell ref="V338:W338"/>
    <mergeCell ref="L339:M339"/>
    <mergeCell ref="N339:O339"/>
    <mergeCell ref="P339:Q339"/>
    <mergeCell ref="R339:S339"/>
    <mergeCell ref="T339:U339"/>
    <mergeCell ref="V339:W339"/>
    <mergeCell ref="F337:G337"/>
    <mergeCell ref="H337:I337"/>
    <mergeCell ref="J337:K337"/>
    <mergeCell ref="L337:M337"/>
    <mergeCell ref="N337:O337"/>
    <mergeCell ref="P337:Q337"/>
    <mergeCell ref="V335:W335"/>
    <mergeCell ref="F336:G336"/>
    <mergeCell ref="H336:I336"/>
    <mergeCell ref="J336:K336"/>
    <mergeCell ref="L336:M336"/>
    <mergeCell ref="N336:O336"/>
    <mergeCell ref="P336:Q336"/>
    <mergeCell ref="R336:S336"/>
    <mergeCell ref="T336:U336"/>
    <mergeCell ref="V336:W336"/>
    <mergeCell ref="N334:O334"/>
    <mergeCell ref="P334:Q334"/>
    <mergeCell ref="R334:S334"/>
    <mergeCell ref="T334:U334"/>
    <mergeCell ref="V334:W334"/>
    <mergeCell ref="L335:M335"/>
    <mergeCell ref="N335:O335"/>
    <mergeCell ref="P335:Q335"/>
    <mergeCell ref="R335:S335"/>
    <mergeCell ref="T335:U335"/>
    <mergeCell ref="A331:B331"/>
    <mergeCell ref="F334:G334"/>
    <mergeCell ref="H334:I334"/>
    <mergeCell ref="C331:I331"/>
    <mergeCell ref="J334:K334"/>
    <mergeCell ref="L334:M334"/>
    <mergeCell ref="P326:Q326"/>
    <mergeCell ref="R326:U326"/>
    <mergeCell ref="V326:W326"/>
    <mergeCell ref="L327:Q327"/>
    <mergeCell ref="R327:S327"/>
    <mergeCell ref="T327:U327"/>
    <mergeCell ref="V327:W327"/>
    <mergeCell ref="F325:G325"/>
    <mergeCell ref="H325:I325"/>
    <mergeCell ref="J325:K325"/>
    <mergeCell ref="L326:O326"/>
    <mergeCell ref="F326:G326"/>
    <mergeCell ref="H326:I326"/>
    <mergeCell ref="J326:K326"/>
    <mergeCell ref="R329:S329"/>
    <mergeCell ref="T329:U329"/>
    <mergeCell ref="V329:W329"/>
    <mergeCell ref="R330:S330"/>
    <mergeCell ref="T330:U330"/>
    <mergeCell ref="V330:W330"/>
    <mergeCell ref="L330:Q330"/>
    <mergeCell ref="F323:K323"/>
    <mergeCell ref="L323:M323"/>
    <mergeCell ref="N323:O323"/>
    <mergeCell ref="P323:Q323"/>
    <mergeCell ref="R323:S323"/>
    <mergeCell ref="T323:U323"/>
    <mergeCell ref="V323:W323"/>
    <mergeCell ref="L322:M322"/>
    <mergeCell ref="N322:O322"/>
    <mergeCell ref="P320:Q320"/>
    <mergeCell ref="P322:Q322"/>
    <mergeCell ref="R322:S322"/>
    <mergeCell ref="T320:U320"/>
    <mergeCell ref="R320:S320"/>
    <mergeCell ref="T322:U322"/>
    <mergeCell ref="R319:S319"/>
    <mergeCell ref="T319:U319"/>
    <mergeCell ref="V319:W319"/>
    <mergeCell ref="V320:W320"/>
    <mergeCell ref="L321:M321"/>
    <mergeCell ref="N321:O321"/>
    <mergeCell ref="P321:Q321"/>
    <mergeCell ref="R321:S321"/>
    <mergeCell ref="T321:U321"/>
    <mergeCell ref="V321:W321"/>
    <mergeCell ref="F319:G319"/>
    <mergeCell ref="H319:I319"/>
    <mergeCell ref="J319:K319"/>
    <mergeCell ref="L319:M319"/>
    <mergeCell ref="N319:O319"/>
    <mergeCell ref="P319:Q319"/>
    <mergeCell ref="F318:G318"/>
    <mergeCell ref="H318:I318"/>
    <mergeCell ref="J318:K318"/>
    <mergeCell ref="L318:M318"/>
    <mergeCell ref="N318:O318"/>
    <mergeCell ref="P318:Q318"/>
    <mergeCell ref="R318:S318"/>
    <mergeCell ref="T318:U318"/>
    <mergeCell ref="V318:W318"/>
    <mergeCell ref="N316:O316"/>
    <mergeCell ref="P316:Q316"/>
    <mergeCell ref="R316:S316"/>
    <mergeCell ref="T316:U316"/>
    <mergeCell ref="V316:W316"/>
    <mergeCell ref="L317:M317"/>
    <mergeCell ref="N317:O317"/>
    <mergeCell ref="P317:Q317"/>
    <mergeCell ref="R317:S317"/>
    <mergeCell ref="T317:U317"/>
    <mergeCell ref="A313:B313"/>
    <mergeCell ref="F316:G316"/>
    <mergeCell ref="H316:I316"/>
    <mergeCell ref="C313:I313"/>
    <mergeCell ref="J316:K316"/>
    <mergeCell ref="L316:M316"/>
    <mergeCell ref="P308:Q308"/>
    <mergeCell ref="R308:U308"/>
    <mergeCell ref="V308:W308"/>
    <mergeCell ref="L309:Q309"/>
    <mergeCell ref="R309:S309"/>
    <mergeCell ref="T309:U309"/>
    <mergeCell ref="V309:W309"/>
    <mergeCell ref="F307:G307"/>
    <mergeCell ref="H307:I307"/>
    <mergeCell ref="J307:K307"/>
    <mergeCell ref="L308:O308"/>
    <mergeCell ref="F308:G308"/>
    <mergeCell ref="H308:I308"/>
    <mergeCell ref="J308:K308"/>
    <mergeCell ref="T311:U311"/>
    <mergeCell ref="V311:W311"/>
    <mergeCell ref="L312:Q312"/>
    <mergeCell ref="R312:S312"/>
    <mergeCell ref="T312:U312"/>
    <mergeCell ref="V312:W312"/>
    <mergeCell ref="F305:K305"/>
    <mergeCell ref="L305:M305"/>
    <mergeCell ref="N305:O305"/>
    <mergeCell ref="P305:Q305"/>
    <mergeCell ref="R305:S305"/>
    <mergeCell ref="T305:U305"/>
    <mergeCell ref="V305:W305"/>
    <mergeCell ref="L304:M304"/>
    <mergeCell ref="N304:O304"/>
    <mergeCell ref="N302:O302"/>
    <mergeCell ref="P302:Q302"/>
    <mergeCell ref="P304:Q304"/>
    <mergeCell ref="R304:S304"/>
    <mergeCell ref="T302:U302"/>
    <mergeCell ref="R302:S302"/>
    <mergeCell ref="T304:U304"/>
    <mergeCell ref="T301:U301"/>
    <mergeCell ref="V301:W301"/>
    <mergeCell ref="V302:W302"/>
    <mergeCell ref="L303:M303"/>
    <mergeCell ref="N303:O303"/>
    <mergeCell ref="P303:Q303"/>
    <mergeCell ref="R303:S303"/>
    <mergeCell ref="T303:U303"/>
    <mergeCell ref="V303:W303"/>
    <mergeCell ref="L302:M302"/>
    <mergeCell ref="V300:W300"/>
    <mergeCell ref="F301:G301"/>
    <mergeCell ref="H301:I301"/>
    <mergeCell ref="J301:K301"/>
    <mergeCell ref="L301:M301"/>
    <mergeCell ref="N301:O301"/>
    <mergeCell ref="P301:Q301"/>
    <mergeCell ref="R301:S301"/>
    <mergeCell ref="F300:G300"/>
    <mergeCell ref="H300:I300"/>
    <mergeCell ref="J300:K300"/>
    <mergeCell ref="L300:M300"/>
    <mergeCell ref="N300:O300"/>
    <mergeCell ref="P300:Q300"/>
    <mergeCell ref="L299:M299"/>
    <mergeCell ref="N299:O299"/>
    <mergeCell ref="P299:Q299"/>
    <mergeCell ref="R299:S299"/>
    <mergeCell ref="T299:U299"/>
    <mergeCell ref="V299:W299"/>
    <mergeCell ref="R298:S298"/>
    <mergeCell ref="T298:U298"/>
    <mergeCell ref="V298:W298"/>
    <mergeCell ref="V294:W294"/>
    <mergeCell ref="L291:Q291"/>
    <mergeCell ref="R291:S291"/>
    <mergeCell ref="T291:U291"/>
    <mergeCell ref="V291:W291"/>
    <mergeCell ref="A295:B295"/>
    <mergeCell ref="F298:G298"/>
    <mergeCell ref="H298:I298"/>
    <mergeCell ref="L292:Q292"/>
    <mergeCell ref="J298:K298"/>
    <mergeCell ref="L298:M298"/>
    <mergeCell ref="F289:G289"/>
    <mergeCell ref="H289:I289"/>
    <mergeCell ref="J289:K289"/>
    <mergeCell ref="L290:O290"/>
    <mergeCell ref="F290:G290"/>
    <mergeCell ref="H290:I290"/>
    <mergeCell ref="J290:K290"/>
    <mergeCell ref="C295:I295"/>
    <mergeCell ref="R292:S292"/>
    <mergeCell ref="T292:U292"/>
    <mergeCell ref="V292:W292"/>
    <mergeCell ref="P290:Q290"/>
    <mergeCell ref="R290:U290"/>
    <mergeCell ref="V290:W290"/>
    <mergeCell ref="L294:Q294"/>
    <mergeCell ref="R294:S294"/>
    <mergeCell ref="T294:U294"/>
    <mergeCell ref="L293:Q293"/>
    <mergeCell ref="T284:U284"/>
    <mergeCell ref="R284:S284"/>
    <mergeCell ref="T286:U286"/>
    <mergeCell ref="T283:U283"/>
    <mergeCell ref="V283:W283"/>
    <mergeCell ref="V284:W284"/>
    <mergeCell ref="L285:M285"/>
    <mergeCell ref="N285:O285"/>
    <mergeCell ref="P285:Q285"/>
    <mergeCell ref="R285:S285"/>
    <mergeCell ref="T285:U285"/>
    <mergeCell ref="V285:W285"/>
    <mergeCell ref="L284:M284"/>
    <mergeCell ref="R282:S282"/>
    <mergeCell ref="T282:U282"/>
    <mergeCell ref="V282:W282"/>
    <mergeCell ref="F283:G283"/>
    <mergeCell ref="H283:I283"/>
    <mergeCell ref="J283:K283"/>
    <mergeCell ref="L283:M283"/>
    <mergeCell ref="N283:O283"/>
    <mergeCell ref="P283:Q283"/>
    <mergeCell ref="R283:S283"/>
    <mergeCell ref="F282:G282"/>
    <mergeCell ref="H282:I282"/>
    <mergeCell ref="J282:K282"/>
    <mergeCell ref="L282:M282"/>
    <mergeCell ref="N282:O282"/>
    <mergeCell ref="P282:Q282"/>
    <mergeCell ref="V286:W286"/>
    <mergeCell ref="R280:S280"/>
    <mergeCell ref="T280:U280"/>
    <mergeCell ref="V280:W280"/>
    <mergeCell ref="L281:M281"/>
    <mergeCell ref="N281:O281"/>
    <mergeCell ref="P281:Q281"/>
    <mergeCell ref="R281:S281"/>
    <mergeCell ref="T281:U281"/>
    <mergeCell ref="V281:W281"/>
    <mergeCell ref="A277:B277"/>
    <mergeCell ref="F280:G280"/>
    <mergeCell ref="H280:I280"/>
    <mergeCell ref="L274:Q274"/>
    <mergeCell ref="J280:K280"/>
    <mergeCell ref="L280:M280"/>
    <mergeCell ref="N280:O280"/>
    <mergeCell ref="P280:Q280"/>
    <mergeCell ref="L275:Q275"/>
    <mergeCell ref="C277:I277"/>
    <mergeCell ref="F271:G271"/>
    <mergeCell ref="H271:I271"/>
    <mergeCell ref="J271:K271"/>
    <mergeCell ref="L272:O272"/>
    <mergeCell ref="F272:G272"/>
    <mergeCell ref="H272:I272"/>
    <mergeCell ref="J272:K272"/>
    <mergeCell ref="F269:K269"/>
    <mergeCell ref="L269:M269"/>
    <mergeCell ref="N269:O269"/>
    <mergeCell ref="P269:Q269"/>
    <mergeCell ref="R269:S269"/>
    <mergeCell ref="T269:U269"/>
    <mergeCell ref="V269:W269"/>
    <mergeCell ref="L268:M268"/>
    <mergeCell ref="N268:O268"/>
    <mergeCell ref="N266:O266"/>
    <mergeCell ref="P266:Q266"/>
    <mergeCell ref="P268:Q268"/>
    <mergeCell ref="R268:S268"/>
    <mergeCell ref="T266:U266"/>
    <mergeCell ref="R266:S266"/>
    <mergeCell ref="T268:U268"/>
    <mergeCell ref="V266:W266"/>
    <mergeCell ref="L267:M267"/>
    <mergeCell ref="N267:O267"/>
    <mergeCell ref="P267:Q267"/>
    <mergeCell ref="R267:S267"/>
    <mergeCell ref="T267:U267"/>
    <mergeCell ref="V267:W267"/>
    <mergeCell ref="L266:M266"/>
    <mergeCell ref="R270:S270"/>
    <mergeCell ref="F265:G265"/>
    <mergeCell ref="H265:I265"/>
    <mergeCell ref="J265:K265"/>
    <mergeCell ref="L265:M265"/>
    <mergeCell ref="N265:O265"/>
    <mergeCell ref="P265:Q265"/>
    <mergeCell ref="R265:S265"/>
    <mergeCell ref="F264:G264"/>
    <mergeCell ref="H264:I264"/>
    <mergeCell ref="J264:K264"/>
    <mergeCell ref="L264:M264"/>
    <mergeCell ref="N264:O264"/>
    <mergeCell ref="P264:Q264"/>
    <mergeCell ref="L263:M263"/>
    <mergeCell ref="N263:O263"/>
    <mergeCell ref="P263:Q263"/>
    <mergeCell ref="R263:S263"/>
    <mergeCell ref="R262:S262"/>
    <mergeCell ref="T262:U262"/>
    <mergeCell ref="V262:W262"/>
    <mergeCell ref="R257:S257"/>
    <mergeCell ref="T257:U257"/>
    <mergeCell ref="V257:W257"/>
    <mergeCell ref="L258:Q258"/>
    <mergeCell ref="L255:Q255"/>
    <mergeCell ref="R255:S255"/>
    <mergeCell ref="T255:U255"/>
    <mergeCell ref="V255:W255"/>
    <mergeCell ref="A259:B259"/>
    <mergeCell ref="F262:G262"/>
    <mergeCell ref="H262:I262"/>
    <mergeCell ref="L256:Q256"/>
    <mergeCell ref="J262:K262"/>
    <mergeCell ref="L262:M262"/>
    <mergeCell ref="C259:I259"/>
    <mergeCell ref="R256:S256"/>
    <mergeCell ref="T256:U256"/>
    <mergeCell ref="V256:W256"/>
    <mergeCell ref="F253:G253"/>
    <mergeCell ref="H253:I253"/>
    <mergeCell ref="J253:K253"/>
    <mergeCell ref="L254:O254"/>
    <mergeCell ref="F254:G254"/>
    <mergeCell ref="H254:I254"/>
    <mergeCell ref="J254:K254"/>
    <mergeCell ref="V250:W250"/>
    <mergeCell ref="F251:K251"/>
    <mergeCell ref="L251:M251"/>
    <mergeCell ref="N251:O251"/>
    <mergeCell ref="P251:Q251"/>
    <mergeCell ref="R251:S251"/>
    <mergeCell ref="T251:U251"/>
    <mergeCell ref="V251:W251"/>
    <mergeCell ref="L250:M250"/>
    <mergeCell ref="N250:O250"/>
    <mergeCell ref="P250:Q250"/>
    <mergeCell ref="R250:S250"/>
    <mergeCell ref="P254:Q254"/>
    <mergeCell ref="R254:U254"/>
    <mergeCell ref="V254:W254"/>
    <mergeCell ref="T248:U248"/>
    <mergeCell ref="R248:S248"/>
    <mergeCell ref="T250:U250"/>
    <mergeCell ref="T247:U247"/>
    <mergeCell ref="V247:W247"/>
    <mergeCell ref="V248:W248"/>
    <mergeCell ref="L249:M249"/>
    <mergeCell ref="N249:O249"/>
    <mergeCell ref="P249:Q249"/>
    <mergeCell ref="R249:S249"/>
    <mergeCell ref="T249:U249"/>
    <mergeCell ref="V249:W249"/>
    <mergeCell ref="L248:M248"/>
    <mergeCell ref="R246:S246"/>
    <mergeCell ref="T246:U246"/>
    <mergeCell ref="V246:W246"/>
    <mergeCell ref="F247:G247"/>
    <mergeCell ref="H247:I247"/>
    <mergeCell ref="J247:K247"/>
    <mergeCell ref="L247:M247"/>
    <mergeCell ref="N247:O247"/>
    <mergeCell ref="P247:Q247"/>
    <mergeCell ref="R247:S247"/>
    <mergeCell ref="F246:G246"/>
    <mergeCell ref="H246:I246"/>
    <mergeCell ref="J246:K246"/>
    <mergeCell ref="L246:M246"/>
    <mergeCell ref="N246:O246"/>
    <mergeCell ref="P246:Q246"/>
    <mergeCell ref="R244:S244"/>
    <mergeCell ref="T244:U244"/>
    <mergeCell ref="V244:W244"/>
    <mergeCell ref="L245:M245"/>
    <mergeCell ref="N245:O245"/>
    <mergeCell ref="P245:Q245"/>
    <mergeCell ref="R245:S245"/>
    <mergeCell ref="T245:U245"/>
    <mergeCell ref="V245:W245"/>
    <mergeCell ref="A241:B241"/>
    <mergeCell ref="F244:G244"/>
    <mergeCell ref="H244:I244"/>
    <mergeCell ref="L238:Q238"/>
    <mergeCell ref="J244:K244"/>
    <mergeCell ref="L244:M244"/>
    <mergeCell ref="N244:O244"/>
    <mergeCell ref="P244:Q244"/>
    <mergeCell ref="C241:I241"/>
    <mergeCell ref="L239:Q239"/>
    <mergeCell ref="R238:S238"/>
    <mergeCell ref="T238:U238"/>
    <mergeCell ref="V238:W238"/>
    <mergeCell ref="R236:U236"/>
    <mergeCell ref="V236:W236"/>
    <mergeCell ref="L237:Q237"/>
    <mergeCell ref="R237:S237"/>
    <mergeCell ref="T237:U237"/>
    <mergeCell ref="V237:W237"/>
    <mergeCell ref="V233:W233"/>
    <mergeCell ref="L232:M232"/>
    <mergeCell ref="N232:O232"/>
    <mergeCell ref="J235:K235"/>
    <mergeCell ref="L236:O236"/>
    <mergeCell ref="F236:G236"/>
    <mergeCell ref="H236:I236"/>
    <mergeCell ref="J236:K236"/>
    <mergeCell ref="F235:G235"/>
    <mergeCell ref="H235:I235"/>
    <mergeCell ref="F233:K233"/>
    <mergeCell ref="L233:M233"/>
    <mergeCell ref="N233:O233"/>
    <mergeCell ref="P233:Q233"/>
    <mergeCell ref="R233:S233"/>
    <mergeCell ref="T233:U233"/>
    <mergeCell ref="P232:Q232"/>
    <mergeCell ref="R232:S232"/>
    <mergeCell ref="T230:U230"/>
    <mergeCell ref="R230:S230"/>
    <mergeCell ref="T232:U232"/>
    <mergeCell ref="V232:W232"/>
    <mergeCell ref="V230:W230"/>
    <mergeCell ref="L231:M231"/>
    <mergeCell ref="N231:O231"/>
    <mergeCell ref="P231:Q231"/>
    <mergeCell ref="R231:S231"/>
    <mergeCell ref="T231:U231"/>
    <mergeCell ref="V231:W231"/>
    <mergeCell ref="L230:M230"/>
    <mergeCell ref="N230:O230"/>
    <mergeCell ref="P230:Q230"/>
    <mergeCell ref="V228:W228"/>
    <mergeCell ref="F229:G229"/>
    <mergeCell ref="H229:I229"/>
    <mergeCell ref="J229:K229"/>
    <mergeCell ref="L229:M229"/>
    <mergeCell ref="N229:O229"/>
    <mergeCell ref="P229:Q229"/>
    <mergeCell ref="R229:S229"/>
    <mergeCell ref="T229:U229"/>
    <mergeCell ref="V229:W229"/>
    <mergeCell ref="J228:K228"/>
    <mergeCell ref="L228:M228"/>
    <mergeCell ref="N228:O228"/>
    <mergeCell ref="P228:Q228"/>
    <mergeCell ref="R228:S228"/>
    <mergeCell ref="T228:U228"/>
    <mergeCell ref="A223:B223"/>
    <mergeCell ref="F226:G226"/>
    <mergeCell ref="H226:I226"/>
    <mergeCell ref="L220:Q220"/>
    <mergeCell ref="C223:I223"/>
    <mergeCell ref="L221:Q221"/>
    <mergeCell ref="T220:U220"/>
    <mergeCell ref="V220:W220"/>
    <mergeCell ref="P218:Q218"/>
    <mergeCell ref="R218:U218"/>
    <mergeCell ref="V218:W218"/>
    <mergeCell ref="L219:Q219"/>
    <mergeCell ref="R219:S219"/>
    <mergeCell ref="T219:U219"/>
    <mergeCell ref="V219:W219"/>
    <mergeCell ref="J217:K217"/>
    <mergeCell ref="L218:O218"/>
    <mergeCell ref="F218:G218"/>
    <mergeCell ref="H218:I218"/>
    <mergeCell ref="J218:K218"/>
    <mergeCell ref="R220:S220"/>
    <mergeCell ref="R214:S214"/>
    <mergeCell ref="T212:U212"/>
    <mergeCell ref="R212:S212"/>
    <mergeCell ref="T214:U214"/>
    <mergeCell ref="T211:U211"/>
    <mergeCell ref="V211:W211"/>
    <mergeCell ref="V212:W212"/>
    <mergeCell ref="L213:M213"/>
    <mergeCell ref="N213:O213"/>
    <mergeCell ref="P213:Q213"/>
    <mergeCell ref="R213:S213"/>
    <mergeCell ref="T213:U213"/>
    <mergeCell ref="V213:W213"/>
    <mergeCell ref="L212:M212"/>
    <mergeCell ref="R210:S210"/>
    <mergeCell ref="T210:U210"/>
    <mergeCell ref="V210:W210"/>
    <mergeCell ref="F211:G211"/>
    <mergeCell ref="H211:I211"/>
    <mergeCell ref="J211:K211"/>
    <mergeCell ref="L211:M211"/>
    <mergeCell ref="N211:O211"/>
    <mergeCell ref="P211:Q211"/>
    <mergeCell ref="R211:S211"/>
    <mergeCell ref="F210:G210"/>
    <mergeCell ref="H210:I210"/>
    <mergeCell ref="J210:K210"/>
    <mergeCell ref="L210:M210"/>
    <mergeCell ref="N210:O210"/>
    <mergeCell ref="P210:Q210"/>
    <mergeCell ref="R208:S208"/>
    <mergeCell ref="T208:U208"/>
    <mergeCell ref="V208:W208"/>
    <mergeCell ref="L209:M209"/>
    <mergeCell ref="N209:O209"/>
    <mergeCell ref="P209:Q209"/>
    <mergeCell ref="R209:S209"/>
    <mergeCell ref="T209:U209"/>
    <mergeCell ref="V209:W209"/>
    <mergeCell ref="A205:B205"/>
    <mergeCell ref="F208:G208"/>
    <mergeCell ref="H208:I208"/>
    <mergeCell ref="L202:Q202"/>
    <mergeCell ref="J208:K208"/>
    <mergeCell ref="L208:M208"/>
    <mergeCell ref="N208:O208"/>
    <mergeCell ref="P208:Q208"/>
    <mergeCell ref="C205:I205"/>
    <mergeCell ref="L203:Q203"/>
    <mergeCell ref="R202:S202"/>
    <mergeCell ref="T202:U202"/>
    <mergeCell ref="V202:W202"/>
    <mergeCell ref="P200:Q200"/>
    <mergeCell ref="R200:U200"/>
    <mergeCell ref="V200:W200"/>
    <mergeCell ref="L201:Q201"/>
    <mergeCell ref="R201:S201"/>
    <mergeCell ref="T201:U201"/>
    <mergeCell ref="V201:W201"/>
    <mergeCell ref="F199:G199"/>
    <mergeCell ref="H199:I199"/>
    <mergeCell ref="J199:K199"/>
    <mergeCell ref="L200:O200"/>
    <mergeCell ref="F200:G200"/>
    <mergeCell ref="H200:I200"/>
    <mergeCell ref="J200:K200"/>
    <mergeCell ref="V196:W196"/>
    <mergeCell ref="F197:K197"/>
    <mergeCell ref="L197:M197"/>
    <mergeCell ref="N197:O197"/>
    <mergeCell ref="P197:Q197"/>
    <mergeCell ref="R197:S197"/>
    <mergeCell ref="T197:U197"/>
    <mergeCell ref="V197:W197"/>
    <mergeCell ref="L196:M196"/>
    <mergeCell ref="N196:O196"/>
    <mergeCell ref="P196:Q196"/>
    <mergeCell ref="R196:S196"/>
    <mergeCell ref="L198:M198"/>
    <mergeCell ref="T194:U194"/>
    <mergeCell ref="R194:S194"/>
    <mergeCell ref="T196:U196"/>
    <mergeCell ref="T193:U193"/>
    <mergeCell ref="V193:W193"/>
    <mergeCell ref="V194:W194"/>
    <mergeCell ref="L195:M195"/>
    <mergeCell ref="N195:O195"/>
    <mergeCell ref="P195:Q195"/>
    <mergeCell ref="R195:S195"/>
    <mergeCell ref="T195:U195"/>
    <mergeCell ref="V195:W195"/>
    <mergeCell ref="L194:M194"/>
    <mergeCell ref="R192:S192"/>
    <mergeCell ref="T192:U192"/>
    <mergeCell ref="V192:W192"/>
    <mergeCell ref="F193:G193"/>
    <mergeCell ref="H193:I193"/>
    <mergeCell ref="J193:K193"/>
    <mergeCell ref="L193:M193"/>
    <mergeCell ref="N193:O193"/>
    <mergeCell ref="P193:Q193"/>
    <mergeCell ref="R193:S193"/>
    <mergeCell ref="F192:G192"/>
    <mergeCell ref="H192:I192"/>
    <mergeCell ref="J192:K192"/>
    <mergeCell ref="L192:M192"/>
    <mergeCell ref="N192:O192"/>
    <mergeCell ref="P192:Q192"/>
    <mergeCell ref="R190:S190"/>
    <mergeCell ref="T190:U190"/>
    <mergeCell ref="V190:W190"/>
    <mergeCell ref="L191:M191"/>
    <mergeCell ref="N191:O191"/>
    <mergeCell ref="P191:Q191"/>
    <mergeCell ref="R191:S191"/>
    <mergeCell ref="T191:U191"/>
    <mergeCell ref="V191:W191"/>
    <mergeCell ref="A187:B187"/>
    <mergeCell ref="F190:G190"/>
    <mergeCell ref="H190:I190"/>
    <mergeCell ref="L184:Q184"/>
    <mergeCell ref="J190:K190"/>
    <mergeCell ref="L190:M190"/>
    <mergeCell ref="N190:O190"/>
    <mergeCell ref="P190:Q190"/>
    <mergeCell ref="C187:I187"/>
    <mergeCell ref="L185:Q185"/>
    <mergeCell ref="R184:S184"/>
    <mergeCell ref="T184:U184"/>
    <mergeCell ref="V184:W184"/>
    <mergeCell ref="R182:U182"/>
    <mergeCell ref="V182:W182"/>
    <mergeCell ref="L183:Q183"/>
    <mergeCell ref="R183:S183"/>
    <mergeCell ref="T183:U183"/>
    <mergeCell ref="V183:W183"/>
    <mergeCell ref="F181:G181"/>
    <mergeCell ref="H181:I181"/>
    <mergeCell ref="J181:K181"/>
    <mergeCell ref="L182:O182"/>
    <mergeCell ref="F182:G182"/>
    <mergeCell ref="H182:I182"/>
    <mergeCell ref="J182:K182"/>
    <mergeCell ref="V178:W178"/>
    <mergeCell ref="F179:K179"/>
    <mergeCell ref="L179:M179"/>
    <mergeCell ref="N179:O179"/>
    <mergeCell ref="P179:Q179"/>
    <mergeCell ref="R179:S179"/>
    <mergeCell ref="T179:U179"/>
    <mergeCell ref="V179:W179"/>
    <mergeCell ref="L178:M178"/>
    <mergeCell ref="N178:O178"/>
    <mergeCell ref="P176:Q176"/>
    <mergeCell ref="P178:Q178"/>
    <mergeCell ref="R178:S178"/>
    <mergeCell ref="T176:U176"/>
    <mergeCell ref="R176:S176"/>
    <mergeCell ref="T178:U178"/>
    <mergeCell ref="T175:U175"/>
    <mergeCell ref="V175:W175"/>
    <mergeCell ref="V176:W176"/>
    <mergeCell ref="L177:M177"/>
    <mergeCell ref="N177:O177"/>
    <mergeCell ref="P177:Q177"/>
    <mergeCell ref="R177:S177"/>
    <mergeCell ref="T177:U177"/>
    <mergeCell ref="V177:W177"/>
    <mergeCell ref="L176:M176"/>
    <mergeCell ref="R174:S174"/>
    <mergeCell ref="T174:U174"/>
    <mergeCell ref="V174:W174"/>
    <mergeCell ref="F175:G175"/>
    <mergeCell ref="H175:I175"/>
    <mergeCell ref="J175:K175"/>
    <mergeCell ref="L175:M175"/>
    <mergeCell ref="N175:O175"/>
    <mergeCell ref="P175:Q175"/>
    <mergeCell ref="R175:S175"/>
    <mergeCell ref="F174:G174"/>
    <mergeCell ref="H174:I174"/>
    <mergeCell ref="J174:K174"/>
    <mergeCell ref="L174:M174"/>
    <mergeCell ref="N174:O174"/>
    <mergeCell ref="P174:Q174"/>
    <mergeCell ref="L173:M173"/>
    <mergeCell ref="N173:O173"/>
    <mergeCell ref="P173:Q173"/>
    <mergeCell ref="R173:S173"/>
    <mergeCell ref="T173:U173"/>
    <mergeCell ref="V173:W173"/>
    <mergeCell ref="N172:O172"/>
    <mergeCell ref="P172:Q172"/>
    <mergeCell ref="L167:Q167"/>
    <mergeCell ref="R172:S172"/>
    <mergeCell ref="T172:U172"/>
    <mergeCell ref="V172:W172"/>
    <mergeCell ref="V168:W168"/>
    <mergeCell ref="L165:Q165"/>
    <mergeCell ref="R165:S165"/>
    <mergeCell ref="T165:U165"/>
    <mergeCell ref="V165:W165"/>
    <mergeCell ref="A169:B169"/>
    <mergeCell ref="F172:G172"/>
    <mergeCell ref="H172:I172"/>
    <mergeCell ref="L166:Q166"/>
    <mergeCell ref="J172:K172"/>
    <mergeCell ref="L172:M172"/>
    <mergeCell ref="R167:S167"/>
    <mergeCell ref="T167:U167"/>
    <mergeCell ref="V167:W167"/>
    <mergeCell ref="P161:Q161"/>
    <mergeCell ref="R161:S161"/>
    <mergeCell ref="T161:U161"/>
    <mergeCell ref="L160:M160"/>
    <mergeCell ref="N160:O160"/>
    <mergeCell ref="N158:O158"/>
    <mergeCell ref="P158:Q158"/>
    <mergeCell ref="P160:Q160"/>
    <mergeCell ref="R160:S160"/>
    <mergeCell ref="R158:S158"/>
    <mergeCell ref="T157:U157"/>
    <mergeCell ref="V157:W157"/>
    <mergeCell ref="V158:W158"/>
    <mergeCell ref="L159:M159"/>
    <mergeCell ref="N159:O159"/>
    <mergeCell ref="P159:Q159"/>
    <mergeCell ref="R159:S159"/>
    <mergeCell ref="T159:U159"/>
    <mergeCell ref="V159:W159"/>
    <mergeCell ref="L158:M158"/>
    <mergeCell ref="V160:W160"/>
    <mergeCell ref="V161:W161"/>
    <mergeCell ref="T158:U158"/>
    <mergeCell ref="T160:U160"/>
    <mergeCell ref="F157:G157"/>
    <mergeCell ref="H157:I157"/>
    <mergeCell ref="J157:K157"/>
    <mergeCell ref="L157:M157"/>
    <mergeCell ref="N157:O157"/>
    <mergeCell ref="P157:Q157"/>
    <mergeCell ref="R157:S157"/>
    <mergeCell ref="F156:G156"/>
    <mergeCell ref="H156:I156"/>
    <mergeCell ref="J156:K156"/>
    <mergeCell ref="L156:M156"/>
    <mergeCell ref="N156:O156"/>
    <mergeCell ref="P156:Q156"/>
    <mergeCell ref="R154:S154"/>
    <mergeCell ref="T154:U154"/>
    <mergeCell ref="V154:W154"/>
    <mergeCell ref="L155:M155"/>
    <mergeCell ref="N155:O155"/>
    <mergeCell ref="P155:Q155"/>
    <mergeCell ref="R155:S155"/>
    <mergeCell ref="T155:U155"/>
    <mergeCell ref="V155:W155"/>
    <mergeCell ref="A151:B151"/>
    <mergeCell ref="F154:G154"/>
    <mergeCell ref="H154:I154"/>
    <mergeCell ref="L148:Q148"/>
    <mergeCell ref="J154:K154"/>
    <mergeCell ref="L154:M154"/>
    <mergeCell ref="N154:O154"/>
    <mergeCell ref="P154:Q154"/>
    <mergeCell ref="L149:Q149"/>
    <mergeCell ref="L150:Q150"/>
    <mergeCell ref="P146:Q146"/>
    <mergeCell ref="R146:U146"/>
    <mergeCell ref="V146:W146"/>
    <mergeCell ref="L147:Q147"/>
    <mergeCell ref="R147:S147"/>
    <mergeCell ref="T147:U147"/>
    <mergeCell ref="V147:W147"/>
    <mergeCell ref="L146:O146"/>
    <mergeCell ref="H146:I146"/>
    <mergeCell ref="J146:K146"/>
    <mergeCell ref="R150:S150"/>
    <mergeCell ref="T150:U150"/>
    <mergeCell ref="V150:W150"/>
    <mergeCell ref="R149:S149"/>
    <mergeCell ref="T149:U149"/>
    <mergeCell ref="V149:W149"/>
    <mergeCell ref="R148:S148"/>
    <mergeCell ref="T148:U148"/>
    <mergeCell ref="V148:W148"/>
    <mergeCell ref="C151:I151"/>
    <mergeCell ref="F143:K143"/>
    <mergeCell ref="L143:M143"/>
    <mergeCell ref="N143:O143"/>
    <mergeCell ref="P143:Q143"/>
    <mergeCell ref="R143:S143"/>
    <mergeCell ref="T143:U143"/>
    <mergeCell ref="V143:W143"/>
    <mergeCell ref="L142:M142"/>
    <mergeCell ref="N142:O142"/>
    <mergeCell ref="N140:O140"/>
    <mergeCell ref="P140:Q140"/>
    <mergeCell ref="P142:Q142"/>
    <mergeCell ref="R142:S142"/>
    <mergeCell ref="R140:S140"/>
    <mergeCell ref="L140:M140"/>
    <mergeCell ref="T142:U142"/>
    <mergeCell ref="T139:U139"/>
    <mergeCell ref="V139:W139"/>
    <mergeCell ref="V140:W140"/>
    <mergeCell ref="L141:M141"/>
    <mergeCell ref="N141:O141"/>
    <mergeCell ref="P141:Q141"/>
    <mergeCell ref="R141:S141"/>
    <mergeCell ref="T141:U141"/>
    <mergeCell ref="V141:W141"/>
    <mergeCell ref="F139:G139"/>
    <mergeCell ref="H139:I139"/>
    <mergeCell ref="J139:K139"/>
    <mergeCell ref="L139:M139"/>
    <mergeCell ref="N139:O139"/>
    <mergeCell ref="P139:Q139"/>
    <mergeCell ref="R139:S139"/>
    <mergeCell ref="F138:G138"/>
    <mergeCell ref="H138:I138"/>
    <mergeCell ref="J138:K138"/>
    <mergeCell ref="L138:M138"/>
    <mergeCell ref="N138:O138"/>
    <mergeCell ref="P138:Q138"/>
    <mergeCell ref="R136:S136"/>
    <mergeCell ref="T136:U136"/>
    <mergeCell ref="V136:W136"/>
    <mergeCell ref="L137:M137"/>
    <mergeCell ref="N137:O137"/>
    <mergeCell ref="P137:Q137"/>
    <mergeCell ref="R137:S137"/>
    <mergeCell ref="T137:U137"/>
    <mergeCell ref="V137:W137"/>
    <mergeCell ref="A133:B133"/>
    <mergeCell ref="F136:G136"/>
    <mergeCell ref="H136:I136"/>
    <mergeCell ref="L130:Q130"/>
    <mergeCell ref="J136:K136"/>
    <mergeCell ref="L136:M136"/>
    <mergeCell ref="N136:O136"/>
    <mergeCell ref="P136:Q136"/>
    <mergeCell ref="L131:Q131"/>
    <mergeCell ref="L132:Q132"/>
    <mergeCell ref="P128:Q128"/>
    <mergeCell ref="R128:U128"/>
    <mergeCell ref="V128:W128"/>
    <mergeCell ref="L129:Q129"/>
    <mergeCell ref="R129:S129"/>
    <mergeCell ref="T129:U129"/>
    <mergeCell ref="V129:W129"/>
    <mergeCell ref="F127:G127"/>
    <mergeCell ref="H127:I127"/>
    <mergeCell ref="J127:K127"/>
    <mergeCell ref="L128:O128"/>
    <mergeCell ref="F128:G128"/>
    <mergeCell ref="H128:I128"/>
    <mergeCell ref="J128:K128"/>
    <mergeCell ref="R131:S131"/>
    <mergeCell ref="T131:U131"/>
    <mergeCell ref="V131:W131"/>
    <mergeCell ref="R130:S130"/>
    <mergeCell ref="T130:U130"/>
    <mergeCell ref="V130:W130"/>
    <mergeCell ref="R132:S132"/>
    <mergeCell ref="T132:U132"/>
    <mergeCell ref="V132:W132"/>
    <mergeCell ref="F125:K125"/>
    <mergeCell ref="L125:M125"/>
    <mergeCell ref="N125:O125"/>
    <mergeCell ref="P125:Q125"/>
    <mergeCell ref="R125:S125"/>
    <mergeCell ref="T125:U125"/>
    <mergeCell ref="L122:M122"/>
    <mergeCell ref="V125:W125"/>
    <mergeCell ref="L124:M124"/>
    <mergeCell ref="N124:O124"/>
    <mergeCell ref="N122:O122"/>
    <mergeCell ref="P122:Q122"/>
    <mergeCell ref="P124:Q124"/>
    <mergeCell ref="R124:S124"/>
    <mergeCell ref="T122:U122"/>
    <mergeCell ref="R122:S122"/>
    <mergeCell ref="R121:S121"/>
    <mergeCell ref="T121:U121"/>
    <mergeCell ref="V121:W121"/>
    <mergeCell ref="V122:W122"/>
    <mergeCell ref="L123:M123"/>
    <mergeCell ref="N123:O123"/>
    <mergeCell ref="P123:Q123"/>
    <mergeCell ref="R123:S123"/>
    <mergeCell ref="T123:U123"/>
    <mergeCell ref="V123:W123"/>
    <mergeCell ref="F121:G121"/>
    <mergeCell ref="H121:I121"/>
    <mergeCell ref="J121:K121"/>
    <mergeCell ref="L121:M121"/>
    <mergeCell ref="N121:O121"/>
    <mergeCell ref="P121:Q121"/>
    <mergeCell ref="F120:G120"/>
    <mergeCell ref="H120:I120"/>
    <mergeCell ref="J120:K120"/>
    <mergeCell ref="L120:M120"/>
    <mergeCell ref="N120:O120"/>
    <mergeCell ref="P120:Q120"/>
    <mergeCell ref="R120:S120"/>
    <mergeCell ref="T120:U120"/>
    <mergeCell ref="V120:W120"/>
    <mergeCell ref="L113:Q113"/>
    <mergeCell ref="L114:Q114"/>
    <mergeCell ref="R118:S118"/>
    <mergeCell ref="T118:U118"/>
    <mergeCell ref="V118:W118"/>
    <mergeCell ref="L119:M119"/>
    <mergeCell ref="N119:O119"/>
    <mergeCell ref="P119:Q119"/>
    <mergeCell ref="R119:S119"/>
    <mergeCell ref="T119:U119"/>
    <mergeCell ref="R114:S114"/>
    <mergeCell ref="T114:U114"/>
    <mergeCell ref="V114:W114"/>
    <mergeCell ref="A115:B115"/>
    <mergeCell ref="F118:G118"/>
    <mergeCell ref="H118:I118"/>
    <mergeCell ref="L112:Q112"/>
    <mergeCell ref="J118:K118"/>
    <mergeCell ref="L118:M118"/>
    <mergeCell ref="N118:O118"/>
    <mergeCell ref="P118:Q118"/>
    <mergeCell ref="L110:O110"/>
    <mergeCell ref="F110:G110"/>
    <mergeCell ref="H110:I110"/>
    <mergeCell ref="J110:K110"/>
    <mergeCell ref="V112:W112"/>
    <mergeCell ref="P110:Q110"/>
    <mergeCell ref="R110:U110"/>
    <mergeCell ref="V110:W110"/>
    <mergeCell ref="L111:Q111"/>
    <mergeCell ref="R111:S111"/>
    <mergeCell ref="L106:M106"/>
    <mergeCell ref="N106:O106"/>
    <mergeCell ref="F109:G109"/>
    <mergeCell ref="H109:I109"/>
    <mergeCell ref="J109:K109"/>
    <mergeCell ref="F107:K107"/>
    <mergeCell ref="L107:M107"/>
    <mergeCell ref="N107:O107"/>
    <mergeCell ref="P107:Q107"/>
    <mergeCell ref="R107:S107"/>
    <mergeCell ref="T107:U107"/>
    <mergeCell ref="R106:S106"/>
    <mergeCell ref="T104:U104"/>
    <mergeCell ref="R104:S104"/>
    <mergeCell ref="T106:U106"/>
    <mergeCell ref="T103:U103"/>
    <mergeCell ref="V103:W103"/>
    <mergeCell ref="V104:W104"/>
    <mergeCell ref="R103:S103"/>
    <mergeCell ref="V106:W106"/>
    <mergeCell ref="L105:M105"/>
    <mergeCell ref="N105:O105"/>
    <mergeCell ref="P105:Q105"/>
    <mergeCell ref="R105:S105"/>
    <mergeCell ref="T105:U105"/>
    <mergeCell ref="V105:W105"/>
    <mergeCell ref="L104:M104"/>
    <mergeCell ref="F103:G103"/>
    <mergeCell ref="H103:I103"/>
    <mergeCell ref="J103:K103"/>
    <mergeCell ref="L103:M103"/>
    <mergeCell ref="N103:O103"/>
    <mergeCell ref="P103:Q103"/>
    <mergeCell ref="F102:G102"/>
    <mergeCell ref="H102:I102"/>
    <mergeCell ref="J102:K102"/>
    <mergeCell ref="L102:M102"/>
    <mergeCell ref="N102:O102"/>
    <mergeCell ref="P102:Q102"/>
    <mergeCell ref="R100:S100"/>
    <mergeCell ref="T100:U100"/>
    <mergeCell ref="V100:W100"/>
    <mergeCell ref="L101:M101"/>
    <mergeCell ref="N101:O101"/>
    <mergeCell ref="P101:Q101"/>
    <mergeCell ref="R101:S101"/>
    <mergeCell ref="T101:U101"/>
    <mergeCell ref="V101:W101"/>
    <mergeCell ref="A97:B97"/>
    <mergeCell ref="F100:G100"/>
    <mergeCell ref="H100:I100"/>
    <mergeCell ref="L94:Q94"/>
    <mergeCell ref="J100:K100"/>
    <mergeCell ref="L100:M100"/>
    <mergeCell ref="N100:O100"/>
    <mergeCell ref="P100:Q100"/>
    <mergeCell ref="L95:Q95"/>
    <mergeCell ref="L96:Q96"/>
    <mergeCell ref="P92:Q92"/>
    <mergeCell ref="R92:U92"/>
    <mergeCell ref="V92:W92"/>
    <mergeCell ref="L93:Q93"/>
    <mergeCell ref="R93:S93"/>
    <mergeCell ref="T93:U93"/>
    <mergeCell ref="V93:W93"/>
    <mergeCell ref="F91:G91"/>
    <mergeCell ref="H91:I91"/>
    <mergeCell ref="J91:K91"/>
    <mergeCell ref="L92:O92"/>
    <mergeCell ref="F92:G92"/>
    <mergeCell ref="H92:I92"/>
    <mergeCell ref="J92:K92"/>
    <mergeCell ref="R95:S95"/>
    <mergeCell ref="T95:U95"/>
    <mergeCell ref="V95:W95"/>
    <mergeCell ref="R94:S94"/>
    <mergeCell ref="T94:U94"/>
    <mergeCell ref="V94:W94"/>
    <mergeCell ref="F89:K89"/>
    <mergeCell ref="L89:M89"/>
    <mergeCell ref="N89:O89"/>
    <mergeCell ref="P89:Q89"/>
    <mergeCell ref="R89:S89"/>
    <mergeCell ref="T89:U89"/>
    <mergeCell ref="V89:W89"/>
    <mergeCell ref="L88:M88"/>
    <mergeCell ref="N88:O88"/>
    <mergeCell ref="N86:O86"/>
    <mergeCell ref="P86:Q86"/>
    <mergeCell ref="P88:Q88"/>
    <mergeCell ref="R88:S88"/>
    <mergeCell ref="T86:U86"/>
    <mergeCell ref="R86:S86"/>
    <mergeCell ref="T88:U88"/>
    <mergeCell ref="V86:W86"/>
    <mergeCell ref="L87:M87"/>
    <mergeCell ref="N87:O87"/>
    <mergeCell ref="P87:Q87"/>
    <mergeCell ref="R87:S87"/>
    <mergeCell ref="T87:U87"/>
    <mergeCell ref="V87:W87"/>
    <mergeCell ref="L86:M86"/>
    <mergeCell ref="V88:W88"/>
    <mergeCell ref="F85:G85"/>
    <mergeCell ref="H85:I85"/>
    <mergeCell ref="J85:K85"/>
    <mergeCell ref="L85:M85"/>
    <mergeCell ref="N85:O85"/>
    <mergeCell ref="P85:Q85"/>
    <mergeCell ref="R85:S85"/>
    <mergeCell ref="F84:G84"/>
    <mergeCell ref="H84:I84"/>
    <mergeCell ref="J84:K84"/>
    <mergeCell ref="L84:M84"/>
    <mergeCell ref="N84:O84"/>
    <mergeCell ref="P84:Q84"/>
    <mergeCell ref="R82:S82"/>
    <mergeCell ref="T82:U82"/>
    <mergeCell ref="V82:W82"/>
    <mergeCell ref="L83:M83"/>
    <mergeCell ref="N83:O83"/>
    <mergeCell ref="P83:Q83"/>
    <mergeCell ref="R83:S83"/>
    <mergeCell ref="T83:U83"/>
    <mergeCell ref="V83:W83"/>
    <mergeCell ref="R84:S84"/>
    <mergeCell ref="T84:U84"/>
    <mergeCell ref="V84:W84"/>
    <mergeCell ref="A79:B79"/>
    <mergeCell ref="F82:G82"/>
    <mergeCell ref="H82:I82"/>
    <mergeCell ref="L76:Q76"/>
    <mergeCell ref="J82:K82"/>
    <mergeCell ref="L82:M82"/>
    <mergeCell ref="N82:O82"/>
    <mergeCell ref="P82:Q82"/>
    <mergeCell ref="L77:Q77"/>
    <mergeCell ref="L78:Q78"/>
    <mergeCell ref="P74:Q74"/>
    <mergeCell ref="R74:U74"/>
    <mergeCell ref="V74:W74"/>
    <mergeCell ref="L75:Q75"/>
    <mergeCell ref="R75:S75"/>
    <mergeCell ref="T75:U75"/>
    <mergeCell ref="V75:W75"/>
    <mergeCell ref="R78:S78"/>
    <mergeCell ref="T78:U78"/>
    <mergeCell ref="V78:W78"/>
    <mergeCell ref="R77:S77"/>
    <mergeCell ref="T77:U77"/>
    <mergeCell ref="V77:W77"/>
    <mergeCell ref="R76:S76"/>
    <mergeCell ref="T76:U76"/>
    <mergeCell ref="V76:W76"/>
    <mergeCell ref="F73:G73"/>
    <mergeCell ref="H73:I73"/>
    <mergeCell ref="J73:K73"/>
    <mergeCell ref="L74:O74"/>
    <mergeCell ref="F74:G74"/>
    <mergeCell ref="H74:I74"/>
    <mergeCell ref="J74:K74"/>
    <mergeCell ref="V70:W70"/>
    <mergeCell ref="F71:K71"/>
    <mergeCell ref="L71:M71"/>
    <mergeCell ref="N71:O71"/>
    <mergeCell ref="P71:Q71"/>
    <mergeCell ref="R71:S71"/>
    <mergeCell ref="T71:U71"/>
    <mergeCell ref="V71:W71"/>
    <mergeCell ref="L70:M70"/>
    <mergeCell ref="N70:O70"/>
    <mergeCell ref="T70:U70"/>
    <mergeCell ref="R72:S72"/>
    <mergeCell ref="P70:Q70"/>
    <mergeCell ref="R70:S70"/>
    <mergeCell ref="L69:M69"/>
    <mergeCell ref="N69:O69"/>
    <mergeCell ref="P69:Q69"/>
    <mergeCell ref="R69:S69"/>
    <mergeCell ref="T69:U69"/>
    <mergeCell ref="V69:W69"/>
    <mergeCell ref="L68:M68"/>
    <mergeCell ref="N68:O68"/>
    <mergeCell ref="P68:Q68"/>
    <mergeCell ref="V66:W66"/>
    <mergeCell ref="F67:G67"/>
    <mergeCell ref="H67:I67"/>
    <mergeCell ref="J67:K67"/>
    <mergeCell ref="L67:M67"/>
    <mergeCell ref="N67:O67"/>
    <mergeCell ref="P67:Q67"/>
    <mergeCell ref="R67:S67"/>
    <mergeCell ref="F66:G66"/>
    <mergeCell ref="H66:I66"/>
    <mergeCell ref="J66:K66"/>
    <mergeCell ref="L66:M66"/>
    <mergeCell ref="T67:U67"/>
    <mergeCell ref="V67:W67"/>
    <mergeCell ref="N66:O66"/>
    <mergeCell ref="P66:Q66"/>
    <mergeCell ref="R66:S66"/>
    <mergeCell ref="T66:U66"/>
    <mergeCell ref="R68:S68"/>
    <mergeCell ref="V68:W68"/>
    <mergeCell ref="T68:U68"/>
    <mergeCell ref="L65:M65"/>
    <mergeCell ref="N65:O65"/>
    <mergeCell ref="P65:Q65"/>
    <mergeCell ref="R65:S65"/>
    <mergeCell ref="T65:U65"/>
    <mergeCell ref="V65:W65"/>
    <mergeCell ref="A61:B61"/>
    <mergeCell ref="F64:G64"/>
    <mergeCell ref="H64:I64"/>
    <mergeCell ref="L58:Q58"/>
    <mergeCell ref="J64:K64"/>
    <mergeCell ref="L64:M64"/>
    <mergeCell ref="N64:O64"/>
    <mergeCell ref="P64:Q64"/>
    <mergeCell ref="L59:Q59"/>
    <mergeCell ref="V58:W58"/>
    <mergeCell ref="R56:U56"/>
    <mergeCell ref="V56:W56"/>
    <mergeCell ref="R57:S57"/>
    <mergeCell ref="T57:U57"/>
    <mergeCell ref="V57:W57"/>
    <mergeCell ref="R60:S60"/>
    <mergeCell ref="T60:U60"/>
    <mergeCell ref="V60:W60"/>
    <mergeCell ref="R64:S64"/>
    <mergeCell ref="T64:U64"/>
    <mergeCell ref="V64:W64"/>
    <mergeCell ref="R59:S59"/>
    <mergeCell ref="T59:U59"/>
    <mergeCell ref="H55:I55"/>
    <mergeCell ref="J55:K55"/>
    <mergeCell ref="L56:O56"/>
    <mergeCell ref="P56:Q56"/>
    <mergeCell ref="R58:S58"/>
    <mergeCell ref="T58:U58"/>
    <mergeCell ref="V52:W52"/>
    <mergeCell ref="F53:K53"/>
    <mergeCell ref="L53:M53"/>
    <mergeCell ref="N53:O53"/>
    <mergeCell ref="P53:Q53"/>
    <mergeCell ref="R53:S53"/>
    <mergeCell ref="T53:U53"/>
    <mergeCell ref="V53:W53"/>
    <mergeCell ref="L52:M52"/>
    <mergeCell ref="N52:O52"/>
    <mergeCell ref="L50:M50"/>
    <mergeCell ref="N50:O50"/>
    <mergeCell ref="P52:Q52"/>
    <mergeCell ref="R52:S52"/>
    <mergeCell ref="T50:U50"/>
    <mergeCell ref="R50:S50"/>
    <mergeCell ref="T52:U52"/>
    <mergeCell ref="P50:Q50"/>
    <mergeCell ref="F56:G56"/>
    <mergeCell ref="H56:I56"/>
    <mergeCell ref="J56:K56"/>
    <mergeCell ref="F55:G55"/>
    <mergeCell ref="R49:S49"/>
    <mergeCell ref="T49:U49"/>
    <mergeCell ref="V49:W49"/>
    <mergeCell ref="V50:W50"/>
    <mergeCell ref="L51:M51"/>
    <mergeCell ref="N51:O51"/>
    <mergeCell ref="P51:Q51"/>
    <mergeCell ref="R51:S51"/>
    <mergeCell ref="T51:U51"/>
    <mergeCell ref="V51:W51"/>
    <mergeCell ref="F49:G49"/>
    <mergeCell ref="H49:I49"/>
    <mergeCell ref="J49:K49"/>
    <mergeCell ref="L49:M49"/>
    <mergeCell ref="N49:O49"/>
    <mergeCell ref="P49:Q49"/>
    <mergeCell ref="L48:M48"/>
    <mergeCell ref="N48:O48"/>
    <mergeCell ref="P48:Q48"/>
    <mergeCell ref="R48:S48"/>
    <mergeCell ref="T48:U48"/>
    <mergeCell ref="V48:W48"/>
    <mergeCell ref="F48:G48"/>
    <mergeCell ref="H48:I48"/>
    <mergeCell ref="J48:K48"/>
    <mergeCell ref="L47:M47"/>
    <mergeCell ref="N47:O47"/>
    <mergeCell ref="P47:Q47"/>
    <mergeCell ref="R47:S47"/>
    <mergeCell ref="T47:U47"/>
    <mergeCell ref="V47:W47"/>
    <mergeCell ref="J46:K46"/>
    <mergeCell ref="L46:M46"/>
    <mergeCell ref="V46:W46"/>
    <mergeCell ref="N46:O46"/>
    <mergeCell ref="P46:Q46"/>
    <mergeCell ref="R46:S46"/>
    <mergeCell ref="T40:U40"/>
    <mergeCell ref="V40:W40"/>
    <mergeCell ref="L39:Q39"/>
    <mergeCell ref="R39:S39"/>
    <mergeCell ref="L38:O38"/>
    <mergeCell ref="P38:Q38"/>
    <mergeCell ref="R38:U38"/>
    <mergeCell ref="V38:W38"/>
    <mergeCell ref="T39:U39"/>
    <mergeCell ref="V39:W39"/>
    <mergeCell ref="L42:Q42"/>
    <mergeCell ref="F37:G37"/>
    <mergeCell ref="H37:I37"/>
    <mergeCell ref="J37:K37"/>
    <mergeCell ref="T34:U34"/>
    <mergeCell ref="P34:Q34"/>
    <mergeCell ref="R34:S34"/>
    <mergeCell ref="V34:W34"/>
    <mergeCell ref="F35:K35"/>
    <mergeCell ref="L35:M35"/>
    <mergeCell ref="N35:O35"/>
    <mergeCell ref="P35:Q35"/>
    <mergeCell ref="R35:S35"/>
    <mergeCell ref="T35:U35"/>
    <mergeCell ref="V35:W35"/>
    <mergeCell ref="L34:M34"/>
    <mergeCell ref="N34:O34"/>
    <mergeCell ref="T32:U32"/>
    <mergeCell ref="V32:W32"/>
    <mergeCell ref="L33:M33"/>
    <mergeCell ref="N33:O33"/>
    <mergeCell ref="P33:Q33"/>
    <mergeCell ref="R33:S33"/>
    <mergeCell ref="T33:U33"/>
    <mergeCell ref="V33:W33"/>
    <mergeCell ref="L32:M32"/>
    <mergeCell ref="N32:O32"/>
    <mergeCell ref="P32:Q32"/>
    <mergeCell ref="R32:S32"/>
    <mergeCell ref="F31:G31"/>
    <mergeCell ref="H31:I31"/>
    <mergeCell ref="J31:K31"/>
    <mergeCell ref="L31:M31"/>
    <mergeCell ref="N31:O31"/>
    <mergeCell ref="P31:Q31"/>
    <mergeCell ref="R31:S31"/>
    <mergeCell ref="F30:G30"/>
    <mergeCell ref="H30:I30"/>
    <mergeCell ref="J30:K30"/>
    <mergeCell ref="L30:M30"/>
    <mergeCell ref="T31:U31"/>
    <mergeCell ref="V31:W31"/>
    <mergeCell ref="N30:O30"/>
    <mergeCell ref="P30:Q30"/>
    <mergeCell ref="R30:S30"/>
    <mergeCell ref="T30:U30"/>
    <mergeCell ref="A3:B3"/>
    <mergeCell ref="F28:G28"/>
    <mergeCell ref="H28:I28"/>
    <mergeCell ref="J28:K28"/>
    <mergeCell ref="A25:B25"/>
    <mergeCell ref="F12:G12"/>
    <mergeCell ref="H12:I12"/>
    <mergeCell ref="J12:K12"/>
    <mergeCell ref="L19:M19"/>
    <mergeCell ref="R28:S28"/>
    <mergeCell ref="R23:S23"/>
    <mergeCell ref="R24:S24"/>
    <mergeCell ref="T21:U21"/>
    <mergeCell ref="V21:W21"/>
    <mergeCell ref="L22:Q22"/>
    <mergeCell ref="R22:S22"/>
    <mergeCell ref="T22:U22"/>
    <mergeCell ref="V22:W22"/>
    <mergeCell ref="L21:Q21"/>
    <mergeCell ref="V20:W20"/>
    <mergeCell ref="F19:G19"/>
    <mergeCell ref="N17:O17"/>
    <mergeCell ref="P17:Q17"/>
    <mergeCell ref="R17:S17"/>
    <mergeCell ref="T17:U17"/>
    <mergeCell ref="V17:W17"/>
    <mergeCell ref="L16:M16"/>
    <mergeCell ref="N16:O16"/>
    <mergeCell ref="P16:Q16"/>
    <mergeCell ref="R16:S16"/>
    <mergeCell ref="T28:U28"/>
    <mergeCell ref="V28:W28"/>
    <mergeCell ref="L29:M29"/>
    <mergeCell ref="N29:O29"/>
    <mergeCell ref="P29:Q29"/>
    <mergeCell ref="R29:S29"/>
    <mergeCell ref="T29:U29"/>
    <mergeCell ref="V29:W29"/>
    <mergeCell ref="L28:M28"/>
    <mergeCell ref="N28:O28"/>
    <mergeCell ref="R21:S21"/>
    <mergeCell ref="V10:W10"/>
    <mergeCell ref="L11:M11"/>
    <mergeCell ref="N11:O11"/>
    <mergeCell ref="P11:Q11"/>
    <mergeCell ref="R11:S11"/>
    <mergeCell ref="T11:U11"/>
    <mergeCell ref="V11:W11"/>
    <mergeCell ref="N10:O10"/>
    <mergeCell ref="P10:Q10"/>
    <mergeCell ref="R10:S10"/>
    <mergeCell ref="T10:U10"/>
    <mergeCell ref="F10:G10"/>
    <mergeCell ref="H10:I10"/>
    <mergeCell ref="J10:K10"/>
    <mergeCell ref="L10:M10"/>
    <mergeCell ref="A43:B43"/>
    <mergeCell ref="T16:U16"/>
    <mergeCell ref="R20:U20"/>
    <mergeCell ref="L23:Q23"/>
    <mergeCell ref="L24:Q24"/>
    <mergeCell ref="P28:Q28"/>
    <mergeCell ref="F38:G38"/>
    <mergeCell ref="H38:I38"/>
    <mergeCell ref="T14:U14"/>
    <mergeCell ref="V14:W14"/>
    <mergeCell ref="L15:M15"/>
    <mergeCell ref="N15:O15"/>
    <mergeCell ref="P15:Q15"/>
    <mergeCell ref="R15:S15"/>
    <mergeCell ref="T15:U15"/>
    <mergeCell ref="V15:W15"/>
    <mergeCell ref="L14:M14"/>
    <mergeCell ref="F46:G46"/>
    <mergeCell ref="H46:I46"/>
    <mergeCell ref="V12:W12"/>
    <mergeCell ref="F13:G13"/>
    <mergeCell ref="H13:I13"/>
    <mergeCell ref="J13:K13"/>
    <mergeCell ref="L13:M13"/>
    <mergeCell ref="N13:O13"/>
    <mergeCell ref="P13:Q13"/>
    <mergeCell ref="R13:S13"/>
    <mergeCell ref="T13:U13"/>
    <mergeCell ref="V13:W13"/>
    <mergeCell ref="N12:O12"/>
    <mergeCell ref="P12:Q12"/>
    <mergeCell ref="R12:S12"/>
    <mergeCell ref="T12:U12"/>
    <mergeCell ref="L12:M12"/>
    <mergeCell ref="N14:O14"/>
    <mergeCell ref="P14:Q14"/>
    <mergeCell ref="R14:S14"/>
    <mergeCell ref="J38:K38"/>
    <mergeCell ref="H19:I19"/>
    <mergeCell ref="J19:K19"/>
    <mergeCell ref="F20:G20"/>
    <mergeCell ref="H20:I20"/>
    <mergeCell ref="J20:K20"/>
    <mergeCell ref="L20:O20"/>
    <mergeCell ref="P20:Q20"/>
    <mergeCell ref="N19:O19"/>
    <mergeCell ref="V16:W16"/>
    <mergeCell ref="F17:K17"/>
    <mergeCell ref="L17:M17"/>
  </mergeCells>
  <phoneticPr fontId="0" type="noConversion"/>
  <pageMargins left="0.25" right="0.25" top="1" bottom="1" header="0.25" footer="0.5"/>
  <pageSetup paperSize="5" scale="75"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996" r:id="rId4" name="Button 156">
              <controlPr defaultSize="0" print="0" autoFill="0" autoPict="0" macro="[0]!BACKTOMENU">
                <anchor moveWithCells="1">
                  <from>
                    <xdr:col>1</xdr:col>
                    <xdr:colOff>394607</xdr:colOff>
                    <xdr:row>0</xdr:row>
                    <xdr:rowOff>68036</xdr:rowOff>
                  </from>
                  <to>
                    <xdr:col>2</xdr:col>
                    <xdr:colOff>446314</xdr:colOff>
                    <xdr:row>1</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B12F-D640-4556-91CA-1CF064C0B764}">
  <sheetPr>
    <tabColor indexed="37"/>
  </sheetPr>
  <dimension ref="B21:B22"/>
  <sheetViews>
    <sheetView topLeftCell="A31" workbookViewId="0">
      <selection activeCell="K37" sqref="K37"/>
    </sheetView>
  </sheetViews>
  <sheetFormatPr defaultColWidth="9.15234375" defaultRowHeight="15.45"/>
  <cols>
    <col min="1" max="1" width="9.15234375" style="1366"/>
    <col min="2" max="2" width="10.69140625" style="1366" bestFit="1" customWidth="1"/>
    <col min="3" max="16384" width="9.15234375" style="1366"/>
  </cols>
  <sheetData>
    <row r="21" spans="2:2">
      <c r="B21" s="1366" t="s">
        <v>1126</v>
      </c>
    </row>
    <row r="22" spans="2:2">
      <c r="B22" s="1366" t="s">
        <v>1126</v>
      </c>
    </row>
  </sheetData>
  <sheetProtection sheet="1" selectLockedCells="1" selectUnlockedCells="1"/>
  <phoneticPr fontId="118" type="noConversion"/>
  <pageMargins left="0.75" right="0.75" top="1" bottom="1" header="0.5" footer="0.5"/>
  <pageSetup orientation="portrait" horizontalDpi="4294967293" verticalDpi="0"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6D4CE-D025-408A-9D52-12136E6CDE11}">
  <sheetPr codeName="Sheet24">
    <tabColor indexed="10"/>
  </sheetPr>
  <dimension ref="B1:N1647"/>
  <sheetViews>
    <sheetView showGridLines="0" showRowColHeaders="0" showZeros="0" view="pageBreakPreview" topLeftCell="A53" zoomScale="90" zoomScaleNormal="100" workbookViewId="0">
      <selection activeCell="B99" sqref="B99"/>
    </sheetView>
  </sheetViews>
  <sheetFormatPr defaultRowHeight="12.9"/>
  <cols>
    <col min="1" max="1" width="2.421875" customWidth="1"/>
  </cols>
  <sheetData>
    <row r="1" spans="2:13">
      <c r="B1" s="2176">
        <f>Summary!A2</f>
        <v>0</v>
      </c>
      <c r="C1" s="1792"/>
      <c r="D1" s="1792"/>
      <c r="E1" s="1792"/>
      <c r="F1" s="1792"/>
      <c r="G1" s="1792"/>
      <c r="H1" s="1792"/>
      <c r="I1" s="1792"/>
      <c r="J1" s="1792"/>
      <c r="K1" s="1792"/>
      <c r="L1" s="1792"/>
      <c r="M1" s="2061"/>
    </row>
    <row r="2" spans="2:13">
      <c r="B2" s="44"/>
      <c r="F2" s="1742" t="s">
        <v>1449</v>
      </c>
      <c r="G2" s="1742"/>
      <c r="H2" s="1742"/>
      <c r="I2" s="1742"/>
      <c r="J2" s="2143">
        <f>Summary!E1</f>
        <v>0</v>
      </c>
      <c r="K2" s="2143"/>
      <c r="L2" s="2143"/>
      <c r="M2" s="45"/>
    </row>
    <row r="3" spans="2:13">
      <c r="B3" s="44"/>
      <c r="M3" s="45"/>
    </row>
    <row r="4" spans="2:13">
      <c r="B4" s="44"/>
      <c r="M4" s="45"/>
    </row>
    <row r="5" spans="2:13" ht="13.1">
      <c r="B5" s="137" t="s">
        <v>634</v>
      </c>
      <c r="C5">
        <f>Summary!$C$6</f>
        <v>0</v>
      </c>
      <c r="H5" s="22" t="s">
        <v>636</v>
      </c>
      <c r="I5" s="22"/>
      <c r="K5" s="2158">
        <f>'Cost Control'!E5</f>
        <v>0</v>
      </c>
      <c r="L5" s="2158"/>
      <c r="M5" s="2159"/>
    </row>
    <row r="6" spans="2:13" ht="13.1">
      <c r="B6" s="44"/>
      <c r="H6" s="22"/>
      <c r="I6" s="22"/>
      <c r="M6" s="45"/>
    </row>
    <row r="7" spans="2:13" ht="13.1">
      <c r="B7" s="137" t="s">
        <v>635</v>
      </c>
      <c r="D7" s="2136">
        <f>Summary!C9</f>
        <v>0</v>
      </c>
      <c r="E7" s="2136"/>
      <c r="F7" s="2136"/>
      <c r="G7" s="2136"/>
      <c r="H7" s="2136"/>
      <c r="I7" s="22" t="s">
        <v>637</v>
      </c>
      <c r="J7" s="3">
        <v>1</v>
      </c>
      <c r="M7" s="45"/>
    </row>
    <row r="8" spans="2:13" ht="13.1">
      <c r="B8" s="137"/>
      <c r="D8" s="2136"/>
      <c r="E8" s="2136"/>
      <c r="F8" s="2136"/>
      <c r="G8" s="2136"/>
      <c r="H8" s="2136"/>
      <c r="I8" t="s">
        <v>63</v>
      </c>
      <c r="J8" s="2142">
        <f>Summary!E2</f>
        <v>0</v>
      </c>
      <c r="K8" s="2143"/>
      <c r="M8" s="45"/>
    </row>
    <row r="9" spans="2:13" ht="13.1">
      <c r="B9" s="137" t="s">
        <v>146</v>
      </c>
      <c r="D9">
        <f>Summary!$C$32</f>
        <v>0</v>
      </c>
      <c r="F9" s="1819" t="str">
        <f>IF(Summary!E31="No","PERFORATIONS:","OPEN HOLE INTERVAL:")</f>
        <v>OPEN HOLE INTERVAL:</v>
      </c>
      <c r="G9" s="1819"/>
      <c r="H9" s="2147">
        <f>Summary!$C$33</f>
        <v>0</v>
      </c>
      <c r="I9" s="2147"/>
      <c r="J9" s="2177">
        <f>Summary!C34</f>
        <v>0</v>
      </c>
      <c r="K9" s="2147"/>
      <c r="L9" s="2147">
        <f>Summary!C35</f>
        <v>0</v>
      </c>
      <c r="M9" s="2154"/>
    </row>
    <row r="10" spans="2:13">
      <c r="B10" s="44"/>
      <c r="H10" s="2153"/>
      <c r="I10" s="2153"/>
      <c r="J10" s="1737"/>
      <c r="K10" s="1737"/>
      <c r="L10" s="1737"/>
      <c r="M10" s="1791"/>
    </row>
    <row r="11" spans="2:13" ht="13.1">
      <c r="B11" s="44"/>
      <c r="D11">
        <f>Summary!F32</f>
        <v>0</v>
      </c>
      <c r="F11" s="1819" t="str">
        <f>IF(Summary!G31="No","PERFORATIONS:",IF(Summary!G31=0," ","OPEN HOLE INTERVAL:"))</f>
        <v xml:space="preserve"> </v>
      </c>
      <c r="G11" s="1819"/>
      <c r="H11" s="2137">
        <f>Summary!F33</f>
        <v>0</v>
      </c>
      <c r="I11" s="2137"/>
      <c r="J11" s="2137">
        <f>Summary!F34</f>
        <v>0</v>
      </c>
      <c r="K11" s="2137"/>
      <c r="L11" s="2137">
        <f>Summary!F35</f>
        <v>0</v>
      </c>
      <c r="M11" s="2155"/>
    </row>
    <row r="12" spans="2:13" ht="13.1">
      <c r="B12" s="44"/>
      <c r="D12">
        <f>Summary!H32</f>
        <v>0</v>
      </c>
      <c r="F12" s="1819" t="str">
        <f>IF(Summary!I31="No","PERFORATIONS:",IF(Summary!I31=0," ","OPEN HOLE INTERVAL:"))</f>
        <v xml:space="preserve"> </v>
      </c>
      <c r="G12" s="1819"/>
      <c r="H12" s="1737">
        <f>Summary!H33</f>
        <v>0</v>
      </c>
      <c r="I12" s="1737"/>
      <c r="J12" s="1737">
        <f>Summary!H34</f>
        <v>0</v>
      </c>
      <c r="K12" s="1737"/>
      <c r="L12" s="1737">
        <f>Summary!H35</f>
        <v>0</v>
      </c>
      <c r="M12" s="1791"/>
    </row>
    <row r="13" spans="2:13">
      <c r="B13" s="44"/>
      <c r="M13" s="45"/>
    </row>
    <row r="14" spans="2:13" ht="13.5" customHeight="1" thickBot="1">
      <c r="B14" s="46"/>
      <c r="C14" s="1890" t="s">
        <v>638</v>
      </c>
      <c r="D14" s="1890"/>
      <c r="E14" s="1890"/>
      <c r="F14" s="1890"/>
      <c r="G14" s="1890"/>
      <c r="H14" s="1890"/>
      <c r="I14" s="1890"/>
      <c r="J14" s="1890"/>
      <c r="K14" s="1890"/>
      <c r="L14" s="1890"/>
      <c r="M14" s="45"/>
    </row>
    <row r="15" spans="2:13" s="518" customFormat="1" ht="16.100000000000001" thickBot="1">
      <c r="B15" s="1128"/>
      <c r="C15" s="484"/>
      <c r="D15" s="484"/>
      <c r="E15" s="484"/>
      <c r="F15" s="484"/>
      <c r="G15" s="484"/>
      <c r="H15" s="484"/>
      <c r="I15" s="2138" t="s">
        <v>61</v>
      </c>
      <c r="J15" s="2139"/>
      <c r="K15" s="2139"/>
      <c r="L15" s="2139"/>
      <c r="M15" s="2140"/>
    </row>
    <row r="16" spans="2:13" s="518" customFormat="1" ht="16.100000000000001" thickBot="1">
      <c r="B16" s="652"/>
      <c r="C16" s="484"/>
      <c r="D16" s="484"/>
      <c r="E16" s="484"/>
      <c r="F16" s="484"/>
      <c r="G16" s="484"/>
      <c r="H16" s="484"/>
      <c r="I16" s="2141" t="s">
        <v>1385</v>
      </c>
      <c r="J16" s="2141"/>
      <c r="K16" s="1159" t="s">
        <v>62</v>
      </c>
      <c r="L16" s="2144" t="s">
        <v>1454</v>
      </c>
      <c r="M16" s="2144"/>
    </row>
    <row r="17" spans="2:13" s="518" customFormat="1" ht="16.100000000000001" thickBot="1">
      <c r="B17" s="652"/>
      <c r="C17" s="484"/>
      <c r="D17" s="484"/>
      <c r="E17" s="484"/>
      <c r="F17" s="484"/>
      <c r="G17" s="484"/>
      <c r="H17" s="484"/>
      <c r="I17" s="2145" t="s">
        <v>1538</v>
      </c>
      <c r="J17" s="2146"/>
      <c r="K17" s="1160">
        <f>'Cost Control'!A7</f>
        <v>0</v>
      </c>
      <c r="L17" s="2156">
        <f>SUM('Cost Control'!E7:E16)</f>
        <v>0</v>
      </c>
      <c r="M17" s="2157"/>
    </row>
    <row r="18" spans="2:13" s="518" customFormat="1" ht="16.100000000000001" thickBot="1">
      <c r="B18" s="652"/>
      <c r="C18" s="484"/>
      <c r="D18" s="484"/>
      <c r="E18" s="484"/>
      <c r="F18" s="484"/>
      <c r="G18" s="484"/>
      <c r="H18" s="484"/>
      <c r="I18" s="2145" t="s">
        <v>1539</v>
      </c>
      <c r="J18" s="2146"/>
      <c r="K18" s="1161">
        <f>'Cost Control'!A53</f>
        <v>0</v>
      </c>
      <c r="L18" s="2151">
        <f>SUM('Cost Control'!E53:E58)</f>
        <v>0</v>
      </c>
      <c r="M18" s="2152"/>
    </row>
    <row r="19" spans="2:13" s="518" customFormat="1" ht="16.100000000000001" thickBot="1">
      <c r="B19" s="652"/>
      <c r="C19" s="484"/>
      <c r="D19" s="484"/>
      <c r="E19" s="484"/>
      <c r="F19" s="484"/>
      <c r="G19" s="484"/>
      <c r="H19" s="484"/>
      <c r="I19" s="2145" t="s">
        <v>903</v>
      </c>
      <c r="J19" s="2146"/>
      <c r="K19" s="1161">
        <f>'Cost Control'!A40</f>
        <v>0</v>
      </c>
      <c r="L19" s="2151">
        <f>SUM('Cost Control'!E40:E51)</f>
        <v>0</v>
      </c>
      <c r="M19" s="2152"/>
    </row>
    <row r="20" spans="2:13" s="518" customFormat="1" ht="16.100000000000001" thickBot="1">
      <c r="B20" s="652"/>
      <c r="C20" s="484"/>
      <c r="D20" s="484"/>
      <c r="E20" s="484"/>
      <c r="F20" s="484"/>
      <c r="G20" s="484"/>
      <c r="H20" s="484"/>
      <c r="I20" s="2145" t="s">
        <v>1540</v>
      </c>
      <c r="J20" s="2146"/>
      <c r="K20" s="1161">
        <f>'Cost Control'!A60</f>
        <v>0</v>
      </c>
      <c r="L20" s="2151">
        <f>SUM('Cost Control'!E60:E66)</f>
        <v>0</v>
      </c>
      <c r="M20" s="2152"/>
    </row>
    <row r="21" spans="2:13" s="518" customFormat="1" ht="16.100000000000001" thickBot="1">
      <c r="B21" s="652"/>
      <c r="C21" s="484"/>
      <c r="D21" s="484"/>
      <c r="E21" s="484"/>
      <c r="F21" s="484"/>
      <c r="G21" s="484"/>
      <c r="H21" s="484"/>
      <c r="I21" s="2145" t="s">
        <v>1451</v>
      </c>
      <c r="J21" s="2146"/>
      <c r="K21" s="1161">
        <f>'Cost Control'!A68</f>
        <v>0</v>
      </c>
      <c r="L21" s="2151">
        <f>SUM('Cost Control'!E68:E73)</f>
        <v>0</v>
      </c>
      <c r="M21" s="2152"/>
    </row>
    <row r="22" spans="2:13" s="518" customFormat="1" ht="16.100000000000001" thickBot="1">
      <c r="B22" s="652"/>
      <c r="C22" s="484"/>
      <c r="D22" s="484"/>
      <c r="E22" s="484"/>
      <c r="F22" s="484"/>
      <c r="G22" s="484"/>
      <c r="H22" s="484"/>
      <c r="I22" s="2178" t="str">
        <f>'Cost Control'!B18</f>
        <v>Service Rig</v>
      </c>
      <c r="J22" s="2146"/>
      <c r="K22" s="1161">
        <f>'Cost Control'!A18</f>
        <v>0</v>
      </c>
      <c r="L22" s="2151">
        <f>'Cost Control'!E18</f>
        <v>0</v>
      </c>
      <c r="M22" s="2152"/>
    </row>
    <row r="23" spans="2:13" s="518" customFormat="1" ht="16.100000000000001" thickBot="1">
      <c r="B23" s="652"/>
      <c r="C23" s="484"/>
      <c r="D23" s="484"/>
      <c r="E23" s="484"/>
      <c r="F23" s="484"/>
      <c r="G23" s="484"/>
      <c r="H23" s="484"/>
      <c r="I23" s="2178" t="str">
        <f>'Cost Control'!B19</f>
        <v>Anchors</v>
      </c>
      <c r="J23" s="2146"/>
      <c r="K23" s="1161">
        <f>'Cost Control'!A19</f>
        <v>0</v>
      </c>
      <c r="L23" s="2151">
        <f>'Cost Control'!E19</f>
        <v>0</v>
      </c>
      <c r="M23" s="2152"/>
    </row>
    <row r="24" spans="2:13" s="518" customFormat="1" ht="16.100000000000001" thickBot="1">
      <c r="B24" s="652"/>
      <c r="C24" s="484"/>
      <c r="D24" s="484"/>
      <c r="E24" s="484"/>
      <c r="F24" s="484"/>
      <c r="G24" s="484"/>
      <c r="H24" s="484"/>
      <c r="I24" s="2178" t="str">
        <f>'Cost Control'!B20</f>
        <v>Electric Wireline</v>
      </c>
      <c r="J24" s="2146"/>
      <c r="K24" s="1161">
        <f>'Cost Control'!A20</f>
        <v>0</v>
      </c>
      <c r="L24" s="2151">
        <f>'Cost Control'!E20</f>
        <v>0</v>
      </c>
      <c r="M24" s="2152"/>
    </row>
    <row r="25" spans="2:13" s="518" customFormat="1" ht="16.100000000000001" thickBot="1">
      <c r="B25" s="652"/>
      <c r="C25" s="484"/>
      <c r="D25" s="484"/>
      <c r="E25" s="484"/>
      <c r="F25" s="484"/>
      <c r="G25" s="484"/>
      <c r="H25" s="484"/>
      <c r="I25" s="2178" t="str">
        <f>'Cost Control'!B21</f>
        <v>Slickline</v>
      </c>
      <c r="J25" s="2146"/>
      <c r="K25" s="1161">
        <f>'Cost Control'!A21</f>
        <v>0</v>
      </c>
      <c r="L25" s="2151">
        <f>'Cost Control'!E21</f>
        <v>0</v>
      </c>
      <c r="M25" s="2152"/>
    </row>
    <row r="26" spans="2:13" s="518" customFormat="1" ht="16.100000000000001" thickBot="1">
      <c r="B26" s="652"/>
      <c r="C26" s="484"/>
      <c r="D26" s="484"/>
      <c r="E26" s="484"/>
      <c r="F26" s="484"/>
      <c r="G26" s="484"/>
      <c r="H26" s="484"/>
      <c r="I26" s="2178" t="str">
        <f>'Cost Control'!B22</f>
        <v>Acidizing</v>
      </c>
      <c r="J26" s="2146"/>
      <c r="K26" s="1161">
        <f>'Cost Control'!A22</f>
        <v>0</v>
      </c>
      <c r="L26" s="2151">
        <f>'Cost Control'!E22</f>
        <v>0</v>
      </c>
      <c r="M26" s="2152"/>
    </row>
    <row r="27" spans="2:13" s="518" customFormat="1" ht="16.100000000000001" thickBot="1">
      <c r="B27" s="652"/>
      <c r="C27" s="484"/>
      <c r="D27" s="484"/>
      <c r="E27" s="484"/>
      <c r="F27" s="484"/>
      <c r="G27" s="484"/>
      <c r="H27" s="484"/>
      <c r="I27" s="2178" t="str">
        <f>'Cost Control'!B23</f>
        <v>Fracturing</v>
      </c>
      <c r="J27" s="2146"/>
      <c r="K27" s="1161">
        <f>'Cost Control'!A23</f>
        <v>0</v>
      </c>
      <c r="L27" s="2151">
        <f>'Cost Control'!E23</f>
        <v>0</v>
      </c>
      <c r="M27" s="2152"/>
    </row>
    <row r="28" spans="2:13" s="518" customFormat="1" ht="16.100000000000001" thickBot="1">
      <c r="B28" s="652"/>
      <c r="C28" s="484"/>
      <c r="D28" s="484"/>
      <c r="E28" s="484"/>
      <c r="F28" s="484"/>
      <c r="G28" s="484"/>
      <c r="H28" s="484"/>
      <c r="I28" s="2178" t="str">
        <f>'Cost Control'!B24</f>
        <v>Cementing</v>
      </c>
      <c r="J28" s="2146"/>
      <c r="K28" s="1161">
        <f>'Cost Control'!A24</f>
        <v>0</v>
      </c>
      <c r="L28" s="2151">
        <f>'Cost Control'!E24</f>
        <v>0</v>
      </c>
      <c r="M28" s="2152"/>
    </row>
    <row r="29" spans="2:13" s="518" customFormat="1" ht="16.100000000000001" thickBot="1">
      <c r="B29" s="652"/>
      <c r="C29" s="484"/>
      <c r="D29" s="484"/>
      <c r="E29" s="484"/>
      <c r="F29" s="484"/>
      <c r="G29" s="484"/>
      <c r="H29" s="484"/>
      <c r="I29" s="2178" t="str">
        <f>'Cost Control'!B25</f>
        <v>Coiled Tubing</v>
      </c>
      <c r="J29" s="2146"/>
      <c r="K29" s="1161">
        <f>'Cost Control'!A25</f>
        <v>0</v>
      </c>
      <c r="L29" s="2151">
        <f>'Cost Control'!E25</f>
        <v>0</v>
      </c>
      <c r="M29" s="2152"/>
    </row>
    <row r="30" spans="2:13" s="518" customFormat="1" ht="16.100000000000001" thickBot="1">
      <c r="B30" s="652"/>
      <c r="C30" s="484"/>
      <c r="D30" s="484"/>
      <c r="E30" s="484"/>
      <c r="F30" s="484"/>
      <c r="G30" s="484"/>
      <c r="H30" s="484"/>
      <c r="I30" s="2178" t="str">
        <f>'Cost Control'!B26</f>
        <v>Testing</v>
      </c>
      <c r="J30" s="2146"/>
      <c r="K30" s="1161">
        <f>'Cost Control'!A26</f>
        <v>0</v>
      </c>
      <c r="L30" s="2151">
        <f>'Cost Control'!E26</f>
        <v>0</v>
      </c>
      <c r="M30" s="2152"/>
    </row>
    <row r="31" spans="2:13" s="518" customFormat="1" ht="16.100000000000001" thickBot="1">
      <c r="B31" s="652"/>
      <c r="C31" s="484"/>
      <c r="D31" s="484"/>
      <c r="E31" s="484"/>
      <c r="F31" s="484"/>
      <c r="G31" s="484"/>
      <c r="H31" s="484"/>
      <c r="I31" s="2178" t="str">
        <f>'Cost Control'!B27</f>
        <v>Cat Work</v>
      </c>
      <c r="J31" s="2146"/>
      <c r="K31" s="1161">
        <f>'Cost Control'!A27</f>
        <v>0</v>
      </c>
      <c r="L31" s="2151">
        <f>'Cost Control'!E27</f>
        <v>0</v>
      </c>
      <c r="M31" s="2152"/>
    </row>
    <row r="32" spans="2:13" s="518" customFormat="1" ht="16.100000000000001" thickBot="1">
      <c r="B32" s="652"/>
      <c r="C32" s="484"/>
      <c r="D32" s="484"/>
      <c r="E32" s="484"/>
      <c r="F32" s="484"/>
      <c r="G32" s="484"/>
      <c r="H32" s="484"/>
      <c r="I32" s="2178" t="str">
        <f>'Cost Control'!B28</f>
        <v>Safety Equipment</v>
      </c>
      <c r="J32" s="2146"/>
      <c r="K32" s="1161">
        <f>'Cost Control'!A28</f>
        <v>0</v>
      </c>
      <c r="L32" s="2151">
        <f>'Cost Control'!E28</f>
        <v>0</v>
      </c>
      <c r="M32" s="2152"/>
    </row>
    <row r="33" spans="2:14" s="518" customFormat="1" ht="16.100000000000001" thickBot="1">
      <c r="B33" s="652"/>
      <c r="C33" s="484"/>
      <c r="D33" s="484"/>
      <c r="E33" s="484"/>
      <c r="F33" s="484"/>
      <c r="G33" s="484"/>
      <c r="H33" s="484"/>
      <c r="I33" s="2178" t="str">
        <f>'Cost Control'!B29</f>
        <v>Hot Oil or Pump Unit</v>
      </c>
      <c r="J33" s="2146"/>
      <c r="K33" s="1161">
        <f>'Cost Control'!A29</f>
        <v>0</v>
      </c>
      <c r="L33" s="2151">
        <f>'Cost Control'!E29</f>
        <v>0</v>
      </c>
      <c r="M33" s="2152"/>
    </row>
    <row r="34" spans="2:14" s="518" customFormat="1" ht="16.100000000000001" thickBot="1">
      <c r="B34" s="652"/>
      <c r="C34" s="484"/>
      <c r="D34" s="484"/>
      <c r="E34" s="484"/>
      <c r="F34" s="484"/>
      <c r="G34" s="484"/>
      <c r="H34" s="484"/>
      <c r="I34" s="2178" t="str">
        <f>'Cost Control'!B30</f>
        <v>Trucking/Delivery</v>
      </c>
      <c r="J34" s="2146"/>
      <c r="K34" s="1161">
        <f>'Cost Control'!A30</f>
        <v>0</v>
      </c>
      <c r="L34" s="2151">
        <f>'Cost Control'!E30</f>
        <v>0</v>
      </c>
      <c r="M34" s="2152"/>
    </row>
    <row r="35" spans="2:14" s="518" customFormat="1" ht="16.100000000000001" thickBot="1">
      <c r="B35" s="652"/>
      <c r="C35" s="484"/>
      <c r="D35" s="484"/>
      <c r="E35" s="484"/>
      <c r="F35" s="484"/>
      <c r="G35" s="484"/>
      <c r="H35" s="484"/>
      <c r="I35" s="2178" t="str">
        <f>'Cost Control'!B31</f>
        <v>Tank Truck</v>
      </c>
      <c r="J35" s="2146"/>
      <c r="K35" s="1161">
        <f>'Cost Control'!A31</f>
        <v>0</v>
      </c>
      <c r="L35" s="2151">
        <f>'Cost Control'!E31</f>
        <v>0</v>
      </c>
      <c r="M35" s="2152"/>
    </row>
    <row r="36" spans="2:14" s="518" customFormat="1" ht="16.100000000000001" thickBot="1">
      <c r="B36" s="652"/>
      <c r="C36" s="484"/>
      <c r="D36" s="484"/>
      <c r="E36" s="484"/>
      <c r="F36" s="484"/>
      <c r="G36" s="484"/>
      <c r="H36" s="484"/>
      <c r="I36" s="2178" t="str">
        <f>'Cost Control'!B32</f>
        <v>Vacuum Truck</v>
      </c>
      <c r="J36" s="2146"/>
      <c r="K36" s="1161">
        <f>'Cost Control'!A32</f>
        <v>0</v>
      </c>
      <c r="L36" s="2151">
        <f>'Cost Control'!E32</f>
        <v>0</v>
      </c>
      <c r="M36" s="2152"/>
    </row>
    <row r="37" spans="2:14" s="518" customFormat="1" ht="16.100000000000001" thickBot="1">
      <c r="B37" s="652"/>
      <c r="C37" s="484"/>
      <c r="D37" s="484"/>
      <c r="E37" s="484"/>
      <c r="F37" s="484"/>
      <c r="G37" s="484"/>
      <c r="H37" s="484"/>
      <c r="I37" s="2178" t="str">
        <f>'Cost Control'!B33</f>
        <v>Misc.</v>
      </c>
      <c r="J37" s="2146"/>
      <c r="K37" s="1161">
        <f>'Cost Control'!A33</f>
        <v>0</v>
      </c>
      <c r="L37" s="2151">
        <f>'Cost Control'!E33</f>
        <v>0</v>
      </c>
      <c r="M37" s="2152"/>
    </row>
    <row r="38" spans="2:14" s="518" customFormat="1" ht="16.100000000000001" thickBot="1">
      <c r="B38" s="652"/>
      <c r="C38" s="484"/>
      <c r="D38" s="484"/>
      <c r="E38" s="484"/>
      <c r="F38" s="484"/>
      <c r="G38" s="484"/>
      <c r="H38" s="484"/>
      <c r="I38" s="2178" t="str">
        <f>'Cost Control'!B34</f>
        <v>Disposal</v>
      </c>
      <c r="J38" s="2146"/>
      <c r="K38" s="1161">
        <f>'Cost Control'!A34</f>
        <v>0</v>
      </c>
      <c r="L38" s="2151">
        <f>'Cost Control'!E34</f>
        <v>0</v>
      </c>
      <c r="M38" s="2152"/>
    </row>
    <row r="39" spans="2:14" s="518" customFormat="1" ht="16.100000000000001" thickBot="1">
      <c r="B39" s="652"/>
      <c r="C39" s="484"/>
      <c r="D39" s="484"/>
      <c r="E39" s="484"/>
      <c r="F39" s="484"/>
      <c r="G39" s="484"/>
      <c r="H39" s="484"/>
      <c r="I39" s="2178" t="str">
        <f>'Cost Control'!B35</f>
        <v>Stuck &amp; Tow</v>
      </c>
      <c r="J39" s="2146"/>
      <c r="K39" s="1161">
        <f>'Cost Control'!A35</f>
        <v>0</v>
      </c>
      <c r="L39" s="2151">
        <f>'Cost Control'!E35</f>
        <v>0</v>
      </c>
      <c r="M39" s="2152"/>
    </row>
    <row r="40" spans="2:14" s="518" customFormat="1" ht="16.100000000000001" thickBot="1">
      <c r="B40" s="652"/>
      <c r="C40" s="484"/>
      <c r="D40" s="484"/>
      <c r="E40" s="484"/>
      <c r="F40" s="484"/>
      <c r="G40" s="484"/>
      <c r="H40" s="484"/>
      <c r="I40" s="2178">
        <f>'Cost Control'!B36</f>
        <v>0</v>
      </c>
      <c r="J40" s="2146"/>
      <c r="K40" s="1161">
        <f>'Cost Control'!A36</f>
        <v>0</v>
      </c>
      <c r="L40" s="2151">
        <f>'Cost Control'!E36</f>
        <v>0</v>
      </c>
      <c r="M40" s="2152"/>
    </row>
    <row r="41" spans="2:14" s="518" customFormat="1" ht="16.100000000000001" thickBot="1">
      <c r="B41" s="652"/>
      <c r="C41" s="484"/>
      <c r="D41" s="484"/>
      <c r="E41" s="484"/>
      <c r="F41" s="484"/>
      <c r="G41" s="484"/>
      <c r="H41" s="484"/>
      <c r="I41" s="2178">
        <f>'Cost Control'!B37</f>
        <v>0</v>
      </c>
      <c r="J41" s="2146"/>
      <c r="K41" s="1161">
        <f>'Cost Control'!A37</f>
        <v>0</v>
      </c>
      <c r="L41" s="2151">
        <f>'Cost Control'!E37</f>
        <v>0</v>
      </c>
      <c r="M41" s="2152"/>
    </row>
    <row r="42" spans="2:14" s="518" customFormat="1" ht="15.45">
      <c r="B42" s="652"/>
      <c r="C42" s="484"/>
      <c r="D42" s="484"/>
      <c r="E42" s="484"/>
      <c r="F42" s="484"/>
      <c r="G42" s="484"/>
      <c r="H42" s="484"/>
      <c r="I42" s="2178">
        <f>'Cost Control'!B38</f>
        <v>0</v>
      </c>
      <c r="J42" s="2146"/>
      <c r="K42" s="1161">
        <f>'Cost Control'!A38</f>
        <v>0</v>
      </c>
      <c r="L42" s="2151">
        <f>'Cost Control'!E38</f>
        <v>0</v>
      </c>
      <c r="M42" s="2152"/>
      <c r="N42" s="1367"/>
    </row>
    <row r="43" spans="2:14" s="518" customFormat="1" ht="16.100000000000001" thickBot="1">
      <c r="B43" s="652"/>
      <c r="C43" s="484"/>
      <c r="D43" s="484"/>
      <c r="E43" s="484"/>
      <c r="F43" s="484"/>
      <c r="G43" s="484"/>
      <c r="H43" s="484"/>
      <c r="I43" s="2179"/>
      <c r="J43" s="2180"/>
      <c r="K43" s="1161">
        <f>'Cost Control'!A39</f>
        <v>0</v>
      </c>
      <c r="L43" s="2151">
        <f>'Cost Control'!E39</f>
        <v>0</v>
      </c>
      <c r="M43" s="2152"/>
    </row>
    <row r="44" spans="2:14" ht="13.1">
      <c r="B44" s="141" t="s">
        <v>695</v>
      </c>
      <c r="C44" s="50"/>
      <c r="D44" s="50"/>
      <c r="E44" s="2150">
        <f>K60</f>
        <v>1</v>
      </c>
      <c r="F44" s="2150"/>
      <c r="G44" s="50"/>
      <c r="H44" s="50"/>
      <c r="I44" s="50"/>
      <c r="J44" s="50"/>
      <c r="K44" s="50"/>
      <c r="L44" s="50"/>
      <c r="M44" s="43"/>
    </row>
    <row r="45" spans="2:14">
      <c r="B45" s="1628"/>
      <c r="C45" s="1629"/>
      <c r="D45" s="1629"/>
      <c r="E45" s="1629"/>
      <c r="F45" s="1629"/>
      <c r="G45" s="1629"/>
      <c r="H45" s="1629"/>
      <c r="I45" s="1629"/>
      <c r="J45" s="1629"/>
      <c r="K45" s="1629"/>
      <c r="L45" s="1629"/>
      <c r="M45" s="1630"/>
    </row>
    <row r="46" spans="2:14" ht="13.5" thickBot="1">
      <c r="B46" s="1480"/>
      <c r="C46" s="1479"/>
      <c r="D46" s="1479"/>
      <c r="E46" s="1479"/>
      <c r="F46" s="1479"/>
      <c r="G46" s="1479"/>
      <c r="H46" s="1631"/>
      <c r="I46" s="1631"/>
      <c r="J46" s="1631"/>
      <c r="K46" s="1631"/>
      <c r="L46" s="1631"/>
      <c r="M46" s="1555"/>
    </row>
    <row r="47" spans="2:14" ht="15.45">
      <c r="B47" s="307" t="s">
        <v>645</v>
      </c>
      <c r="C47" s="308"/>
      <c r="D47" s="2135">
        <f>Summary!C14</f>
        <v>0</v>
      </c>
      <c r="E47" s="2135"/>
      <c r="F47" s="309" t="s">
        <v>647</v>
      </c>
      <c r="G47" s="310">
        <f>Summary!H14</f>
        <v>0</v>
      </c>
      <c r="H47" s="172" t="s">
        <v>648</v>
      </c>
      <c r="I47" s="472">
        <v>0</v>
      </c>
      <c r="J47" s="2173" t="s">
        <v>650</v>
      </c>
      <c r="K47" s="2173"/>
      <c r="L47" s="1378"/>
      <c r="M47" s="486" t="s">
        <v>1601</v>
      </c>
    </row>
    <row r="48" spans="2:14">
      <c r="B48" s="44" t="s">
        <v>644</v>
      </c>
      <c r="E48" t="s">
        <v>655</v>
      </c>
      <c r="G48">
        <f>IF('Daily Load'!P20="Yes",D9,IF('Daily Load'!V20="Yes",D11,D12))</f>
        <v>0</v>
      </c>
      <c r="I48" s="195" t="s">
        <v>651</v>
      </c>
      <c r="L48" s="2170">
        <f>'Cost Control'!E74</f>
        <v>0</v>
      </c>
      <c r="M48" s="2171"/>
    </row>
    <row r="49" spans="2:13">
      <c r="B49" s="44"/>
      <c r="E49" s="223" t="s">
        <v>193</v>
      </c>
      <c r="F49" s="223" t="s">
        <v>194</v>
      </c>
      <c r="G49" s="223" t="s">
        <v>930</v>
      </c>
      <c r="H49" s="1627" t="s">
        <v>587</v>
      </c>
      <c r="I49" s="31" t="s">
        <v>652</v>
      </c>
      <c r="L49" s="2170">
        <f>'Cost Control'!E75</f>
        <v>0</v>
      </c>
      <c r="M49" s="2171"/>
    </row>
    <row r="50" spans="2:13" ht="13.5" thickBot="1">
      <c r="B50" s="977" t="s">
        <v>1614</v>
      </c>
      <c r="E50" s="361">
        <f>IF(E54&gt;0,E52-E54,E52+E53+E51)</f>
        <v>0</v>
      </c>
      <c r="F50" s="361">
        <f>IF(F54&gt;0,F52-F54,F52+F53+F51)</f>
        <v>0</v>
      </c>
      <c r="G50" s="361">
        <f>IF(G54&gt;0,G52-G54,G52+G53+G51)</f>
        <v>0</v>
      </c>
      <c r="H50" t="s">
        <v>1524</v>
      </c>
      <c r="I50" s="31" t="s">
        <v>653</v>
      </c>
      <c r="L50" s="2163">
        <f>'Cost Control'!E76</f>
        <v>0</v>
      </c>
      <c r="M50" s="2164"/>
    </row>
    <row r="51" spans="2:13" ht="13.5" thickTop="1">
      <c r="B51" s="311" t="s">
        <v>1615</v>
      </c>
      <c r="E51" s="361">
        <f>IF('Daily Load'!P20="Yes",'Daily Load'!L15,IF('Daily Load'!V20="Yes",'Daily Load'!R15,'Daily Load'!X15))</f>
        <v>0</v>
      </c>
      <c r="F51" s="361">
        <f>IF('Daily Load'!P20="Yes",'Daily Load'!N15,IF('Daily Load'!V20="Yes",'Daily Load'!T15,'Daily Load'!Z15))</f>
        <v>0</v>
      </c>
      <c r="G51" s="361">
        <f>IF('Daily Load'!P20="Yes",'Daily Load'!P15,IF('Daily Load'!V20="Yes",'Daily Load'!V15,'Daily Load'!AB15))</f>
        <v>0</v>
      </c>
      <c r="H51" t="str">
        <f>H50</f>
        <v>bbl</v>
      </c>
      <c r="I51" s="31"/>
      <c r="L51" s="521"/>
      <c r="M51" s="522"/>
    </row>
    <row r="52" spans="2:13">
      <c r="B52" s="977" t="s">
        <v>1616</v>
      </c>
      <c r="E52" s="361">
        <f>IF('Daily Load'!F19&lt;0,0,'Daily Load'!F19)</f>
        <v>0</v>
      </c>
      <c r="F52" s="361">
        <f>IF('Daily Load'!H19&lt;0,0,'Daily Load'!H19)</f>
        <v>0</v>
      </c>
      <c r="G52" s="361">
        <f>IF('Daily Load'!J19&lt;0,0,'Daily Load'!J19)</f>
        <v>0</v>
      </c>
      <c r="H52" t="str">
        <f>H51</f>
        <v>bbl</v>
      </c>
      <c r="I52" s="33" t="s">
        <v>654</v>
      </c>
      <c r="J52" s="19"/>
      <c r="K52" s="19"/>
      <c r="L52" s="2165">
        <f>'AFE Summary'!I64</f>
        <v>0</v>
      </c>
      <c r="M52" s="2166"/>
    </row>
    <row r="53" spans="2:13">
      <c r="B53" s="44" t="s">
        <v>640</v>
      </c>
      <c r="E53" s="361">
        <f>IF('Daily Load'!P20="Yes",'Daily Load'!L17,IF('Daily Load'!V20="Yes",'Daily Load'!R17,'Daily Load'!X17))</f>
        <v>0</v>
      </c>
      <c r="F53" s="361">
        <f>IF('Daily Load'!P20="Yes",'Daily Load'!N17,IF('Daily Load'!V20="Yes",'Daily Load'!T17,'Daily Load'!Z17))</f>
        <v>0</v>
      </c>
      <c r="G53" s="361">
        <f>IF('Daily Load'!P20="Yes",'Daily Load'!P17,IF('Daily Load'!V20="Yes",'Daily Load'!V17,'Daily Load'!AB17))</f>
        <v>0</v>
      </c>
      <c r="H53" t="str">
        <f>H52</f>
        <v>bbl</v>
      </c>
      <c r="I53" s="2160" t="str">
        <f>CONCATENATE(Summary!C63," ",Summary!F63)</f>
        <v xml:space="preserve"> </v>
      </c>
      <c r="J53" s="2059"/>
      <c r="K53" s="2161"/>
      <c r="L53" s="2174" t="str">
        <f>CONCATENATE(Summary!C62," ",Summary!D62)</f>
        <v xml:space="preserve">0 </v>
      </c>
      <c r="M53" s="2175"/>
    </row>
    <row r="54" spans="2:13" ht="13.5" thickBot="1">
      <c r="B54" s="46" t="s">
        <v>639</v>
      </c>
      <c r="C54" s="21"/>
      <c r="D54" s="21"/>
      <c r="E54" s="380">
        <f>IF('Daily Load'!P20="Yes",'Daily Load'!L18,IF('Daily Load'!V20="Yes",'Daily Load'!R18,'Daily Load'!X18))</f>
        <v>0</v>
      </c>
      <c r="F54" s="380">
        <f>IF('Daily Load'!P20="Yes",'Daily Load'!N18,IF('Daily Load'!V20="Yes",'Daily Load'!T18,'Daily Load'!Z18))</f>
        <v>0</v>
      </c>
      <c r="G54" s="380">
        <f>IF('Daily Load'!P20="Yes",'Daily Load'!P18,IF('Daily Load'!V20="Yes",'Daily Load'!V18,'Daily Load'!AB18))</f>
        <v>0</v>
      </c>
      <c r="H54" s="21" t="str">
        <f>H53</f>
        <v>bbl</v>
      </c>
      <c r="I54" s="2167" t="s">
        <v>677</v>
      </c>
      <c r="J54" s="2168"/>
      <c r="K54" s="2169"/>
      <c r="L54" s="2167" t="s">
        <v>826</v>
      </c>
      <c r="M54" s="2172"/>
    </row>
    <row r="55" spans="2:13" ht="13.5" thickBot="1">
      <c r="B55" s="28"/>
      <c r="C55" s="28"/>
      <c r="D55" s="28"/>
      <c r="E55" s="743"/>
      <c r="F55" s="743"/>
      <c r="G55" s="743"/>
      <c r="H55" s="28"/>
      <c r="I55" s="744"/>
      <c r="J55" s="744"/>
      <c r="K55" s="744"/>
      <c r="L55" s="744"/>
      <c r="M55" s="744"/>
    </row>
    <row r="56" spans="2:13">
      <c r="B56" s="2176">
        <f>B1</f>
        <v>0</v>
      </c>
      <c r="C56" s="1792"/>
      <c r="D56" s="1792"/>
      <c r="E56" s="1792"/>
      <c r="F56" s="1792"/>
      <c r="G56" s="1792"/>
      <c r="H56" s="1792"/>
      <c r="I56" s="1792"/>
      <c r="J56" s="1792"/>
      <c r="K56" s="1792"/>
      <c r="L56" s="1792"/>
      <c r="M56" s="2061"/>
    </row>
    <row r="57" spans="2:13">
      <c r="B57" s="44"/>
      <c r="F57" s="1742" t="s">
        <v>1449</v>
      </c>
      <c r="G57" s="1742"/>
      <c r="H57" s="1742"/>
      <c r="I57" s="1742"/>
      <c r="J57" s="2143">
        <f>J2</f>
        <v>0</v>
      </c>
      <c r="K57" s="2143"/>
      <c r="L57" s="2143"/>
      <c r="M57" s="45"/>
    </row>
    <row r="58" spans="2:13">
      <c r="B58" s="44"/>
      <c r="M58" s="45"/>
    </row>
    <row r="59" spans="2:13">
      <c r="B59" s="44"/>
      <c r="M59" s="45"/>
    </row>
    <row r="60" spans="2:13" ht="13.1">
      <c r="B60" s="137" t="s">
        <v>634</v>
      </c>
      <c r="C60">
        <f>Summary!$C$6</f>
        <v>0</v>
      </c>
      <c r="H60" s="22" t="s">
        <v>636</v>
      </c>
      <c r="I60" s="22"/>
      <c r="K60" s="2158">
        <f>'Cost Control'!F5</f>
        <v>1</v>
      </c>
      <c r="L60" s="2158"/>
      <c r="M60" s="2159"/>
    </row>
    <row r="61" spans="2:13" ht="13.1">
      <c r="B61" s="44"/>
      <c r="H61" s="22"/>
      <c r="I61" s="22"/>
      <c r="M61" s="45"/>
    </row>
    <row r="62" spans="2:13" ht="13.1">
      <c r="B62" s="137" t="s">
        <v>635</v>
      </c>
      <c r="D62" s="2136">
        <f>D7</f>
        <v>0</v>
      </c>
      <c r="E62" s="2136"/>
      <c r="F62" s="2136"/>
      <c r="G62" s="2136"/>
      <c r="H62" s="2136"/>
      <c r="I62" s="22" t="s">
        <v>637</v>
      </c>
      <c r="J62" s="3">
        <f>J7+1</f>
        <v>2</v>
      </c>
      <c r="M62" s="45"/>
    </row>
    <row r="63" spans="2:13" ht="13.1">
      <c r="B63" s="137"/>
      <c r="D63" s="2136"/>
      <c r="E63" s="2136"/>
      <c r="F63" s="2136"/>
      <c r="G63" s="2136"/>
      <c r="H63" s="2136"/>
      <c r="I63" t="s">
        <v>63</v>
      </c>
      <c r="J63" s="2142">
        <f>J8</f>
        <v>0</v>
      </c>
      <c r="K63" s="2143"/>
      <c r="M63" s="45"/>
    </row>
    <row r="64" spans="2:13" ht="13.1">
      <c r="B64" s="137" t="s">
        <v>146</v>
      </c>
      <c r="D64">
        <f>Summary!$C$32</f>
        <v>0</v>
      </c>
      <c r="F64" s="1819" t="str">
        <f>F9</f>
        <v>OPEN HOLE INTERVAL:</v>
      </c>
      <c r="G64" s="1819"/>
      <c r="H64" s="2147">
        <f>H9</f>
        <v>0</v>
      </c>
      <c r="I64" s="2147"/>
      <c r="J64" s="2147">
        <f>J9</f>
        <v>0</v>
      </c>
      <c r="K64" s="2147"/>
      <c r="L64" s="2147">
        <f>L9</f>
        <v>0</v>
      </c>
      <c r="M64" s="2154"/>
    </row>
    <row r="65" spans="2:13">
      <c r="B65" s="44"/>
      <c r="H65" s="2153"/>
      <c r="I65" s="2153"/>
      <c r="J65" s="1145"/>
      <c r="K65" s="1145"/>
      <c r="L65" s="1145"/>
      <c r="M65" s="1146"/>
    </row>
    <row r="66" spans="2:13" ht="13.1">
      <c r="B66" s="44"/>
      <c r="D66">
        <f>Summary!$F$32</f>
        <v>0</v>
      </c>
      <c r="F66" s="1819" t="str">
        <f>F11</f>
        <v xml:space="preserve"> </v>
      </c>
      <c r="G66" s="1819"/>
      <c r="H66" s="2137">
        <f>H11</f>
        <v>0</v>
      </c>
      <c r="I66" s="2137"/>
      <c r="J66" s="2137">
        <f>J11</f>
        <v>0</v>
      </c>
      <c r="K66" s="2137"/>
      <c r="L66" s="2137">
        <f>L11</f>
        <v>0</v>
      </c>
      <c r="M66" s="2155"/>
    </row>
    <row r="67" spans="2:13" ht="13.1">
      <c r="B67" s="44"/>
      <c r="D67">
        <f>D12</f>
        <v>0</v>
      </c>
      <c r="F67" s="1819" t="str">
        <f>F12</f>
        <v xml:space="preserve"> </v>
      </c>
      <c r="G67" s="1819"/>
      <c r="H67" s="1737">
        <f>H12</f>
        <v>0</v>
      </c>
      <c r="I67" s="1737"/>
      <c r="J67" s="1737">
        <f>J12</f>
        <v>0</v>
      </c>
      <c r="K67" s="1737"/>
      <c r="L67" s="1737">
        <f>L12</f>
        <v>0</v>
      </c>
      <c r="M67" s="1791"/>
    </row>
    <row r="68" spans="2:13">
      <c r="B68" s="44"/>
      <c r="M68" s="45"/>
    </row>
    <row r="69" spans="2:13" ht="13.75" thickBot="1">
      <c r="B69" s="46"/>
      <c r="C69" s="21"/>
      <c r="D69" s="21"/>
      <c r="E69" s="1664" t="s">
        <v>638</v>
      </c>
      <c r="F69" s="1664"/>
      <c r="G69" s="1664"/>
      <c r="H69" s="1664"/>
      <c r="I69" s="1664"/>
      <c r="J69" s="21"/>
      <c r="K69" s="21"/>
      <c r="L69" s="21"/>
      <c r="M69" s="47"/>
    </row>
    <row r="70" spans="2:13" s="518" customFormat="1" ht="16.100000000000001" thickBot="1">
      <c r="B70" s="651"/>
      <c r="C70" s="484"/>
      <c r="D70" s="484"/>
      <c r="E70" s="484"/>
      <c r="F70" s="484"/>
      <c r="G70" s="484"/>
      <c r="H70" s="484"/>
      <c r="I70" s="2138" t="s">
        <v>61</v>
      </c>
      <c r="J70" s="2139"/>
      <c r="K70" s="2139"/>
      <c r="L70" s="2139"/>
      <c r="M70" s="2140"/>
    </row>
    <row r="71" spans="2:13" s="518" customFormat="1" ht="16.100000000000001" thickBot="1">
      <c r="B71" s="652"/>
      <c r="C71" s="484"/>
      <c r="D71" s="484"/>
      <c r="E71" s="484"/>
      <c r="F71" s="484"/>
      <c r="G71" s="484"/>
      <c r="H71" s="484"/>
      <c r="I71" s="2141" t="str">
        <f>I16</f>
        <v>Service</v>
      </c>
      <c r="J71" s="2141"/>
      <c r="K71" s="1159" t="s">
        <v>62</v>
      </c>
      <c r="L71" s="2144" t="s">
        <v>1454</v>
      </c>
      <c r="M71" s="2144"/>
    </row>
    <row r="72" spans="2:13" s="518" customFormat="1" ht="16.100000000000001" thickBot="1">
      <c r="B72" s="652"/>
      <c r="C72" s="484"/>
      <c r="D72" s="484"/>
      <c r="E72" s="484"/>
      <c r="F72" s="484"/>
      <c r="G72" s="484"/>
      <c r="H72" s="484"/>
      <c r="I72" s="2145" t="s">
        <v>1538</v>
      </c>
      <c r="J72" s="2146"/>
      <c r="K72" s="1160">
        <f>IF(L72&lt;&gt;0," ",0)</f>
        <v>0</v>
      </c>
      <c r="L72" s="2156">
        <f>SUM('Cost Control'!F7:F16)</f>
        <v>0</v>
      </c>
      <c r="M72" s="2157"/>
    </row>
    <row r="73" spans="2:13" s="518" customFormat="1" ht="16.100000000000001" thickBot="1">
      <c r="B73" s="652"/>
      <c r="C73" s="484"/>
      <c r="D73" s="484"/>
      <c r="E73" s="484"/>
      <c r="F73" s="484"/>
      <c r="G73" s="484"/>
      <c r="H73" s="484"/>
      <c r="I73" s="2145" t="s">
        <v>1539</v>
      </c>
      <c r="J73" s="2146"/>
      <c r="K73" s="1161">
        <f>IF(L73&lt;&gt;0,'Cost Control'!A53,0)</f>
        <v>0</v>
      </c>
      <c r="L73" s="2151">
        <f>SUM('Cost Control'!F53:F58)</f>
        <v>0</v>
      </c>
      <c r="M73" s="2152"/>
    </row>
    <row r="74" spans="2:13" s="518" customFormat="1" ht="16.100000000000001" thickBot="1">
      <c r="B74" s="652"/>
      <c r="C74" s="484"/>
      <c r="D74" s="484"/>
      <c r="E74" s="484"/>
      <c r="F74" s="484"/>
      <c r="G74" s="484"/>
      <c r="H74" s="484"/>
      <c r="I74" s="2145" t="s">
        <v>903</v>
      </c>
      <c r="J74" s="2146"/>
      <c r="K74" s="1161">
        <f>IF(L74&lt;&gt;0,'Cost Control'!A40,0)</f>
        <v>0</v>
      </c>
      <c r="L74" s="2151">
        <f>SUM('Cost Control'!F40:F51)</f>
        <v>0</v>
      </c>
      <c r="M74" s="2152"/>
    </row>
    <row r="75" spans="2:13" s="518" customFormat="1" ht="16.100000000000001" thickBot="1">
      <c r="B75" s="652"/>
      <c r="C75" s="484"/>
      <c r="D75" s="484"/>
      <c r="E75" s="484"/>
      <c r="F75" s="484"/>
      <c r="G75" s="484"/>
      <c r="H75" s="484"/>
      <c r="I75" s="2145" t="s">
        <v>1540</v>
      </c>
      <c r="J75" s="2146"/>
      <c r="K75" s="1161" t="str">
        <f>IF(L75&lt;&gt;0,'Cost Control'!A60," ")</f>
        <v xml:space="preserve"> </v>
      </c>
      <c r="L75" s="2151">
        <f>SUM('Cost Control'!F60:F66)</f>
        <v>0</v>
      </c>
      <c r="M75" s="2152"/>
    </row>
    <row r="76" spans="2:13" s="518" customFormat="1" ht="15.45">
      <c r="B76" s="652"/>
      <c r="C76" s="484"/>
      <c r="D76" s="484"/>
      <c r="E76" s="484"/>
      <c r="F76" s="484"/>
      <c r="G76" s="484"/>
      <c r="H76" s="484"/>
      <c r="I76" s="2145" t="s">
        <v>1451</v>
      </c>
      <c r="J76" s="2146"/>
      <c r="K76" s="1161">
        <f>IF(L76&lt;&gt;0,'Cost Control'!A68,0)</f>
        <v>0</v>
      </c>
      <c r="L76" s="2151">
        <f>SUM('Cost Control'!F68:F73)</f>
        <v>0</v>
      </c>
      <c r="M76" s="2152"/>
    </row>
    <row r="77" spans="2:13" s="518" customFormat="1" ht="15.45">
      <c r="B77" s="652"/>
      <c r="C77" s="484"/>
      <c r="D77" s="484"/>
      <c r="E77" s="484"/>
      <c r="F77" s="484"/>
      <c r="G77" s="484"/>
      <c r="H77" s="484"/>
      <c r="I77" s="2148" t="str">
        <f>IF(L77&lt;&gt;0,'Cost Control'!B18," ")</f>
        <v xml:space="preserve"> </v>
      </c>
      <c r="J77" s="2149"/>
      <c r="K77" s="1161">
        <f>IF(L77&lt;&gt;0,'Cost Control'!A18,0)</f>
        <v>0</v>
      </c>
      <c r="L77" s="2151">
        <f>'Cost Control'!F18</f>
        <v>0</v>
      </c>
      <c r="M77" s="2152"/>
    </row>
    <row r="78" spans="2:13" s="518" customFormat="1" ht="15.45">
      <c r="B78" s="652"/>
      <c r="C78" s="484"/>
      <c r="D78" s="484"/>
      <c r="E78" s="484"/>
      <c r="F78" s="484"/>
      <c r="G78" s="484"/>
      <c r="H78" s="484"/>
      <c r="I78" s="2148" t="str">
        <f>IF(L78&lt;&gt;0,'Cost Control'!B19," ")</f>
        <v xml:space="preserve"> </v>
      </c>
      <c r="J78" s="2149"/>
      <c r="K78" s="1161">
        <f>IF(L78&lt;&gt;0,'Cost Control'!A19,0)</f>
        <v>0</v>
      </c>
      <c r="L78" s="2151">
        <f>'Cost Control'!F19</f>
        <v>0</v>
      </c>
      <c r="M78" s="2152"/>
    </row>
    <row r="79" spans="2:13" s="518" customFormat="1" ht="15.45">
      <c r="B79" s="652"/>
      <c r="C79" s="484"/>
      <c r="D79" s="484"/>
      <c r="E79" s="484"/>
      <c r="F79" s="484"/>
      <c r="G79" s="484"/>
      <c r="H79" s="484"/>
      <c r="I79" s="2148" t="str">
        <f>IF(L79&lt;&gt;0,'Cost Control'!B20," ")</f>
        <v xml:space="preserve"> </v>
      </c>
      <c r="J79" s="2149"/>
      <c r="K79" s="1161">
        <f>IF(L79&lt;&gt;0,'Cost Control'!A20,0)</f>
        <v>0</v>
      </c>
      <c r="L79" s="2151">
        <f>'Cost Control'!F20</f>
        <v>0</v>
      </c>
      <c r="M79" s="2152"/>
    </row>
    <row r="80" spans="2:13" s="518" customFormat="1" ht="15.45">
      <c r="B80" s="652"/>
      <c r="C80" s="484"/>
      <c r="D80" s="484"/>
      <c r="E80" s="484"/>
      <c r="F80" s="484"/>
      <c r="G80" s="484"/>
      <c r="H80" s="484"/>
      <c r="I80" s="2148" t="str">
        <f>IF(L80&lt;&gt;0,'Cost Control'!B21," ")</f>
        <v xml:space="preserve"> </v>
      </c>
      <c r="J80" s="2149"/>
      <c r="K80" s="1161">
        <f>IF(L80&lt;&gt;0,'Cost Control'!A21,0)</f>
        <v>0</v>
      </c>
      <c r="L80" s="2151">
        <f>'Cost Control'!F21</f>
        <v>0</v>
      </c>
      <c r="M80" s="2152"/>
    </row>
    <row r="81" spans="2:13" s="518" customFormat="1" ht="15.45">
      <c r="B81" s="652"/>
      <c r="C81" s="484"/>
      <c r="D81" s="484"/>
      <c r="E81" s="484"/>
      <c r="F81" s="484"/>
      <c r="G81" s="484"/>
      <c r="H81" s="484"/>
      <c r="I81" s="2148" t="str">
        <f>IF(L81&lt;&gt;0,'Cost Control'!B22," ")</f>
        <v xml:space="preserve"> </v>
      </c>
      <c r="J81" s="2149"/>
      <c r="K81" s="1161">
        <f>IF(L81&lt;&gt;0,'Cost Control'!A22,0)</f>
        <v>0</v>
      </c>
      <c r="L81" s="2151">
        <f>'Cost Control'!F22</f>
        <v>0</v>
      </c>
      <c r="M81" s="2152"/>
    </row>
    <row r="82" spans="2:13" s="518" customFormat="1" ht="15.45">
      <c r="B82" s="652"/>
      <c r="C82" s="484"/>
      <c r="D82" s="484"/>
      <c r="E82" s="484"/>
      <c r="F82" s="484"/>
      <c r="G82" s="484"/>
      <c r="H82" s="484"/>
      <c r="I82" s="2148" t="str">
        <f>IF(L82&lt;&gt;0,'Cost Control'!B23," ")</f>
        <v xml:space="preserve"> </v>
      </c>
      <c r="J82" s="2149"/>
      <c r="K82" s="1161">
        <f>IF(L82&lt;&gt;0,'Cost Control'!A23,0)</f>
        <v>0</v>
      </c>
      <c r="L82" s="2151">
        <f>'Cost Control'!F23</f>
        <v>0</v>
      </c>
      <c r="M82" s="2152"/>
    </row>
    <row r="83" spans="2:13" s="518" customFormat="1" ht="15.45">
      <c r="B83" s="652"/>
      <c r="C83" s="484"/>
      <c r="D83" s="484"/>
      <c r="E83" s="484"/>
      <c r="F83" s="484"/>
      <c r="G83" s="484"/>
      <c r="H83" s="484"/>
      <c r="I83" s="2148" t="str">
        <f>IF(L83&lt;&gt;0,'Cost Control'!B24," ")</f>
        <v xml:space="preserve"> </v>
      </c>
      <c r="J83" s="2149"/>
      <c r="K83" s="1161">
        <f>IF(L83&lt;&gt;0,'Cost Control'!A24,0)</f>
        <v>0</v>
      </c>
      <c r="L83" s="2151">
        <f>'Cost Control'!F24</f>
        <v>0</v>
      </c>
      <c r="M83" s="2152"/>
    </row>
    <row r="84" spans="2:13" s="518" customFormat="1" ht="15.45">
      <c r="B84" s="652"/>
      <c r="C84" s="484"/>
      <c r="D84" s="484"/>
      <c r="E84" s="484"/>
      <c r="F84" s="484"/>
      <c r="G84" s="484"/>
      <c r="H84" s="484"/>
      <c r="I84" s="2148" t="str">
        <f>IF(L84&lt;&gt;0,'Cost Control'!B25," ")</f>
        <v xml:space="preserve"> </v>
      </c>
      <c r="J84" s="2149"/>
      <c r="K84" s="1161">
        <f>IF(L84&lt;&gt;0,'Cost Control'!A25,0)</f>
        <v>0</v>
      </c>
      <c r="L84" s="2151">
        <f>'Cost Control'!F25</f>
        <v>0</v>
      </c>
      <c r="M84" s="2152"/>
    </row>
    <row r="85" spans="2:13" s="518" customFormat="1" ht="15.45">
      <c r="B85" s="652"/>
      <c r="C85" s="484"/>
      <c r="D85" s="484"/>
      <c r="E85" s="484"/>
      <c r="F85" s="484"/>
      <c r="G85" s="484"/>
      <c r="H85" s="484"/>
      <c r="I85" s="2148" t="str">
        <f>IF(L85&lt;&gt;0,'Cost Control'!B26," ")</f>
        <v xml:space="preserve"> </v>
      </c>
      <c r="J85" s="2149"/>
      <c r="K85" s="1161">
        <f>IF(L85&lt;&gt;0,'Cost Control'!A26,0)</f>
        <v>0</v>
      </c>
      <c r="L85" s="2151">
        <f>'Cost Control'!F26</f>
        <v>0</v>
      </c>
      <c r="M85" s="2152"/>
    </row>
    <row r="86" spans="2:13" s="518" customFormat="1" ht="15.45">
      <c r="B86" s="652"/>
      <c r="C86" s="484"/>
      <c r="D86" s="484"/>
      <c r="E86" s="484"/>
      <c r="F86" s="484"/>
      <c r="G86" s="484"/>
      <c r="H86" s="484"/>
      <c r="I86" s="2148" t="str">
        <f>IF(L86&lt;&gt;0,'Cost Control'!B27," ")</f>
        <v xml:space="preserve"> </v>
      </c>
      <c r="J86" s="2149"/>
      <c r="K86" s="1161">
        <f>IF(L86&lt;&gt;0,'Cost Control'!A27,0)</f>
        <v>0</v>
      </c>
      <c r="L86" s="2151">
        <f>'Cost Control'!F27</f>
        <v>0</v>
      </c>
      <c r="M86" s="2152"/>
    </row>
    <row r="87" spans="2:13" s="518" customFormat="1" ht="15.45">
      <c r="B87" s="652"/>
      <c r="C87" s="484"/>
      <c r="D87" s="484"/>
      <c r="E87" s="484"/>
      <c r="F87" s="484"/>
      <c r="G87" s="484"/>
      <c r="H87" s="484"/>
      <c r="I87" s="2148" t="str">
        <f>IF(L87&lt;&gt;0,'Cost Control'!B28," ")</f>
        <v xml:space="preserve"> </v>
      </c>
      <c r="J87" s="2149"/>
      <c r="K87" s="1161">
        <f>IF(L87&lt;&gt;0,'Cost Control'!A28,0)</f>
        <v>0</v>
      </c>
      <c r="L87" s="2151">
        <f>'Cost Control'!F28</f>
        <v>0</v>
      </c>
      <c r="M87" s="2152"/>
    </row>
    <row r="88" spans="2:13" s="518" customFormat="1" ht="15.45">
      <c r="B88" s="652"/>
      <c r="C88" s="484"/>
      <c r="D88" s="484"/>
      <c r="E88" s="484"/>
      <c r="F88" s="484"/>
      <c r="G88" s="484"/>
      <c r="H88" s="484"/>
      <c r="I88" s="2148" t="str">
        <f>IF(L88&lt;&gt;0,'Cost Control'!B29," ")</f>
        <v xml:space="preserve"> </v>
      </c>
      <c r="J88" s="2149"/>
      <c r="K88" s="1161">
        <f>IF(L88&lt;&gt;0,'Cost Control'!A29,0)</f>
        <v>0</v>
      </c>
      <c r="L88" s="2151">
        <f>'Cost Control'!F29</f>
        <v>0</v>
      </c>
      <c r="M88" s="2152"/>
    </row>
    <row r="89" spans="2:13" s="518" customFormat="1" ht="15.45">
      <c r="B89" s="652"/>
      <c r="C89" s="484"/>
      <c r="D89" s="484"/>
      <c r="E89" s="484"/>
      <c r="F89" s="484"/>
      <c r="G89" s="484"/>
      <c r="H89" s="484"/>
      <c r="I89" s="2148" t="str">
        <f>IF(L89&lt;&gt;0,'Cost Control'!B30," ")</f>
        <v xml:space="preserve"> </v>
      </c>
      <c r="J89" s="2149"/>
      <c r="K89" s="1161">
        <f>IF(L89&lt;&gt;0,'Cost Control'!A30,0)</f>
        <v>0</v>
      </c>
      <c r="L89" s="2151">
        <f>'Cost Control'!F30</f>
        <v>0</v>
      </c>
      <c r="M89" s="2152"/>
    </row>
    <row r="90" spans="2:13" s="518" customFormat="1" ht="15.45">
      <c r="B90" s="652"/>
      <c r="C90" s="484"/>
      <c r="D90" s="484"/>
      <c r="E90" s="484"/>
      <c r="F90" s="484"/>
      <c r="G90" s="484"/>
      <c r="H90" s="484"/>
      <c r="I90" s="2148" t="str">
        <f>IF(L90&lt;&gt;0,'Cost Control'!B31," ")</f>
        <v xml:space="preserve"> </v>
      </c>
      <c r="J90" s="2149"/>
      <c r="K90" s="1161">
        <f>IF(L90&lt;&gt;0,'Cost Control'!A31,0)</f>
        <v>0</v>
      </c>
      <c r="L90" s="2151">
        <f>'Cost Control'!F31</f>
        <v>0</v>
      </c>
      <c r="M90" s="2152"/>
    </row>
    <row r="91" spans="2:13" s="518" customFormat="1" ht="15.45">
      <c r="B91" s="652"/>
      <c r="C91" s="484"/>
      <c r="D91" s="484"/>
      <c r="E91" s="484"/>
      <c r="F91" s="484"/>
      <c r="G91" s="484"/>
      <c r="H91" s="484"/>
      <c r="I91" s="2148" t="str">
        <f>IF(L91&lt;&gt;0,'Cost Control'!B32," ")</f>
        <v xml:space="preserve"> </v>
      </c>
      <c r="J91" s="2149"/>
      <c r="K91" s="1161">
        <f>IF(L91&lt;&gt;0,'Cost Control'!A32,0)</f>
        <v>0</v>
      </c>
      <c r="L91" s="2151">
        <f>'Cost Control'!F32</f>
        <v>0</v>
      </c>
      <c r="M91" s="2152"/>
    </row>
    <row r="92" spans="2:13" s="518" customFormat="1" ht="15.45">
      <c r="B92" s="652"/>
      <c r="C92" s="484"/>
      <c r="D92" s="484"/>
      <c r="E92" s="484"/>
      <c r="F92" s="484"/>
      <c r="G92" s="484"/>
      <c r="H92" s="484"/>
      <c r="I92" s="2148" t="str">
        <f>IF(L92&lt;&gt;0,'Cost Control'!B33," ")</f>
        <v xml:space="preserve"> </v>
      </c>
      <c r="J92" s="2149"/>
      <c r="K92" s="1161">
        <f>IF(L92&lt;&gt;0,'Cost Control'!A33,0)</f>
        <v>0</v>
      </c>
      <c r="L92" s="2151">
        <f>'Cost Control'!F33</f>
        <v>0</v>
      </c>
      <c r="M92" s="2152"/>
    </row>
    <row r="93" spans="2:13" s="518" customFormat="1" ht="15.45">
      <c r="B93" s="652"/>
      <c r="C93" s="484"/>
      <c r="D93" s="484"/>
      <c r="E93" s="484"/>
      <c r="F93" s="484"/>
      <c r="G93" s="484"/>
      <c r="H93" s="484"/>
      <c r="I93" s="2148" t="str">
        <f>IF(L93&lt;&gt;0,'Cost Control'!B34," ")</f>
        <v xml:space="preserve"> </v>
      </c>
      <c r="J93" s="2149"/>
      <c r="K93" s="1161">
        <f>IF(L93&lt;&gt;0,'Cost Control'!A34,0)</f>
        <v>0</v>
      </c>
      <c r="L93" s="2151">
        <f>'Cost Control'!F34</f>
        <v>0</v>
      </c>
      <c r="M93" s="2152"/>
    </row>
    <row r="94" spans="2:13" s="518" customFormat="1" ht="15.45">
      <c r="B94" s="652"/>
      <c r="C94" s="484"/>
      <c r="D94" s="484"/>
      <c r="E94" s="484"/>
      <c r="F94" s="484"/>
      <c r="G94" s="484"/>
      <c r="H94" s="484"/>
      <c r="I94" s="2148" t="str">
        <f>IF(L94&lt;&gt;0,'Cost Control'!B35," ")</f>
        <v xml:space="preserve"> </v>
      </c>
      <c r="J94" s="2149"/>
      <c r="K94" s="1161">
        <f>IF(L94&lt;&gt;0,'Cost Control'!A35,0)</f>
        <v>0</v>
      </c>
      <c r="L94" s="2151">
        <f>'Cost Control'!F35</f>
        <v>0</v>
      </c>
      <c r="M94" s="2152"/>
    </row>
    <row r="95" spans="2:13" s="518" customFormat="1" ht="15.45">
      <c r="B95" s="652"/>
      <c r="C95" s="484"/>
      <c r="D95" s="484"/>
      <c r="E95" s="484"/>
      <c r="F95" s="484"/>
      <c r="G95" s="484"/>
      <c r="H95" s="484"/>
      <c r="I95" s="2148" t="str">
        <f>IF(L95&lt;&gt;0,'Cost Control'!B36," ")</f>
        <v xml:space="preserve"> </v>
      </c>
      <c r="J95" s="2149"/>
      <c r="K95" s="1161">
        <f>IF(L95&lt;&gt;0,'Cost Control'!A36,0)</f>
        <v>0</v>
      </c>
      <c r="L95" s="2151">
        <f>'Cost Control'!F36</f>
        <v>0</v>
      </c>
      <c r="M95" s="2152"/>
    </row>
    <row r="96" spans="2:13" s="518" customFormat="1" ht="15.45">
      <c r="B96" s="652"/>
      <c r="C96" s="484"/>
      <c r="D96" s="484"/>
      <c r="E96" s="484"/>
      <c r="F96" s="484"/>
      <c r="G96" s="484"/>
      <c r="H96" s="484"/>
      <c r="I96" s="2148" t="str">
        <f>IF(L96&lt;&gt;0,'Cost Control'!B37," ")</f>
        <v xml:space="preserve"> </v>
      </c>
      <c r="J96" s="2149"/>
      <c r="K96" s="1161">
        <f>IF(L96&lt;&gt;0,'Cost Control'!A37,0)</f>
        <v>0</v>
      </c>
      <c r="L96" s="2151">
        <f>'Cost Control'!F37</f>
        <v>0</v>
      </c>
      <c r="M96" s="2152"/>
    </row>
    <row r="97" spans="2:13" s="518" customFormat="1" ht="16.100000000000001" thickBot="1">
      <c r="B97" s="652"/>
      <c r="C97" s="484"/>
      <c r="D97" s="484"/>
      <c r="E97" s="484"/>
      <c r="F97" s="484"/>
      <c r="G97" s="484"/>
      <c r="H97" s="484"/>
      <c r="I97" s="2148" t="str">
        <f>IF(L97&lt;&gt;0,'Cost Control'!B38," ")</f>
        <v xml:space="preserve"> </v>
      </c>
      <c r="J97" s="2149"/>
      <c r="K97" s="1161">
        <f>IF(L97&lt;&gt;0,'Cost Control'!A38,0)</f>
        <v>0</v>
      </c>
      <c r="L97" s="2151">
        <f>'Cost Control'!F38</f>
        <v>0</v>
      </c>
      <c r="M97" s="2152"/>
    </row>
    <row r="98" spans="2:13" ht="13.1">
      <c r="B98" s="141" t="s">
        <v>695</v>
      </c>
      <c r="C98" s="50"/>
      <c r="D98" s="50"/>
      <c r="E98" s="2150">
        <f>K114</f>
        <v>2</v>
      </c>
      <c r="F98" s="2150"/>
      <c r="G98" s="50"/>
      <c r="H98" s="50"/>
      <c r="I98" s="50"/>
      <c r="J98" s="50"/>
      <c r="K98" s="50"/>
      <c r="L98" s="50"/>
      <c r="M98" s="43"/>
    </row>
    <row r="99" spans="2:13">
      <c r="B99" s="1628"/>
      <c r="C99" s="1629"/>
      <c r="D99" s="1629"/>
      <c r="E99" s="1629"/>
      <c r="F99" s="1629"/>
      <c r="G99" s="1629"/>
      <c r="H99" s="1629"/>
      <c r="I99" s="1629"/>
      <c r="J99" s="1629"/>
      <c r="K99" s="1629"/>
      <c r="L99" s="1629"/>
      <c r="M99" s="1630"/>
    </row>
    <row r="100" spans="2:13" ht="13.5" thickBot="1">
      <c r="B100" s="1480"/>
      <c r="C100" s="1479"/>
      <c r="D100" s="1479"/>
      <c r="E100" s="1479"/>
      <c r="F100" s="1479"/>
      <c r="G100" s="1479"/>
      <c r="H100" s="1631"/>
      <c r="I100" s="1631"/>
      <c r="J100" s="1631"/>
      <c r="K100" s="1631"/>
      <c r="L100" s="1631"/>
      <c r="M100" s="1555"/>
    </row>
    <row r="101" spans="2:13" ht="15.45">
      <c r="B101" s="307" t="s">
        <v>645</v>
      </c>
      <c r="C101" s="308"/>
      <c r="D101" s="2135">
        <f>D47</f>
        <v>0</v>
      </c>
      <c r="E101" s="2135"/>
      <c r="F101" s="309" t="s">
        <v>647</v>
      </c>
      <c r="G101" s="310">
        <f>G47</f>
        <v>0</v>
      </c>
      <c r="H101" s="172" t="s">
        <v>648</v>
      </c>
      <c r="I101" s="472">
        <v>0</v>
      </c>
      <c r="J101" s="2173" t="s">
        <v>650</v>
      </c>
      <c r="K101" s="2173"/>
      <c r="L101" s="1378"/>
      <c r="M101" s="486" t="str">
        <f>M47</f>
        <v>° F</v>
      </c>
    </row>
    <row r="102" spans="2:13">
      <c r="B102" s="44" t="s">
        <v>644</v>
      </c>
      <c r="E102" t="s">
        <v>655</v>
      </c>
      <c r="G102">
        <f>IF('Daily Load'!P38="Yes",Operations!D64,IF('Daily Load'!V38="Yes",Operations!D66,Operations!D67))</f>
        <v>0</v>
      </c>
      <c r="I102" s="195" t="s">
        <v>651</v>
      </c>
      <c r="L102" s="2170">
        <f>'Cost Control'!F74</f>
        <v>0</v>
      </c>
      <c r="M102" s="2171"/>
    </row>
    <row r="103" spans="2:13">
      <c r="B103" s="44"/>
      <c r="E103" s="223" t="s">
        <v>193</v>
      </c>
      <c r="F103" s="223" t="s">
        <v>194</v>
      </c>
      <c r="G103" s="223" t="str">
        <f>G49</f>
        <v>Other</v>
      </c>
      <c r="H103" s="1627" t="s">
        <v>587</v>
      </c>
      <c r="I103" s="31" t="s">
        <v>652</v>
      </c>
      <c r="L103" s="2170">
        <f>L50</f>
        <v>0</v>
      </c>
      <c r="M103" s="2171"/>
    </row>
    <row r="104" spans="2:13" ht="13.5" thickBot="1">
      <c r="B104" s="44" t="s">
        <v>643</v>
      </c>
      <c r="E104" s="361">
        <f>IF(E108&gt;0,E106-E108,E106+E107+E105)</f>
        <v>0</v>
      </c>
      <c r="F104" s="361">
        <f>IF(F108&gt;0,F106-F108,F106+F107+F105)</f>
        <v>0</v>
      </c>
      <c r="G104" s="361">
        <f>IF(G108&gt;0,G106-G108,G106+G107+G105)</f>
        <v>0</v>
      </c>
      <c r="H104" t="str">
        <f>H50</f>
        <v>bbl</v>
      </c>
      <c r="I104" s="31" t="s">
        <v>653</v>
      </c>
      <c r="L104" s="2163">
        <f>L102+L103</f>
        <v>0</v>
      </c>
      <c r="M104" s="2164"/>
    </row>
    <row r="105" spans="2:13" ht="13.5" thickTop="1">
      <c r="B105" s="311" t="s">
        <v>642</v>
      </c>
      <c r="E105" s="361">
        <f>IF('Daily Load'!P38="Yes",'Daily Load'!L33,IF('Daily Load'!V38="Yes",'Daily Load'!R33,'Daily Load'!X33))</f>
        <v>0</v>
      </c>
      <c r="F105" s="361">
        <f>IF('Daily Load'!P38="Yes",'Daily Load'!N33,IF('Daily Load'!V38="Yes",'Daily Load'!T33,'Daily Load'!Z33))</f>
        <v>0</v>
      </c>
      <c r="G105" s="361">
        <f>IF('Daily Load'!P38="Yes",'Daily Load'!P33,IF('Daily Load'!V38="Yes",'Daily Load'!V33,'Daily Load'!AB33))</f>
        <v>0</v>
      </c>
      <c r="H105" t="str">
        <f>H104</f>
        <v>bbl</v>
      </c>
      <c r="I105" s="31"/>
      <c r="L105" s="521"/>
      <c r="M105" s="522"/>
    </row>
    <row r="106" spans="2:13">
      <c r="B106" s="44" t="s">
        <v>641</v>
      </c>
      <c r="E106" s="361">
        <f>IF(G102=D9,'Daily Load'!F37+E52,IF(G102=G48,'Daily Load'!F37+E52,'Daily Load'!F37))</f>
        <v>0</v>
      </c>
      <c r="F106" s="361">
        <f>IF(G102=D9,'Daily Load'!H37+F52,IF(G102=G48,'Daily Load'!H37+F52,'Daily Load'!H37))</f>
        <v>0</v>
      </c>
      <c r="G106" s="361">
        <f>IF(G102=D9,'Daily Load'!J37+G52,IF(G102=G48,'Daily Load'!J37+G52,'Daily Load'!J37))</f>
        <v>0</v>
      </c>
      <c r="H106" t="str">
        <f>H105</f>
        <v>bbl</v>
      </c>
      <c r="I106" s="33" t="s">
        <v>654</v>
      </c>
      <c r="J106" s="19"/>
      <c r="K106" s="19"/>
      <c r="L106" s="2165">
        <f>L52</f>
        <v>0</v>
      </c>
      <c r="M106" s="2166"/>
    </row>
    <row r="107" spans="2:13">
      <c r="B107" s="44" t="s">
        <v>640</v>
      </c>
      <c r="E107" s="361">
        <f>IF('Daily Load'!P38="Yes",'Daily Load'!L35,IF('Daily Load'!V38="Yes",'Daily Load'!R35,'Daily Load'!X35))</f>
        <v>0</v>
      </c>
      <c r="F107" s="361">
        <f>IF('Daily Load'!P38="Yes",'Daily Load'!N35,IF('Daily Load'!V38="Yes",'Daily Load'!T35,'Daily Load'!Z35))</f>
        <v>0</v>
      </c>
      <c r="G107" s="361">
        <f>IF('Daily Load'!P38="Yes",'Daily Load'!P35,IF('Daily Load'!V38="Yes",'Daily Load'!V35,'Daily Load'!AB35))</f>
        <v>0</v>
      </c>
      <c r="H107" t="str">
        <f>H106</f>
        <v>bbl</v>
      </c>
      <c r="I107" s="2160" t="str">
        <f>I53</f>
        <v xml:space="preserve"> </v>
      </c>
      <c r="J107" s="2059"/>
      <c r="K107" s="2161"/>
      <c r="L107" s="2174" t="str">
        <f>L53</f>
        <v xml:space="preserve">0 </v>
      </c>
      <c r="M107" s="2175"/>
    </row>
    <row r="108" spans="2:13" ht="13.5" thickBot="1">
      <c r="B108" s="46" t="s">
        <v>639</v>
      </c>
      <c r="C108" s="21"/>
      <c r="D108" s="21"/>
      <c r="E108" s="380">
        <f>IF('Daily Load'!P38="Yes",'Daily Load'!L36,IF('Daily Load'!V38="Yes",'Daily Load'!R36,'Daily Load'!X36))</f>
        <v>0</v>
      </c>
      <c r="F108" s="380">
        <f>IF('Daily Load'!P38="Yes",'Daily Load'!N36,IF('Daily Load'!V38="Yes",'Daily Load'!T36,'Daily Load'!Z36))</f>
        <v>0</v>
      </c>
      <c r="G108" s="380">
        <f>IF('Daily Load'!P38="Yes",'Daily Load'!P36,IF('Daily Load'!V38="Yes",'Daily Load'!V36,'Daily Load'!AB36))</f>
        <v>0</v>
      </c>
      <c r="H108" s="21" t="str">
        <f>H107</f>
        <v>bbl</v>
      </c>
      <c r="I108" s="2167" t="s">
        <v>677</v>
      </c>
      <c r="J108" s="2168"/>
      <c r="K108" s="2169"/>
      <c r="L108" s="2167" t="s">
        <v>826</v>
      </c>
      <c r="M108" s="2172"/>
    </row>
    <row r="109" spans="2:13">
      <c r="B109" s="50"/>
      <c r="C109" s="50"/>
      <c r="D109" s="50"/>
      <c r="E109" s="1185"/>
      <c r="F109" s="1185"/>
      <c r="G109" s="1185"/>
      <c r="H109" s="50"/>
      <c r="I109" s="1186"/>
      <c r="J109" s="1186"/>
      <c r="K109" s="1186"/>
      <c r="L109" s="1186"/>
      <c r="M109" s="1186"/>
    </row>
    <row r="110" spans="2:13" ht="13.5" thickBot="1">
      <c r="B110" s="21"/>
      <c r="C110" s="21"/>
      <c r="D110" s="21"/>
      <c r="E110" s="21"/>
      <c r="F110" s="21"/>
      <c r="G110" s="21"/>
      <c r="H110" s="21"/>
      <c r="I110" s="21"/>
      <c r="J110" s="21"/>
      <c r="K110" s="21"/>
      <c r="L110" s="21"/>
      <c r="M110" s="21"/>
    </row>
    <row r="111" spans="2:13">
      <c r="B111" s="44"/>
      <c r="M111" s="45"/>
    </row>
    <row r="112" spans="2:13">
      <c r="B112" s="44"/>
      <c r="J112" s="2143">
        <f>J57</f>
        <v>0</v>
      </c>
      <c r="K112" s="2143"/>
      <c r="L112" s="2143"/>
      <c r="M112" s="45"/>
    </row>
    <row r="113" spans="2:13">
      <c r="B113" s="44"/>
      <c r="M113" s="45"/>
    </row>
    <row r="114" spans="2:13" ht="13.1">
      <c r="B114" s="137" t="s">
        <v>634</v>
      </c>
      <c r="C114">
        <f>Summary!$C$6</f>
        <v>0</v>
      </c>
      <c r="H114" s="22" t="s">
        <v>636</v>
      </c>
      <c r="I114" s="22"/>
      <c r="K114" s="2158">
        <f>'Cost Control'!G5</f>
        <v>2</v>
      </c>
      <c r="L114" s="2158"/>
      <c r="M114" s="2159"/>
    </row>
    <row r="115" spans="2:13" ht="13.1">
      <c r="B115" s="44"/>
      <c r="H115" s="22"/>
      <c r="I115" s="22"/>
      <c r="M115" s="45"/>
    </row>
    <row r="116" spans="2:13" ht="13.1">
      <c r="B116" s="137" t="s">
        <v>635</v>
      </c>
      <c r="D116" s="2136">
        <f>D62</f>
        <v>0</v>
      </c>
      <c r="E116" s="2136"/>
      <c r="F116" s="2136"/>
      <c r="G116" s="2136"/>
      <c r="H116" s="2136"/>
      <c r="I116" s="22" t="s">
        <v>637</v>
      </c>
      <c r="J116" s="3">
        <f>J62+1</f>
        <v>3</v>
      </c>
      <c r="M116" s="45"/>
    </row>
    <row r="117" spans="2:13" ht="13.1">
      <c r="B117" s="137"/>
      <c r="D117" s="2136"/>
      <c r="E117" s="2136"/>
      <c r="F117" s="2136"/>
      <c r="G117" s="2136"/>
      <c r="H117" s="2136"/>
      <c r="I117" t="s">
        <v>63</v>
      </c>
      <c r="J117" s="2142">
        <f>J63</f>
        <v>0</v>
      </c>
      <c r="K117" s="2143"/>
      <c r="M117" s="45"/>
    </row>
    <row r="118" spans="2:13" ht="13.1">
      <c r="B118" s="137" t="s">
        <v>146</v>
      </c>
      <c r="D118">
        <f>Summary!$C$32</f>
        <v>0</v>
      </c>
      <c r="F118" s="1819" t="str">
        <f>F64</f>
        <v>OPEN HOLE INTERVAL:</v>
      </c>
      <c r="G118" s="1819"/>
      <c r="H118" s="2147">
        <f>H64</f>
        <v>0</v>
      </c>
      <c r="I118" s="2147"/>
      <c r="J118" s="2147">
        <f>J64</f>
        <v>0</v>
      </c>
      <c r="K118" s="2147"/>
      <c r="L118" s="2147">
        <f>L64</f>
        <v>0</v>
      </c>
      <c r="M118" s="2154"/>
    </row>
    <row r="119" spans="2:13">
      <c r="B119" s="44"/>
      <c r="H119" s="2153"/>
      <c r="I119" s="2153"/>
      <c r="J119" s="1145"/>
      <c r="K119" s="1145"/>
      <c r="L119" s="1145"/>
      <c r="M119" s="1146"/>
    </row>
    <row r="120" spans="2:13" ht="13.1">
      <c r="B120" s="44"/>
      <c r="D120">
        <f>Summary!$F$32</f>
        <v>0</v>
      </c>
      <c r="F120" s="1819" t="str">
        <f>F66</f>
        <v xml:space="preserve"> </v>
      </c>
      <c r="G120" s="1819"/>
      <c r="H120" s="2137">
        <f>H66</f>
        <v>0</v>
      </c>
      <c r="I120" s="2137"/>
      <c r="J120" s="2137">
        <f>J66</f>
        <v>0</v>
      </c>
      <c r="K120" s="2137"/>
      <c r="L120" s="2137">
        <f>L66</f>
        <v>0</v>
      </c>
      <c r="M120" s="2155"/>
    </row>
    <row r="121" spans="2:13" ht="13.1">
      <c r="B121" s="44"/>
      <c r="D121">
        <f>D67</f>
        <v>0</v>
      </c>
      <c r="F121" s="1819" t="str">
        <f>F67</f>
        <v xml:space="preserve"> </v>
      </c>
      <c r="G121" s="1819"/>
      <c r="H121" s="1737">
        <f>H67</f>
        <v>0</v>
      </c>
      <c r="I121" s="1737"/>
      <c r="J121" s="1737">
        <f>J67</f>
        <v>0</v>
      </c>
      <c r="K121" s="1737"/>
      <c r="L121" s="1737">
        <f>L67</f>
        <v>0</v>
      </c>
      <c r="M121" s="1791"/>
    </row>
    <row r="122" spans="2:13">
      <c r="B122" s="44"/>
      <c r="M122" s="45"/>
    </row>
    <row r="123" spans="2:13" ht="13.75" thickBot="1">
      <c r="B123" s="46"/>
      <c r="C123" s="21"/>
      <c r="D123" s="21"/>
      <c r="E123" s="1664" t="s">
        <v>638</v>
      </c>
      <c r="F123" s="1664"/>
      <c r="G123" s="1664"/>
      <c r="H123" s="1664"/>
      <c r="I123" s="1664"/>
      <c r="J123" s="21"/>
      <c r="K123" s="21"/>
      <c r="L123" s="21"/>
      <c r="M123" s="47"/>
    </row>
    <row r="124" spans="2:13" s="518" customFormat="1" ht="16.100000000000001" thickBot="1">
      <c r="B124" s="651"/>
      <c r="C124" s="484"/>
      <c r="D124" s="484"/>
      <c r="E124" s="484"/>
      <c r="F124" s="484"/>
      <c r="G124" s="484"/>
      <c r="H124" s="484"/>
      <c r="I124" s="2138" t="s">
        <v>61</v>
      </c>
      <c r="J124" s="2139"/>
      <c r="K124" s="2139"/>
      <c r="L124" s="2139"/>
      <c r="M124" s="2140"/>
    </row>
    <row r="125" spans="2:13" s="518" customFormat="1" ht="16.100000000000001" thickBot="1">
      <c r="B125" s="652"/>
      <c r="C125" s="484"/>
      <c r="D125" s="484"/>
      <c r="E125" s="484"/>
      <c r="F125" s="484"/>
      <c r="G125" s="484"/>
      <c r="H125" s="484"/>
      <c r="I125" s="2141" t="str">
        <f>I71</f>
        <v>Service</v>
      </c>
      <c r="J125" s="2141"/>
      <c r="K125" s="1159" t="s">
        <v>62</v>
      </c>
      <c r="L125" s="2144" t="s">
        <v>1454</v>
      </c>
      <c r="M125" s="2144"/>
    </row>
    <row r="126" spans="2:13" s="518" customFormat="1" ht="16.100000000000001" thickBot="1">
      <c r="B126" s="652"/>
      <c r="C126" s="484"/>
      <c r="D126" s="484"/>
      <c r="E126" s="484"/>
      <c r="F126" s="484"/>
      <c r="G126" s="484"/>
      <c r="H126" s="484"/>
      <c r="I126" s="2145" t="s">
        <v>1538</v>
      </c>
      <c r="J126" s="2146"/>
      <c r="K126" s="1160">
        <f>IF(L126&lt;&gt;0," ",0)</f>
        <v>0</v>
      </c>
      <c r="L126" s="2156">
        <f>SUM('Cost Control'!G7:G16)</f>
        <v>0</v>
      </c>
      <c r="M126" s="2157"/>
    </row>
    <row r="127" spans="2:13" s="518" customFormat="1" ht="16.100000000000001" thickBot="1">
      <c r="B127" s="652"/>
      <c r="C127" s="484"/>
      <c r="D127" s="484"/>
      <c r="E127" s="484"/>
      <c r="F127" s="484"/>
      <c r="G127" s="484"/>
      <c r="H127" s="484"/>
      <c r="I127" s="2145" t="s">
        <v>1539</v>
      </c>
      <c r="J127" s="2146"/>
      <c r="K127" s="1161">
        <f>IF(L127&lt;&gt;0,'Cost Control'!A53,0)</f>
        <v>0</v>
      </c>
      <c r="L127" s="2151">
        <f>SUM('Cost Control'!G53:G58)</f>
        <v>0</v>
      </c>
      <c r="M127" s="2152"/>
    </row>
    <row r="128" spans="2:13" s="518" customFormat="1" ht="16.100000000000001" thickBot="1">
      <c r="B128" s="652"/>
      <c r="C128" s="484"/>
      <c r="D128" s="484"/>
      <c r="E128" s="484"/>
      <c r="F128" s="484"/>
      <c r="G128" s="484"/>
      <c r="H128" s="484"/>
      <c r="I128" s="2145" t="s">
        <v>903</v>
      </c>
      <c r="J128" s="2146"/>
      <c r="K128" s="1161">
        <f>IF(L128&lt;&gt;0,'Cost Control'!A40,0)</f>
        <v>0</v>
      </c>
      <c r="L128" s="2151">
        <f>SUM('Cost Control'!G40:G51)</f>
        <v>0</v>
      </c>
      <c r="M128" s="2152"/>
    </row>
    <row r="129" spans="2:13" s="518" customFormat="1" ht="16.100000000000001" thickBot="1">
      <c r="B129" s="652"/>
      <c r="C129" s="484"/>
      <c r="D129" s="484"/>
      <c r="E129" s="484"/>
      <c r="F129" s="484"/>
      <c r="G129" s="484"/>
      <c r="H129" s="484"/>
      <c r="I129" s="2145" t="s">
        <v>1540</v>
      </c>
      <c r="J129" s="2146"/>
      <c r="K129" s="1161" t="str">
        <f>IF(L129&lt;&gt;0,'Cost Control'!A60," ")</f>
        <v xml:space="preserve"> </v>
      </c>
      <c r="L129" s="2151">
        <f>SUM('Cost Control'!G60:G66)</f>
        <v>0</v>
      </c>
      <c r="M129" s="2152"/>
    </row>
    <row r="130" spans="2:13" s="518" customFormat="1" ht="15.45">
      <c r="B130" s="652"/>
      <c r="C130" s="484"/>
      <c r="D130" s="484"/>
      <c r="E130" s="484"/>
      <c r="F130" s="484"/>
      <c r="G130" s="484"/>
      <c r="H130" s="484"/>
      <c r="I130" s="2145" t="s">
        <v>1451</v>
      </c>
      <c r="J130" s="2146"/>
      <c r="K130" s="1161">
        <f>IF(L130&lt;&gt;0,'Cost Control'!A68,0)</f>
        <v>0</v>
      </c>
      <c r="L130" s="2151">
        <f>SUM('Cost Control'!G68:G73)</f>
        <v>0</v>
      </c>
      <c r="M130" s="2152"/>
    </row>
    <row r="131" spans="2:13" s="518" customFormat="1" ht="15.45">
      <c r="B131" s="652"/>
      <c r="C131" s="484"/>
      <c r="D131" s="484"/>
      <c r="E131" s="484"/>
      <c r="F131" s="484"/>
      <c r="G131" s="484"/>
      <c r="H131" s="484"/>
      <c r="I131" s="2148" t="str">
        <f>IF(L131&lt;&gt;0,'Cost Control'!B18," ")</f>
        <v xml:space="preserve"> </v>
      </c>
      <c r="J131" s="2149"/>
      <c r="K131" s="1161">
        <f>IF(L131&lt;&gt;0,'Cost Control'!A18,0)</f>
        <v>0</v>
      </c>
      <c r="L131" s="2151">
        <f>'Cost Control'!G18</f>
        <v>0</v>
      </c>
      <c r="M131" s="2152"/>
    </row>
    <row r="132" spans="2:13" s="518" customFormat="1" ht="15.45">
      <c r="B132" s="652"/>
      <c r="C132" s="484"/>
      <c r="D132" s="484"/>
      <c r="E132" s="484"/>
      <c r="F132" s="484"/>
      <c r="G132" s="484"/>
      <c r="H132" s="484"/>
      <c r="I132" s="2148" t="str">
        <f>IF(L132&lt;&gt;0,'Cost Control'!B19," ")</f>
        <v xml:space="preserve"> </v>
      </c>
      <c r="J132" s="2149"/>
      <c r="K132" s="1161">
        <f>IF(L132&lt;&gt;0,'Cost Control'!A19,0)</f>
        <v>0</v>
      </c>
      <c r="L132" s="2151">
        <f>'Cost Control'!G19</f>
        <v>0</v>
      </c>
      <c r="M132" s="2152"/>
    </row>
    <row r="133" spans="2:13" s="518" customFormat="1" ht="15.45">
      <c r="B133" s="652"/>
      <c r="C133" s="484"/>
      <c r="D133" s="484"/>
      <c r="E133" s="484"/>
      <c r="F133" s="484"/>
      <c r="G133" s="484"/>
      <c r="H133" s="484"/>
      <c r="I133" s="2148" t="str">
        <f>IF(L133&lt;&gt;0,'Cost Control'!B20," ")</f>
        <v xml:space="preserve"> </v>
      </c>
      <c r="J133" s="2149"/>
      <c r="K133" s="1161">
        <f>IF(L133&lt;&gt;0,'Cost Control'!A20,0)</f>
        <v>0</v>
      </c>
      <c r="L133" s="2151">
        <f>'Cost Control'!G20</f>
        <v>0</v>
      </c>
      <c r="M133" s="2152"/>
    </row>
    <row r="134" spans="2:13" s="518" customFormat="1" ht="15.45">
      <c r="B134" s="652"/>
      <c r="C134" s="484"/>
      <c r="D134" s="484"/>
      <c r="E134" s="484"/>
      <c r="F134" s="484"/>
      <c r="G134" s="484"/>
      <c r="H134" s="484"/>
      <c r="I134" s="2148" t="str">
        <f>IF(L134&lt;&gt;0,'Cost Control'!B21," ")</f>
        <v xml:space="preserve"> </v>
      </c>
      <c r="J134" s="2149"/>
      <c r="K134" s="1161">
        <f>IF(L134&lt;&gt;0,'Cost Control'!A21,0)</f>
        <v>0</v>
      </c>
      <c r="L134" s="2151">
        <f>'Cost Control'!G21</f>
        <v>0</v>
      </c>
      <c r="M134" s="2152"/>
    </row>
    <row r="135" spans="2:13" s="518" customFormat="1" ht="15.45">
      <c r="B135" s="652"/>
      <c r="C135" s="484"/>
      <c r="D135" s="484"/>
      <c r="E135" s="484"/>
      <c r="F135" s="484"/>
      <c r="G135" s="484"/>
      <c r="H135" s="484"/>
      <c r="I135" s="2148" t="str">
        <f>IF(L135&lt;&gt;0,'Cost Control'!B22," ")</f>
        <v xml:space="preserve"> </v>
      </c>
      <c r="J135" s="2149"/>
      <c r="K135" s="1161">
        <f>IF(L135&lt;&gt;0,'Cost Control'!A22,0)</f>
        <v>0</v>
      </c>
      <c r="L135" s="2151">
        <f>'Cost Control'!G22</f>
        <v>0</v>
      </c>
      <c r="M135" s="2152"/>
    </row>
    <row r="136" spans="2:13" s="518" customFormat="1" ht="15.45">
      <c r="B136" s="652"/>
      <c r="C136" s="484"/>
      <c r="D136" s="484"/>
      <c r="E136" s="484"/>
      <c r="F136" s="484"/>
      <c r="G136" s="484"/>
      <c r="H136" s="484"/>
      <c r="I136" s="2148" t="str">
        <f>IF(L136&lt;&gt;0,'Cost Control'!B23," ")</f>
        <v xml:space="preserve"> </v>
      </c>
      <c r="J136" s="2149"/>
      <c r="K136" s="1161">
        <f>IF(L136&lt;&gt;0,'Cost Control'!A23,0)</f>
        <v>0</v>
      </c>
      <c r="L136" s="2151">
        <f>'Cost Control'!G23</f>
        <v>0</v>
      </c>
      <c r="M136" s="2152"/>
    </row>
    <row r="137" spans="2:13" s="518" customFormat="1" ht="15.45">
      <c r="B137" s="652"/>
      <c r="C137" s="484"/>
      <c r="D137" s="484"/>
      <c r="E137" s="484"/>
      <c r="F137" s="484"/>
      <c r="G137" s="484"/>
      <c r="H137" s="484"/>
      <c r="I137" s="2148" t="str">
        <f>IF(L137&lt;&gt;0,'Cost Control'!B24," ")</f>
        <v xml:space="preserve"> </v>
      </c>
      <c r="J137" s="2149"/>
      <c r="K137" s="1161">
        <f>IF(L137&lt;&gt;0,'Cost Control'!A24,0)</f>
        <v>0</v>
      </c>
      <c r="L137" s="2151">
        <f>'Cost Control'!G24</f>
        <v>0</v>
      </c>
      <c r="M137" s="2152"/>
    </row>
    <row r="138" spans="2:13" s="518" customFormat="1" ht="15.45">
      <c r="B138" s="652"/>
      <c r="C138" s="484"/>
      <c r="D138" s="484"/>
      <c r="E138" s="484"/>
      <c r="F138" s="484"/>
      <c r="G138" s="484"/>
      <c r="H138" s="484"/>
      <c r="I138" s="2148" t="str">
        <f>IF(L138&lt;&gt;0,'Cost Control'!B25," ")</f>
        <v xml:space="preserve"> </v>
      </c>
      <c r="J138" s="2149"/>
      <c r="K138" s="1161">
        <f>IF(L138&lt;&gt;0,'Cost Control'!A25,0)</f>
        <v>0</v>
      </c>
      <c r="L138" s="2151">
        <f>'Cost Control'!G25</f>
        <v>0</v>
      </c>
      <c r="M138" s="2152"/>
    </row>
    <row r="139" spans="2:13" s="518" customFormat="1" ht="15.45">
      <c r="B139" s="652"/>
      <c r="C139" s="484"/>
      <c r="D139" s="484"/>
      <c r="E139" s="484"/>
      <c r="F139" s="484"/>
      <c r="G139" s="484"/>
      <c r="H139" s="484"/>
      <c r="I139" s="2148" t="str">
        <f>IF(L139&lt;&gt;0,'Cost Control'!B26," ")</f>
        <v xml:space="preserve"> </v>
      </c>
      <c r="J139" s="2149"/>
      <c r="K139" s="1161">
        <f>IF(L139&lt;&gt;0,'Cost Control'!A26,0)</f>
        <v>0</v>
      </c>
      <c r="L139" s="2151">
        <f>'Cost Control'!G26</f>
        <v>0</v>
      </c>
      <c r="M139" s="2152"/>
    </row>
    <row r="140" spans="2:13" s="518" customFormat="1" ht="15.45">
      <c r="B140" s="652"/>
      <c r="C140" s="484"/>
      <c r="D140" s="484"/>
      <c r="E140" s="484"/>
      <c r="F140" s="484"/>
      <c r="G140" s="484"/>
      <c r="H140" s="484"/>
      <c r="I140" s="2148" t="str">
        <f>IF(L140&lt;&gt;0,'Cost Control'!B27," ")</f>
        <v xml:space="preserve"> </v>
      </c>
      <c r="J140" s="2149"/>
      <c r="K140" s="1161">
        <f>IF(L140&lt;&gt;0,'Cost Control'!A27,0)</f>
        <v>0</v>
      </c>
      <c r="L140" s="2151">
        <f>'Cost Control'!G27</f>
        <v>0</v>
      </c>
      <c r="M140" s="2152"/>
    </row>
    <row r="141" spans="2:13" s="518" customFormat="1" ht="15.45">
      <c r="B141" s="652"/>
      <c r="C141" s="484"/>
      <c r="D141" s="484"/>
      <c r="E141" s="484"/>
      <c r="F141" s="484"/>
      <c r="G141" s="484"/>
      <c r="H141" s="484"/>
      <c r="I141" s="2148" t="str">
        <f>IF(L141&lt;&gt;0,'Cost Control'!B28," ")</f>
        <v xml:space="preserve"> </v>
      </c>
      <c r="J141" s="2149"/>
      <c r="K141" s="1161">
        <f>IF(L141&lt;&gt;0,'Cost Control'!A28,0)</f>
        <v>0</v>
      </c>
      <c r="L141" s="2151">
        <f>'Cost Control'!G28</f>
        <v>0</v>
      </c>
      <c r="M141" s="2152"/>
    </row>
    <row r="142" spans="2:13" s="518" customFormat="1" ht="15.45">
      <c r="B142" s="652"/>
      <c r="C142" s="484"/>
      <c r="D142" s="484"/>
      <c r="E142" s="484"/>
      <c r="F142" s="484"/>
      <c r="G142" s="484"/>
      <c r="H142" s="484"/>
      <c r="I142" s="2148" t="str">
        <f>IF(L142&lt;&gt;0,'Cost Control'!B29," ")</f>
        <v xml:space="preserve"> </v>
      </c>
      <c r="J142" s="2149"/>
      <c r="K142" s="1161">
        <f>IF(L142&lt;&gt;0,'Cost Control'!A29,0)</f>
        <v>0</v>
      </c>
      <c r="L142" s="2151">
        <f>'Cost Control'!G29</f>
        <v>0</v>
      </c>
      <c r="M142" s="2152"/>
    </row>
    <row r="143" spans="2:13" s="518" customFormat="1" ht="15.45">
      <c r="B143" s="652"/>
      <c r="C143" s="484"/>
      <c r="D143" s="484"/>
      <c r="E143" s="484"/>
      <c r="F143" s="484"/>
      <c r="G143" s="484"/>
      <c r="H143" s="484"/>
      <c r="I143" s="2148" t="str">
        <f>IF(L143&lt;&gt;0,'Cost Control'!B30," ")</f>
        <v xml:space="preserve"> </v>
      </c>
      <c r="J143" s="2149"/>
      <c r="K143" s="1161">
        <f>IF(L143&lt;&gt;0,'Cost Control'!A30,0)</f>
        <v>0</v>
      </c>
      <c r="L143" s="2151">
        <f>'Cost Control'!G30</f>
        <v>0</v>
      </c>
      <c r="M143" s="2152"/>
    </row>
    <row r="144" spans="2:13" s="518" customFormat="1" ht="15.45">
      <c r="B144" s="652"/>
      <c r="C144" s="484"/>
      <c r="D144" s="484"/>
      <c r="E144" s="484"/>
      <c r="F144" s="484"/>
      <c r="G144" s="484"/>
      <c r="H144" s="484"/>
      <c r="I144" s="2148" t="str">
        <f>IF(L144&lt;&gt;0,'Cost Control'!B31," ")</f>
        <v xml:space="preserve"> </v>
      </c>
      <c r="J144" s="2149"/>
      <c r="K144" s="1161">
        <f>IF(L144&lt;&gt;0,'Cost Control'!A31,0)</f>
        <v>0</v>
      </c>
      <c r="L144" s="2151">
        <f>'Cost Control'!G31</f>
        <v>0</v>
      </c>
      <c r="M144" s="2152"/>
    </row>
    <row r="145" spans="2:13" s="518" customFormat="1" ht="15.45">
      <c r="B145" s="652"/>
      <c r="C145" s="484"/>
      <c r="D145" s="484"/>
      <c r="E145" s="484"/>
      <c r="F145" s="484"/>
      <c r="G145" s="484"/>
      <c r="H145" s="484"/>
      <c r="I145" s="2148" t="str">
        <f>IF(L145&lt;&gt;0,'Cost Control'!B32," ")</f>
        <v xml:space="preserve"> </v>
      </c>
      <c r="J145" s="2149"/>
      <c r="K145" s="1161">
        <f>IF(L145&lt;&gt;0,'Cost Control'!A32,0)</f>
        <v>0</v>
      </c>
      <c r="L145" s="2151">
        <f>'Cost Control'!G32</f>
        <v>0</v>
      </c>
      <c r="M145" s="2152"/>
    </row>
    <row r="146" spans="2:13" s="518" customFormat="1" ht="15.45">
      <c r="B146" s="652"/>
      <c r="C146" s="484"/>
      <c r="D146" s="484"/>
      <c r="E146" s="484"/>
      <c r="F146" s="484"/>
      <c r="G146" s="484"/>
      <c r="H146" s="484"/>
      <c r="I146" s="2148" t="str">
        <f>IF(L146&lt;&gt;0,'Cost Control'!B33," ")</f>
        <v xml:space="preserve"> </v>
      </c>
      <c r="J146" s="2149"/>
      <c r="K146" s="1161">
        <f>IF(L146&lt;&gt;0,'Cost Control'!A33,0)</f>
        <v>0</v>
      </c>
      <c r="L146" s="2151">
        <f>'Cost Control'!G33</f>
        <v>0</v>
      </c>
      <c r="M146" s="2152"/>
    </row>
    <row r="147" spans="2:13" s="518" customFormat="1" ht="15.45">
      <c r="B147" s="652"/>
      <c r="C147" s="484"/>
      <c r="D147" s="484"/>
      <c r="E147" s="484"/>
      <c r="F147" s="484"/>
      <c r="G147" s="484"/>
      <c r="H147" s="484"/>
      <c r="I147" s="2148" t="str">
        <f>IF(L147&lt;&gt;0,'Cost Control'!B34," ")</f>
        <v xml:space="preserve"> </v>
      </c>
      <c r="J147" s="2149"/>
      <c r="K147" s="1161">
        <f>IF(L147&lt;&gt;0,'Cost Control'!A34,0)</f>
        <v>0</v>
      </c>
      <c r="L147" s="2151">
        <f>'Cost Control'!G34</f>
        <v>0</v>
      </c>
      <c r="M147" s="2152"/>
    </row>
    <row r="148" spans="2:13" s="518" customFormat="1" ht="15.45">
      <c r="B148" s="652"/>
      <c r="C148" s="484"/>
      <c r="D148" s="484"/>
      <c r="E148" s="484"/>
      <c r="F148" s="484"/>
      <c r="G148" s="484"/>
      <c r="H148" s="484"/>
      <c r="I148" s="2148" t="str">
        <f>IF(L148&lt;&gt;0,'Cost Control'!B35," ")</f>
        <v xml:space="preserve"> </v>
      </c>
      <c r="J148" s="2149"/>
      <c r="K148" s="1161">
        <f>IF(L148&lt;&gt;0,'Cost Control'!A35,0)</f>
        <v>0</v>
      </c>
      <c r="L148" s="2151">
        <f>'Cost Control'!G35</f>
        <v>0</v>
      </c>
      <c r="M148" s="2152"/>
    </row>
    <row r="149" spans="2:13" s="518" customFormat="1" ht="15.45">
      <c r="B149" s="652"/>
      <c r="C149" s="484"/>
      <c r="D149" s="484"/>
      <c r="E149" s="484"/>
      <c r="F149" s="484"/>
      <c r="G149" s="484"/>
      <c r="H149" s="484"/>
      <c r="I149" s="2148" t="str">
        <f>IF(L149&lt;&gt;0,'Cost Control'!B36," ")</f>
        <v xml:space="preserve"> </v>
      </c>
      <c r="J149" s="2149"/>
      <c r="K149" s="1161">
        <f>IF(L149&lt;&gt;0,'Cost Control'!A36,0)</f>
        <v>0</v>
      </c>
      <c r="L149" s="2151">
        <f>'Cost Control'!G36</f>
        <v>0</v>
      </c>
      <c r="M149" s="2152"/>
    </row>
    <row r="150" spans="2:13" s="518" customFormat="1" ht="15.45">
      <c r="B150" s="652"/>
      <c r="C150" s="484"/>
      <c r="D150" s="484"/>
      <c r="E150" s="484"/>
      <c r="F150" s="484"/>
      <c r="G150" s="484"/>
      <c r="H150" s="484"/>
      <c r="I150" s="2148" t="str">
        <f>IF(L150&lt;&gt;0,'Cost Control'!B37," ")</f>
        <v xml:space="preserve"> </v>
      </c>
      <c r="J150" s="2149"/>
      <c r="K150" s="1161">
        <f>IF(L150&lt;&gt;0,'Cost Control'!A37,0)</f>
        <v>0</v>
      </c>
      <c r="L150" s="2151">
        <f>'Cost Control'!G37</f>
        <v>0</v>
      </c>
      <c r="M150" s="2152"/>
    </row>
    <row r="151" spans="2:13" s="518" customFormat="1" ht="15.45">
      <c r="B151" s="652"/>
      <c r="C151" s="484"/>
      <c r="D151" s="484"/>
      <c r="E151" s="484"/>
      <c r="F151" s="484"/>
      <c r="G151" s="484"/>
      <c r="H151" s="484"/>
      <c r="I151" s="2148" t="str">
        <f>IF(L151&lt;&gt;0,'Cost Control'!B38," ")</f>
        <v xml:space="preserve"> </v>
      </c>
      <c r="J151" s="2149"/>
      <c r="K151" s="1161">
        <f>IF(L151&lt;&gt;0,'Cost Control'!A38,0)</f>
        <v>0</v>
      </c>
      <c r="L151" s="2151">
        <f>'Cost Control'!G38</f>
        <v>0</v>
      </c>
      <c r="M151" s="2152"/>
    </row>
    <row r="152" spans="2:13" s="518" customFormat="1" ht="16.100000000000001" thickBot="1">
      <c r="B152" s="652"/>
      <c r="C152" s="484"/>
      <c r="D152" s="484"/>
      <c r="E152" s="484"/>
      <c r="F152" s="484"/>
      <c r="G152" s="484"/>
      <c r="H152" s="484"/>
      <c r="I152" s="2148" t="str">
        <f>IF(L152&lt;&gt;0,'Cost Control'!B39," ")</f>
        <v xml:space="preserve"> </v>
      </c>
      <c r="J152" s="2149"/>
      <c r="K152" s="1161">
        <f>IF(L152&lt;&gt;0,'Cost Control'!A39,0)</f>
        <v>0</v>
      </c>
      <c r="L152" s="2151">
        <f>'Cost Control'!G39</f>
        <v>0</v>
      </c>
      <c r="M152" s="2152"/>
    </row>
    <row r="153" spans="2:13" ht="13.1">
      <c r="B153" s="141" t="s">
        <v>695</v>
      </c>
      <c r="C153" s="50"/>
      <c r="D153" s="50"/>
      <c r="E153" s="2150">
        <f>K169</f>
        <v>3</v>
      </c>
      <c r="F153" s="2150"/>
      <c r="G153" s="50"/>
      <c r="H153" s="50"/>
      <c r="I153" s="50"/>
      <c r="J153" s="50"/>
      <c r="K153" s="50"/>
      <c r="L153" s="50"/>
      <c r="M153" s="43"/>
    </row>
    <row r="154" spans="2:13">
      <c r="B154" s="1628"/>
      <c r="C154" s="1629"/>
      <c r="D154" s="1629"/>
      <c r="E154" s="1629"/>
      <c r="F154" s="1629"/>
      <c r="G154" s="1629"/>
      <c r="H154" s="1629"/>
      <c r="I154" s="1629"/>
      <c r="J154" s="1629"/>
      <c r="K154" s="1629"/>
      <c r="L154" s="1629"/>
      <c r="M154" s="1630"/>
    </row>
    <row r="155" spans="2:13" ht="13.5" thickBot="1">
      <c r="B155" s="1480"/>
      <c r="C155" s="1479"/>
      <c r="D155" s="1479"/>
      <c r="E155" s="1479"/>
      <c r="F155" s="1479"/>
      <c r="G155" s="1479"/>
      <c r="H155" s="1631"/>
      <c r="I155" s="1631"/>
      <c r="J155" s="1631"/>
      <c r="K155" s="1631"/>
      <c r="L155" s="1631"/>
      <c r="M155" s="1555"/>
    </row>
    <row r="156" spans="2:13" ht="15.45">
      <c r="B156" s="307" t="s">
        <v>645</v>
      </c>
      <c r="C156" s="308"/>
      <c r="D156" s="2135">
        <f>D101</f>
        <v>0</v>
      </c>
      <c r="E156" s="2135"/>
      <c r="F156" s="309" t="s">
        <v>647</v>
      </c>
      <c r="G156" s="310">
        <f>G101</f>
        <v>0</v>
      </c>
      <c r="H156" s="172" t="s">
        <v>648</v>
      </c>
      <c r="I156" s="472">
        <v>0</v>
      </c>
      <c r="J156" s="2173" t="s">
        <v>650</v>
      </c>
      <c r="K156" s="2173"/>
      <c r="L156" s="1378"/>
      <c r="M156" s="486" t="str">
        <f>M101</f>
        <v>° F</v>
      </c>
    </row>
    <row r="157" spans="2:13">
      <c r="B157" s="44" t="s">
        <v>644</v>
      </c>
      <c r="E157" t="s">
        <v>655</v>
      </c>
      <c r="G157">
        <f>IF('Daily Load'!P56="Yes",Operations!D118,IF('Daily Load'!V56="Yes",Operations!D120,Operations!D121))</f>
        <v>0</v>
      </c>
      <c r="I157" s="195" t="s">
        <v>651</v>
      </c>
      <c r="L157" s="2170">
        <f>'Cost Control'!G74</f>
        <v>0</v>
      </c>
      <c r="M157" s="2171"/>
    </row>
    <row r="158" spans="2:13">
      <c r="B158" s="44"/>
      <c r="E158" s="223" t="s">
        <v>193</v>
      </c>
      <c r="F158" s="223" t="s">
        <v>194</v>
      </c>
      <c r="G158" s="223" t="str">
        <f>G103</f>
        <v>Other</v>
      </c>
      <c r="H158" s="1627" t="s">
        <v>587</v>
      </c>
      <c r="I158" s="31" t="s">
        <v>652</v>
      </c>
      <c r="L158" s="2170">
        <f>L104</f>
        <v>0</v>
      </c>
      <c r="M158" s="2171"/>
    </row>
    <row r="159" spans="2:13" ht="13.5" thickBot="1">
      <c r="B159" s="44" t="s">
        <v>643</v>
      </c>
      <c r="E159" s="361">
        <f>IF(E163&gt;0,E161-E163,E161+E162+E160)</f>
        <v>0</v>
      </c>
      <c r="F159" s="361">
        <f>IF(F163&gt;0,F161-F163,F161+F162+F160)</f>
        <v>0</v>
      </c>
      <c r="G159" s="361">
        <f>IF(G163&gt;0,G161-G163,G161+G162+G160)</f>
        <v>0</v>
      </c>
      <c r="H159" t="str">
        <f>H105</f>
        <v>bbl</v>
      </c>
      <c r="I159" s="31" t="s">
        <v>653</v>
      </c>
      <c r="L159" s="2163">
        <f>L157+L158</f>
        <v>0</v>
      </c>
      <c r="M159" s="2164"/>
    </row>
    <row r="160" spans="2:13" ht="13.5" thickTop="1">
      <c r="B160" s="311" t="s">
        <v>642</v>
      </c>
      <c r="E160" s="361">
        <f>IF('Daily Load'!P56="Yes",'Daily Load'!L51,IF('Daily Load'!V56="Yes",'Daily Load'!R51,'Daily Load'!X51))</f>
        <v>0</v>
      </c>
      <c r="F160" s="361">
        <f>IF('Daily Load'!P56="Yes",'Daily Load'!N51,IF('Daily Load'!V56="Yes",'Daily Load'!T51,'Daily Load'!Z51))</f>
        <v>0</v>
      </c>
      <c r="G160" s="361">
        <f>IF('Daily Load'!P56="Yes",'Daily Load'!P51,IF('Daily Load'!V56="Yes",'Daily Load'!V51,'Daily Load'!AB51))</f>
        <v>0</v>
      </c>
      <c r="H160" t="str">
        <f>H159</f>
        <v>bbl</v>
      </c>
      <c r="I160" s="31"/>
      <c r="L160" s="521"/>
      <c r="M160" s="522"/>
    </row>
    <row r="161" spans="2:13">
      <c r="B161" s="44" t="s">
        <v>641</v>
      </c>
      <c r="E161" s="361">
        <f>IF(G157=D9,'Daily Load'!F55+E106,IF(G157=G102,'Daily Load'!F55+E106,'Daily Load'!F55))</f>
        <v>0</v>
      </c>
      <c r="F161" s="361">
        <f>IF(G157=D9,'Daily Load'!H55+F106,IF(G157=G102,'Daily Load'!H55+F106,'Daily Load'!H55))</f>
        <v>0</v>
      </c>
      <c r="G161" s="361">
        <f>IF(G157=D9,'Daily Load'!J55+G106,IF(G157=G102,'Daily Load'!J55+G106,'Daily Load'!J55))</f>
        <v>0</v>
      </c>
      <c r="H161" t="str">
        <f>H160</f>
        <v>bbl</v>
      </c>
      <c r="I161" s="33" t="s">
        <v>654</v>
      </c>
      <c r="J161" s="19"/>
      <c r="K161" s="19"/>
      <c r="L161" s="2165">
        <f>L106</f>
        <v>0</v>
      </c>
      <c r="M161" s="2166"/>
    </row>
    <row r="162" spans="2:13">
      <c r="B162" s="44" t="s">
        <v>640</v>
      </c>
      <c r="E162" s="361">
        <f>IF('Daily Load'!P56="Yes",'Daily Load'!L53,IF('Daily Load'!V56="Yes",'Daily Load'!R53,'Daily Load'!X53))</f>
        <v>0</v>
      </c>
      <c r="F162" s="361">
        <f>IF('Daily Load'!P56="Yes",'Daily Load'!N53,IF('Daily Load'!V56="Yes",'Daily Load'!T53,'Daily Load'!Z53))</f>
        <v>0</v>
      </c>
      <c r="G162" s="361">
        <f>IF('Daily Load'!P56="Yes",'Daily Load'!P53,IF('Daily Load'!V56="Yes",'Daily Load'!V53,'Daily Load'!AB53))</f>
        <v>0</v>
      </c>
      <c r="H162" t="str">
        <f>H161</f>
        <v>bbl</v>
      </c>
      <c r="I162" s="2160" t="str">
        <f>I107</f>
        <v xml:space="preserve"> </v>
      </c>
      <c r="J162" s="2059"/>
      <c r="K162" s="2161"/>
      <c r="L162" s="2174" t="str">
        <f>L107</f>
        <v xml:space="preserve">0 </v>
      </c>
      <c r="M162" s="2175"/>
    </row>
    <row r="163" spans="2:13" ht="13.5" thickBot="1">
      <c r="B163" s="46" t="s">
        <v>639</v>
      </c>
      <c r="C163" s="21"/>
      <c r="D163" s="21"/>
      <c r="E163" s="380">
        <f>IF('Daily Load'!P56="Yes",'Daily Load'!L54,IF('Daily Load'!V56="Yes",'Daily Load'!R54,'Daily Load'!X54))</f>
        <v>0</v>
      </c>
      <c r="F163" s="380">
        <f>IF('Daily Load'!P56="Yes",'Daily Load'!N54,IF('Daily Load'!V56="Yes",'Daily Load'!T54,'Daily Load'!Z54))</f>
        <v>0</v>
      </c>
      <c r="G163" s="380">
        <f>IF('Daily Load'!P128="Yes",'Daily Load'!P54,IF('Daily Load'!V92="Yes",'Daily Load'!V54,'Daily Load'!AB54))</f>
        <v>0</v>
      </c>
      <c r="H163" s="21" t="str">
        <f>H162</f>
        <v>bbl</v>
      </c>
      <c r="I163" s="2167" t="s">
        <v>677</v>
      </c>
      <c r="J163" s="2168"/>
      <c r="K163" s="2169"/>
      <c r="L163" s="2167" t="s">
        <v>826</v>
      </c>
      <c r="M163" s="2172"/>
    </row>
    <row r="164" spans="2:13">
      <c r="B164" s="50"/>
      <c r="C164" s="50"/>
      <c r="D164" s="50"/>
      <c r="E164" s="1185"/>
      <c r="F164" s="1185"/>
      <c r="G164" s="1185"/>
      <c r="H164" s="50"/>
      <c r="I164" s="1186"/>
      <c r="J164" s="1186"/>
      <c r="K164" s="1186"/>
      <c r="L164" s="1186"/>
      <c r="M164" s="1186"/>
    </row>
    <row r="165" spans="2:13" ht="13.5" thickBot="1">
      <c r="B165" s="21"/>
      <c r="C165" s="21"/>
      <c r="D165" s="21"/>
      <c r="E165" s="21"/>
      <c r="F165" s="21"/>
      <c r="G165" s="21"/>
      <c r="H165" s="21"/>
      <c r="I165" s="21"/>
      <c r="J165" s="21"/>
      <c r="K165" s="21"/>
      <c r="L165" s="21"/>
      <c r="M165" s="21"/>
    </row>
    <row r="166" spans="2:13">
      <c r="B166" s="44"/>
      <c r="M166" s="45"/>
    </row>
    <row r="167" spans="2:13">
      <c r="B167" s="44"/>
      <c r="J167" s="2143">
        <f>J112</f>
        <v>0</v>
      </c>
      <c r="K167" s="2143"/>
      <c r="L167" s="2143"/>
      <c r="M167" s="45"/>
    </row>
    <row r="168" spans="2:13">
      <c r="B168" s="44"/>
      <c r="M168" s="45"/>
    </row>
    <row r="169" spans="2:13" ht="13.1">
      <c r="B169" s="137" t="s">
        <v>634</v>
      </c>
      <c r="C169">
        <f>Summary!$C$6</f>
        <v>0</v>
      </c>
      <c r="H169" s="22" t="s">
        <v>636</v>
      </c>
      <c r="I169" s="22"/>
      <c r="K169" s="2158">
        <f>'Cost Control'!H5</f>
        <v>3</v>
      </c>
      <c r="L169" s="2158"/>
      <c r="M169" s="2159"/>
    </row>
    <row r="170" spans="2:13" ht="13.1">
      <c r="B170" s="44"/>
      <c r="H170" s="22"/>
      <c r="I170" s="22"/>
      <c r="M170" s="45"/>
    </row>
    <row r="171" spans="2:13" ht="13.1">
      <c r="B171" s="137" t="s">
        <v>635</v>
      </c>
      <c r="D171" s="2136">
        <f>D116</f>
        <v>0</v>
      </c>
      <c r="E171" s="2136"/>
      <c r="F171" s="2136"/>
      <c r="G171" s="2136"/>
      <c r="H171" s="2136"/>
      <c r="I171" s="22" t="s">
        <v>637</v>
      </c>
      <c r="J171" s="3">
        <f>J116+1</f>
        <v>4</v>
      </c>
      <c r="M171" s="45"/>
    </row>
    <row r="172" spans="2:13" ht="13.1">
      <c r="B172" s="137"/>
      <c r="D172" s="2136"/>
      <c r="E172" s="2136"/>
      <c r="F172" s="2136"/>
      <c r="G172" s="2136"/>
      <c r="H172" s="2136"/>
      <c r="I172" t="s">
        <v>63</v>
      </c>
      <c r="J172" s="2142">
        <f>J117</f>
        <v>0</v>
      </c>
      <c r="K172" s="2143"/>
      <c r="M172" s="45"/>
    </row>
    <row r="173" spans="2:13" ht="13.1">
      <c r="B173" s="137" t="s">
        <v>146</v>
      </c>
      <c r="D173">
        <f>Summary!$C$32</f>
        <v>0</v>
      </c>
      <c r="F173" s="1819" t="str">
        <f>F118</f>
        <v>OPEN HOLE INTERVAL:</v>
      </c>
      <c r="G173" s="1819"/>
      <c r="H173" s="2147">
        <f>H118</f>
        <v>0</v>
      </c>
      <c r="I173" s="2147"/>
      <c r="J173" s="2147">
        <f>J118</f>
        <v>0</v>
      </c>
      <c r="K173" s="2147"/>
      <c r="L173" s="2147">
        <f>L118</f>
        <v>0</v>
      </c>
      <c r="M173" s="2154"/>
    </row>
    <row r="174" spans="2:13">
      <c r="B174" s="44"/>
      <c r="H174" s="2153"/>
      <c r="I174" s="2153"/>
      <c r="J174" s="1145"/>
      <c r="K174" s="1145"/>
      <c r="L174" s="1145"/>
      <c r="M174" s="1146"/>
    </row>
    <row r="175" spans="2:13" ht="13.1">
      <c r="B175" s="44"/>
      <c r="D175">
        <f>Summary!$F$32</f>
        <v>0</v>
      </c>
      <c r="F175" s="1819" t="str">
        <f>F120</f>
        <v xml:space="preserve"> </v>
      </c>
      <c r="G175" s="1819"/>
      <c r="H175" s="2137">
        <f>H120</f>
        <v>0</v>
      </c>
      <c r="I175" s="2137"/>
      <c r="J175" s="2137">
        <f>J120</f>
        <v>0</v>
      </c>
      <c r="K175" s="2137"/>
      <c r="L175" s="2137">
        <f>L120</f>
        <v>0</v>
      </c>
      <c r="M175" s="2155"/>
    </row>
    <row r="176" spans="2:13" ht="13.1">
      <c r="B176" s="44"/>
      <c r="D176">
        <f>D121</f>
        <v>0</v>
      </c>
      <c r="F176" s="1819" t="str">
        <f>F121</f>
        <v xml:space="preserve"> </v>
      </c>
      <c r="G176" s="1819"/>
      <c r="H176" s="1737">
        <f>H121</f>
        <v>0</v>
      </c>
      <c r="I176" s="1737"/>
      <c r="J176" s="1737">
        <f>J121</f>
        <v>0</v>
      </c>
      <c r="K176" s="1737"/>
      <c r="L176" s="1737">
        <f>L121</f>
        <v>0</v>
      </c>
      <c r="M176" s="1791"/>
    </row>
    <row r="177" spans="2:13">
      <c r="B177" s="44"/>
      <c r="M177" s="45"/>
    </row>
    <row r="178" spans="2:13" ht="13.75" thickBot="1">
      <c r="B178" s="46"/>
      <c r="C178" s="21"/>
      <c r="D178" s="21"/>
      <c r="E178" s="1664" t="s">
        <v>638</v>
      </c>
      <c r="F178" s="1664"/>
      <c r="G178" s="1664"/>
      <c r="H178" s="1664"/>
      <c r="I178" s="1664"/>
      <c r="J178" s="21"/>
      <c r="K178" s="21"/>
      <c r="L178" s="21"/>
      <c r="M178" s="47"/>
    </row>
    <row r="179" spans="2:13" s="518" customFormat="1" ht="16.100000000000001" thickBot="1">
      <c r="B179" s="651"/>
      <c r="C179" s="484"/>
      <c r="D179" s="484"/>
      <c r="E179" s="484"/>
      <c r="F179" s="484"/>
      <c r="G179" s="484"/>
      <c r="H179" s="484"/>
      <c r="I179" s="2138" t="s">
        <v>61</v>
      </c>
      <c r="J179" s="2139"/>
      <c r="K179" s="2139"/>
      <c r="L179" s="2139"/>
      <c r="M179" s="2140"/>
    </row>
    <row r="180" spans="2:13" s="518" customFormat="1" ht="16.100000000000001" thickBot="1">
      <c r="B180" s="652"/>
      <c r="C180" s="484"/>
      <c r="D180" s="484"/>
      <c r="E180" s="484"/>
      <c r="F180" s="484"/>
      <c r="G180" s="484"/>
      <c r="H180" s="484"/>
      <c r="I180" s="2141" t="str">
        <f>I125</f>
        <v>Service</v>
      </c>
      <c r="J180" s="2141"/>
      <c r="K180" s="1159" t="s">
        <v>62</v>
      </c>
      <c r="L180" s="2144" t="s">
        <v>1454</v>
      </c>
      <c r="M180" s="2144"/>
    </row>
    <row r="181" spans="2:13" s="518" customFormat="1" ht="16.100000000000001" thickBot="1">
      <c r="B181" s="652"/>
      <c r="C181" s="484"/>
      <c r="D181" s="484"/>
      <c r="E181" s="484"/>
      <c r="F181" s="484"/>
      <c r="G181" s="484"/>
      <c r="H181" s="484"/>
      <c r="I181" s="2145" t="s">
        <v>1538</v>
      </c>
      <c r="J181" s="2146"/>
      <c r="K181" s="1160">
        <f>IF(L181&lt;&gt;0," ",0)</f>
        <v>0</v>
      </c>
      <c r="L181" s="2156">
        <f>SUM('Cost Control'!H7:H16)</f>
        <v>0</v>
      </c>
      <c r="M181" s="2157"/>
    </row>
    <row r="182" spans="2:13" s="518" customFormat="1" ht="16.100000000000001" thickBot="1">
      <c r="B182" s="652"/>
      <c r="C182" s="484"/>
      <c r="D182" s="484"/>
      <c r="E182" s="484"/>
      <c r="F182" s="484"/>
      <c r="G182" s="484"/>
      <c r="H182" s="484"/>
      <c r="I182" s="2145" t="s">
        <v>1539</v>
      </c>
      <c r="J182" s="2146"/>
      <c r="K182" s="1161">
        <f>IF(L182&lt;&gt;0,'Cost Control'!A53,0)</f>
        <v>0</v>
      </c>
      <c r="L182" s="2151">
        <f>SUM('Cost Control'!H53:H58)</f>
        <v>0</v>
      </c>
      <c r="M182" s="2152"/>
    </row>
    <row r="183" spans="2:13" s="518" customFormat="1" ht="16.100000000000001" thickBot="1">
      <c r="B183" s="652"/>
      <c r="C183" s="484"/>
      <c r="D183" s="484"/>
      <c r="E183" s="484"/>
      <c r="F183" s="484"/>
      <c r="G183" s="484"/>
      <c r="H183" s="484"/>
      <c r="I183" s="2145" t="s">
        <v>903</v>
      </c>
      <c r="J183" s="2146"/>
      <c r="K183" s="1161">
        <f>IF(L183&lt;&gt;0,'Cost Control'!A40,0)</f>
        <v>0</v>
      </c>
      <c r="L183" s="2151">
        <f>SUM('Cost Control'!H40:H51)</f>
        <v>0</v>
      </c>
      <c r="M183" s="2152"/>
    </row>
    <row r="184" spans="2:13" s="518" customFormat="1" ht="16.100000000000001" thickBot="1">
      <c r="B184" s="652"/>
      <c r="C184" s="484"/>
      <c r="D184" s="484"/>
      <c r="E184" s="484"/>
      <c r="F184" s="484"/>
      <c r="G184" s="484"/>
      <c r="H184" s="484"/>
      <c r="I184" s="2145" t="s">
        <v>1540</v>
      </c>
      <c r="J184" s="2146"/>
      <c r="K184" s="1161" t="str">
        <f>IF(L184&lt;&gt;0,'Cost Control'!A60," ")</f>
        <v xml:space="preserve"> </v>
      </c>
      <c r="L184" s="2151">
        <f>SUM('Cost Control'!H60:H66)</f>
        <v>0</v>
      </c>
      <c r="M184" s="2152"/>
    </row>
    <row r="185" spans="2:13" s="518" customFormat="1" ht="15.45">
      <c r="B185" s="652"/>
      <c r="C185" s="484"/>
      <c r="D185" s="484"/>
      <c r="E185" s="484"/>
      <c r="F185" s="484"/>
      <c r="G185" s="484"/>
      <c r="H185" s="484"/>
      <c r="I185" s="2145" t="s">
        <v>1451</v>
      </c>
      <c r="J185" s="2146"/>
      <c r="K185" s="1161">
        <f>IF(L185&lt;&gt;0,'Cost Control'!A68,0)</f>
        <v>0</v>
      </c>
      <c r="L185" s="2151">
        <f>SUM('Cost Control'!H68:H73)</f>
        <v>0</v>
      </c>
      <c r="M185" s="2152"/>
    </row>
    <row r="186" spans="2:13" s="518" customFormat="1" ht="15.45">
      <c r="B186" s="652"/>
      <c r="C186" s="484"/>
      <c r="D186" s="484"/>
      <c r="E186" s="484"/>
      <c r="F186" s="484"/>
      <c r="G186" s="484"/>
      <c r="H186" s="484"/>
      <c r="I186" s="2148" t="str">
        <f>IF(L186&lt;&gt;0,'Cost Control'!B18," ")</f>
        <v xml:space="preserve"> </v>
      </c>
      <c r="J186" s="2149"/>
      <c r="K186" s="1161">
        <f>IF(L186&lt;&gt;0,'Cost Control'!A18,0)</f>
        <v>0</v>
      </c>
      <c r="L186" s="2151">
        <f>'Cost Control'!H18</f>
        <v>0</v>
      </c>
      <c r="M186" s="2152"/>
    </row>
    <row r="187" spans="2:13" s="518" customFormat="1" ht="15.45">
      <c r="B187" s="652"/>
      <c r="C187" s="484"/>
      <c r="D187" s="484"/>
      <c r="E187" s="484"/>
      <c r="F187" s="484"/>
      <c r="G187" s="484"/>
      <c r="H187" s="484"/>
      <c r="I187" s="2148" t="str">
        <f>IF(L187&lt;&gt;0,'Cost Control'!B19," ")</f>
        <v xml:space="preserve"> </v>
      </c>
      <c r="J187" s="2149"/>
      <c r="K187" s="1161">
        <f>IF(L187&lt;&gt;0,'Cost Control'!A19,0)</f>
        <v>0</v>
      </c>
      <c r="L187" s="2151">
        <f>'Cost Control'!H19</f>
        <v>0</v>
      </c>
      <c r="M187" s="2152"/>
    </row>
    <row r="188" spans="2:13" s="518" customFormat="1" ht="15.45">
      <c r="B188" s="652"/>
      <c r="C188" s="484"/>
      <c r="D188" s="484"/>
      <c r="E188" s="484"/>
      <c r="F188" s="484"/>
      <c r="G188" s="484"/>
      <c r="H188" s="484"/>
      <c r="I188" s="2148" t="str">
        <f>IF(L188&lt;&gt;0,'Cost Control'!B20," ")</f>
        <v xml:space="preserve"> </v>
      </c>
      <c r="J188" s="2149"/>
      <c r="K188" s="1161">
        <f>IF(L188&lt;&gt;0,'Cost Control'!A20,0)</f>
        <v>0</v>
      </c>
      <c r="L188" s="2151">
        <f>'Cost Control'!H20</f>
        <v>0</v>
      </c>
      <c r="M188" s="2152"/>
    </row>
    <row r="189" spans="2:13" s="518" customFormat="1" ht="15.45">
      <c r="B189" s="652"/>
      <c r="C189" s="484"/>
      <c r="D189" s="484"/>
      <c r="E189" s="484"/>
      <c r="F189" s="484"/>
      <c r="G189" s="484"/>
      <c r="H189" s="484"/>
      <c r="I189" s="2148" t="str">
        <f>IF(L189&lt;&gt;0,'Cost Control'!B21," ")</f>
        <v xml:space="preserve"> </v>
      </c>
      <c r="J189" s="2149"/>
      <c r="K189" s="1161">
        <f>IF(L189&lt;&gt;0,'Cost Control'!A21,0)</f>
        <v>0</v>
      </c>
      <c r="L189" s="2151">
        <f>'Cost Control'!H21</f>
        <v>0</v>
      </c>
      <c r="M189" s="2152"/>
    </row>
    <row r="190" spans="2:13" s="518" customFormat="1" ht="15.45">
      <c r="B190" s="652"/>
      <c r="C190" s="484"/>
      <c r="D190" s="484"/>
      <c r="E190" s="484"/>
      <c r="F190" s="484"/>
      <c r="G190" s="484"/>
      <c r="H190" s="484"/>
      <c r="I190" s="2148" t="str">
        <f>IF(L190&lt;&gt;0,'Cost Control'!B22," ")</f>
        <v xml:space="preserve"> </v>
      </c>
      <c r="J190" s="2149"/>
      <c r="K190" s="1161">
        <f>IF(L190&lt;&gt;0,'Cost Control'!A22,0)</f>
        <v>0</v>
      </c>
      <c r="L190" s="2151">
        <f>'Cost Control'!H22</f>
        <v>0</v>
      </c>
      <c r="M190" s="2152"/>
    </row>
    <row r="191" spans="2:13" s="518" customFormat="1" ht="15.45">
      <c r="B191" s="652"/>
      <c r="C191" s="484"/>
      <c r="D191" s="484"/>
      <c r="E191" s="484"/>
      <c r="F191" s="484"/>
      <c r="G191" s="484"/>
      <c r="H191" s="484"/>
      <c r="I191" s="2148" t="str">
        <f>IF(L191&lt;&gt;0,'Cost Control'!B23," ")</f>
        <v xml:space="preserve"> </v>
      </c>
      <c r="J191" s="2149"/>
      <c r="K191" s="1161">
        <f>IF(L191&lt;&gt;0,'Cost Control'!A23,0)</f>
        <v>0</v>
      </c>
      <c r="L191" s="2151">
        <f>'Cost Control'!H23</f>
        <v>0</v>
      </c>
      <c r="M191" s="2152"/>
    </row>
    <row r="192" spans="2:13" s="518" customFormat="1" ht="15.45">
      <c r="B192" s="652"/>
      <c r="C192" s="484"/>
      <c r="D192" s="484"/>
      <c r="E192" s="484"/>
      <c r="F192" s="484"/>
      <c r="G192" s="484"/>
      <c r="H192" s="484"/>
      <c r="I192" s="2148" t="str">
        <f>IF(L192&lt;&gt;0,'Cost Control'!B24," ")</f>
        <v xml:space="preserve"> </v>
      </c>
      <c r="J192" s="2149"/>
      <c r="K192" s="1161">
        <f>IF(L192&lt;&gt;0,'Cost Control'!A24,0)</f>
        <v>0</v>
      </c>
      <c r="L192" s="2151">
        <f>'Cost Control'!H24</f>
        <v>0</v>
      </c>
      <c r="M192" s="2152"/>
    </row>
    <row r="193" spans="2:13" s="518" customFormat="1" ht="15.45">
      <c r="B193" s="652"/>
      <c r="C193" s="484"/>
      <c r="D193" s="484"/>
      <c r="E193" s="484"/>
      <c r="F193" s="484"/>
      <c r="G193" s="484"/>
      <c r="H193" s="484"/>
      <c r="I193" s="2148" t="str">
        <f>IF(L193&lt;&gt;0,'Cost Control'!B25," ")</f>
        <v xml:space="preserve"> </v>
      </c>
      <c r="J193" s="2149"/>
      <c r="K193" s="1161">
        <f>IF(L193&lt;&gt;0,'Cost Control'!A25,0)</f>
        <v>0</v>
      </c>
      <c r="L193" s="2151">
        <f>'Cost Control'!H25</f>
        <v>0</v>
      </c>
      <c r="M193" s="2152"/>
    </row>
    <row r="194" spans="2:13" s="518" customFormat="1" ht="15.45">
      <c r="B194" s="652"/>
      <c r="C194" s="484"/>
      <c r="D194" s="484"/>
      <c r="E194" s="484"/>
      <c r="F194" s="484"/>
      <c r="G194" s="484"/>
      <c r="H194" s="484"/>
      <c r="I194" s="2148" t="str">
        <f>IF(L194&lt;&gt;0,'Cost Control'!B26," ")</f>
        <v xml:space="preserve"> </v>
      </c>
      <c r="J194" s="2149"/>
      <c r="K194" s="1161">
        <f>IF(L194&lt;&gt;0,'Cost Control'!A26,0)</f>
        <v>0</v>
      </c>
      <c r="L194" s="2151">
        <f>'Cost Control'!H26</f>
        <v>0</v>
      </c>
      <c r="M194" s="2152"/>
    </row>
    <row r="195" spans="2:13" s="518" customFormat="1" ht="15.45">
      <c r="B195" s="652"/>
      <c r="C195" s="484"/>
      <c r="D195" s="484"/>
      <c r="E195" s="484"/>
      <c r="F195" s="484"/>
      <c r="G195" s="484"/>
      <c r="H195" s="484"/>
      <c r="I195" s="2148" t="str">
        <f>IF(L195&lt;&gt;0,'Cost Control'!B27," ")</f>
        <v xml:space="preserve"> </v>
      </c>
      <c r="J195" s="2149"/>
      <c r="K195" s="1161">
        <f>IF(L195&lt;&gt;0,'Cost Control'!A27,0)</f>
        <v>0</v>
      </c>
      <c r="L195" s="2151">
        <f>'Cost Control'!H27</f>
        <v>0</v>
      </c>
      <c r="M195" s="2152"/>
    </row>
    <row r="196" spans="2:13" s="518" customFormat="1" ht="15.45">
      <c r="B196" s="652"/>
      <c r="C196" s="484"/>
      <c r="D196" s="484"/>
      <c r="E196" s="484"/>
      <c r="F196" s="484"/>
      <c r="G196" s="484"/>
      <c r="H196" s="484"/>
      <c r="I196" s="2148" t="str">
        <f>IF(L196&lt;&gt;0,'Cost Control'!B28," ")</f>
        <v xml:space="preserve"> </v>
      </c>
      <c r="J196" s="2149"/>
      <c r="K196" s="1161">
        <f>IF(L196&lt;&gt;0,'Cost Control'!A28,0)</f>
        <v>0</v>
      </c>
      <c r="L196" s="2151">
        <f>'Cost Control'!H28</f>
        <v>0</v>
      </c>
      <c r="M196" s="2152"/>
    </row>
    <row r="197" spans="2:13" s="518" customFormat="1" ht="15.45">
      <c r="B197" s="652"/>
      <c r="C197" s="484"/>
      <c r="D197" s="484"/>
      <c r="E197" s="484"/>
      <c r="F197" s="484"/>
      <c r="G197" s="484"/>
      <c r="H197" s="484"/>
      <c r="I197" s="2148" t="str">
        <f>IF(L197&lt;&gt;0,'Cost Control'!B29," ")</f>
        <v xml:space="preserve"> </v>
      </c>
      <c r="J197" s="2149"/>
      <c r="K197" s="1161">
        <f>IF(L197&lt;&gt;0,'Cost Control'!A29,0)</f>
        <v>0</v>
      </c>
      <c r="L197" s="2151">
        <f>'Cost Control'!H29</f>
        <v>0</v>
      </c>
      <c r="M197" s="2152"/>
    </row>
    <row r="198" spans="2:13" s="518" customFormat="1" ht="15.45">
      <c r="B198" s="652"/>
      <c r="C198" s="484"/>
      <c r="D198" s="484"/>
      <c r="E198" s="484"/>
      <c r="F198" s="484"/>
      <c r="G198" s="484"/>
      <c r="H198" s="484"/>
      <c r="I198" s="2148" t="str">
        <f>IF(L198&lt;&gt;0,'Cost Control'!B30," ")</f>
        <v xml:space="preserve"> </v>
      </c>
      <c r="J198" s="2149"/>
      <c r="K198" s="1161">
        <f>IF(L198&lt;&gt;0,'Cost Control'!A30,0)</f>
        <v>0</v>
      </c>
      <c r="L198" s="2151">
        <f>'Cost Control'!H30</f>
        <v>0</v>
      </c>
      <c r="M198" s="2152"/>
    </row>
    <row r="199" spans="2:13" s="518" customFormat="1" ht="15.45">
      <c r="B199" s="652"/>
      <c r="C199" s="484"/>
      <c r="D199" s="484"/>
      <c r="E199" s="484"/>
      <c r="F199" s="484"/>
      <c r="G199" s="484"/>
      <c r="H199" s="484"/>
      <c r="I199" s="2148" t="str">
        <f>IF(L199&lt;&gt;0,'Cost Control'!B31," ")</f>
        <v xml:space="preserve"> </v>
      </c>
      <c r="J199" s="2149"/>
      <c r="K199" s="1161">
        <f>IF(L199&lt;&gt;0,'Cost Control'!A31,0)</f>
        <v>0</v>
      </c>
      <c r="L199" s="2151">
        <f>'Cost Control'!H31</f>
        <v>0</v>
      </c>
      <c r="M199" s="2152"/>
    </row>
    <row r="200" spans="2:13" s="518" customFormat="1" ht="15.45">
      <c r="B200" s="652"/>
      <c r="C200" s="484"/>
      <c r="D200" s="484"/>
      <c r="E200" s="484"/>
      <c r="F200" s="484"/>
      <c r="G200" s="484"/>
      <c r="H200" s="484"/>
      <c r="I200" s="2148" t="str">
        <f>IF(L200&lt;&gt;0,'Cost Control'!B32," ")</f>
        <v xml:space="preserve"> </v>
      </c>
      <c r="J200" s="2149"/>
      <c r="K200" s="1161">
        <f>IF(L200&lt;&gt;0,'Cost Control'!A32,0)</f>
        <v>0</v>
      </c>
      <c r="L200" s="2151">
        <f>'Cost Control'!H32</f>
        <v>0</v>
      </c>
      <c r="M200" s="2152"/>
    </row>
    <row r="201" spans="2:13" s="518" customFormat="1" ht="15.45">
      <c r="B201" s="652"/>
      <c r="C201" s="484"/>
      <c r="D201" s="484"/>
      <c r="E201" s="484"/>
      <c r="F201" s="484"/>
      <c r="G201" s="484"/>
      <c r="H201" s="484"/>
      <c r="I201" s="2148" t="str">
        <f>IF(L201&lt;&gt;0,'Cost Control'!B33," ")</f>
        <v xml:space="preserve"> </v>
      </c>
      <c r="J201" s="2149"/>
      <c r="K201" s="1161">
        <f>IF(L201&lt;&gt;0,'Cost Control'!A33,0)</f>
        <v>0</v>
      </c>
      <c r="L201" s="2151">
        <f>'Cost Control'!H33</f>
        <v>0</v>
      </c>
      <c r="M201" s="2152"/>
    </row>
    <row r="202" spans="2:13" s="518" customFormat="1" ht="15.45">
      <c r="B202" s="652"/>
      <c r="C202" s="484"/>
      <c r="D202" s="484"/>
      <c r="E202" s="484"/>
      <c r="F202" s="484"/>
      <c r="G202" s="484"/>
      <c r="H202" s="484"/>
      <c r="I202" s="2148" t="str">
        <f>IF(L202&lt;&gt;0,'Cost Control'!B34," ")</f>
        <v xml:space="preserve"> </v>
      </c>
      <c r="J202" s="2149"/>
      <c r="K202" s="1161">
        <f>IF(L202&lt;&gt;0,'Cost Control'!A34,0)</f>
        <v>0</v>
      </c>
      <c r="L202" s="2151">
        <f>'Cost Control'!H34</f>
        <v>0</v>
      </c>
      <c r="M202" s="2152"/>
    </row>
    <row r="203" spans="2:13" s="518" customFormat="1" ht="15.45">
      <c r="B203" s="652"/>
      <c r="C203" s="484"/>
      <c r="D203" s="484"/>
      <c r="E203" s="484"/>
      <c r="F203" s="484"/>
      <c r="G203" s="484"/>
      <c r="H203" s="484"/>
      <c r="I203" s="2148" t="str">
        <f>IF(L203&lt;&gt;0,'Cost Control'!B35," ")</f>
        <v xml:space="preserve"> </v>
      </c>
      <c r="J203" s="2149"/>
      <c r="K203" s="1161">
        <f>IF(L203&lt;&gt;0,'Cost Control'!A35,0)</f>
        <v>0</v>
      </c>
      <c r="L203" s="2151">
        <f>'Cost Control'!H35</f>
        <v>0</v>
      </c>
      <c r="M203" s="2152"/>
    </row>
    <row r="204" spans="2:13" s="518" customFormat="1" ht="15.45">
      <c r="B204" s="652"/>
      <c r="C204" s="484"/>
      <c r="D204" s="484"/>
      <c r="E204" s="484"/>
      <c r="F204" s="484"/>
      <c r="G204" s="484"/>
      <c r="H204" s="484"/>
      <c r="I204" s="2148" t="str">
        <f>IF(L204&lt;&gt;0,'Cost Control'!B36," ")</f>
        <v xml:space="preserve"> </v>
      </c>
      <c r="J204" s="2149"/>
      <c r="K204" s="1161">
        <f>IF(L204&lt;&gt;0,'Cost Control'!A36,0)</f>
        <v>0</v>
      </c>
      <c r="L204" s="2151">
        <f>'Cost Control'!H36</f>
        <v>0</v>
      </c>
      <c r="M204" s="2152"/>
    </row>
    <row r="205" spans="2:13" s="518" customFormat="1" ht="15.45">
      <c r="B205" s="652"/>
      <c r="C205" s="484"/>
      <c r="D205" s="484"/>
      <c r="E205" s="484"/>
      <c r="F205" s="484"/>
      <c r="G205" s="484"/>
      <c r="H205" s="484"/>
      <c r="I205" s="2148" t="str">
        <f>IF(L205&lt;&gt;0,'Cost Control'!B37," ")</f>
        <v xml:space="preserve"> </v>
      </c>
      <c r="J205" s="2149"/>
      <c r="K205" s="1161">
        <f>IF(L205&lt;&gt;0,'Cost Control'!A37,0)</f>
        <v>0</v>
      </c>
      <c r="L205" s="2151">
        <f>'Cost Control'!H37</f>
        <v>0</v>
      </c>
      <c r="M205" s="2152"/>
    </row>
    <row r="206" spans="2:13" s="518" customFormat="1" ht="15.45">
      <c r="B206" s="652"/>
      <c r="C206" s="484"/>
      <c r="D206" s="484"/>
      <c r="E206" s="484"/>
      <c r="F206" s="484"/>
      <c r="G206" s="484"/>
      <c r="H206" s="484"/>
      <c r="I206" s="2148" t="str">
        <f>IF(L206&lt;&gt;0,'Cost Control'!B38," ")</f>
        <v xml:space="preserve"> </v>
      </c>
      <c r="J206" s="2149"/>
      <c r="K206" s="1161">
        <f>IF(L206&lt;&gt;0,'Cost Control'!A38,0)</f>
        <v>0</v>
      </c>
      <c r="L206" s="2151">
        <f>'Cost Control'!H38</f>
        <v>0</v>
      </c>
      <c r="M206" s="2152"/>
    </row>
    <row r="207" spans="2:13" s="518" customFormat="1" ht="16.100000000000001" thickBot="1">
      <c r="B207" s="652"/>
      <c r="C207" s="484"/>
      <c r="D207" s="484"/>
      <c r="E207" s="484"/>
      <c r="F207" s="484"/>
      <c r="G207" s="484"/>
      <c r="H207" s="484"/>
      <c r="I207" s="2148" t="str">
        <f>IF(L207&lt;&gt;0,'Cost Control'!B39," ")</f>
        <v xml:space="preserve"> </v>
      </c>
      <c r="J207" s="2149"/>
      <c r="K207" s="1161">
        <f>IF(L207&lt;&gt;0,'Cost Control'!A39,0)</f>
        <v>0</v>
      </c>
      <c r="L207" s="2151">
        <f>'Cost Control'!H39</f>
        <v>0</v>
      </c>
      <c r="M207" s="2152"/>
    </row>
    <row r="208" spans="2:13" ht="13.1">
      <c r="B208" s="141" t="s">
        <v>695</v>
      </c>
      <c r="C208" s="50"/>
      <c r="D208" s="50"/>
      <c r="E208" s="2150">
        <f>K224</f>
        <v>4</v>
      </c>
      <c r="F208" s="2150"/>
      <c r="G208" s="50"/>
      <c r="H208" s="50"/>
      <c r="I208" s="50"/>
      <c r="J208" s="50"/>
      <c r="K208" s="50"/>
      <c r="L208" s="50"/>
      <c r="M208" s="43"/>
    </row>
    <row r="209" spans="2:13">
      <c r="B209" s="1628"/>
      <c r="C209" s="1629"/>
      <c r="D209" s="1629"/>
      <c r="E209" s="1629"/>
      <c r="F209" s="1629"/>
      <c r="G209" s="1629"/>
      <c r="H209" s="1629"/>
      <c r="I209" s="1629"/>
      <c r="J209" s="1629"/>
      <c r="K209" s="1629"/>
      <c r="L209" s="1629"/>
      <c r="M209" s="1630"/>
    </row>
    <row r="210" spans="2:13" ht="13.5" thickBot="1">
      <c r="B210" s="1480"/>
      <c r="C210" s="1479"/>
      <c r="D210" s="1479"/>
      <c r="E210" s="1479"/>
      <c r="F210" s="1479"/>
      <c r="G210" s="1479"/>
      <c r="H210" s="1631"/>
      <c r="I210" s="1631"/>
      <c r="J210" s="1631"/>
      <c r="K210" s="1631"/>
      <c r="L210" s="1631"/>
      <c r="M210" s="1555"/>
    </row>
    <row r="211" spans="2:13" ht="15.45">
      <c r="B211" s="307" t="s">
        <v>645</v>
      </c>
      <c r="C211" s="308"/>
      <c r="D211" s="2135">
        <f>D156</f>
        <v>0</v>
      </c>
      <c r="E211" s="2135"/>
      <c r="F211" s="309" t="s">
        <v>647</v>
      </c>
      <c r="G211" s="310">
        <f>G156</f>
        <v>0</v>
      </c>
      <c r="H211" s="172" t="s">
        <v>648</v>
      </c>
      <c r="I211" s="472">
        <v>0</v>
      </c>
      <c r="J211" s="2173" t="s">
        <v>650</v>
      </c>
      <c r="K211" s="2173"/>
      <c r="L211" s="1378"/>
      <c r="M211" s="486" t="str">
        <f>M156</f>
        <v>° F</v>
      </c>
    </row>
    <row r="212" spans="2:13">
      <c r="B212" s="44" t="s">
        <v>644</v>
      </c>
      <c r="E212" t="s">
        <v>655</v>
      </c>
      <c r="G212">
        <f>IF('Daily Load'!P74="Yes",Operations!D173,IF('Daily Load'!V74="Yes",Operations!D175,Operations!D176))</f>
        <v>0</v>
      </c>
      <c r="I212" s="195" t="s">
        <v>651</v>
      </c>
      <c r="L212" s="2170">
        <f>'Cost Control'!H74</f>
        <v>0</v>
      </c>
      <c r="M212" s="2171"/>
    </row>
    <row r="213" spans="2:13">
      <c r="B213" s="44"/>
      <c r="E213" s="223" t="s">
        <v>193</v>
      </c>
      <c r="F213" s="223" t="s">
        <v>194</v>
      </c>
      <c r="G213" s="223" t="str">
        <f>G158</f>
        <v>Other</v>
      </c>
      <c r="H213" s="1627" t="s">
        <v>587</v>
      </c>
      <c r="I213" s="31" t="s">
        <v>652</v>
      </c>
      <c r="L213" s="2170">
        <f>L159</f>
        <v>0</v>
      </c>
      <c r="M213" s="2171"/>
    </row>
    <row r="214" spans="2:13" ht="13.5" thickBot="1">
      <c r="B214" s="44" t="s">
        <v>643</v>
      </c>
      <c r="E214" s="361">
        <f>IF(E218&gt;0,E216-E218,E216+E217+E215)</f>
        <v>0</v>
      </c>
      <c r="F214" s="361">
        <f>IF(F218&gt;0,F216-F218,F216+F217+F215)</f>
        <v>0</v>
      </c>
      <c r="G214" s="361">
        <f>IF(G218&gt;0,G216-G218,G216+G217+G215)</f>
        <v>0</v>
      </c>
      <c r="H214" t="str">
        <f>H163</f>
        <v>bbl</v>
      </c>
      <c r="I214" s="31" t="s">
        <v>653</v>
      </c>
      <c r="L214" s="2163">
        <f>L212+L213</f>
        <v>0</v>
      </c>
      <c r="M214" s="2164"/>
    </row>
    <row r="215" spans="2:13" ht="13.5" thickTop="1">
      <c r="B215" s="311" t="s">
        <v>642</v>
      </c>
      <c r="E215" s="361">
        <f>IF('Daily Load'!P74="Yes",'Daily Load'!L69,IF('Daily Load'!V74="Yes",'Daily Load'!R69,'Daily Load'!X69))</f>
        <v>0</v>
      </c>
      <c r="F215" s="361">
        <f>IF('Daily Load'!P74="Yes",'Daily Load'!N69,IF('Daily Load'!V74="Yes",'Daily Load'!T69,'Daily Load'!Z69))</f>
        <v>0</v>
      </c>
      <c r="G215" s="361">
        <f>IF('Daily Load'!P74="Yes",'Daily Load'!P69,IF('Daily Load'!V74="Yes",'Daily Load'!V69,'Daily Load'!AB69))</f>
        <v>0</v>
      </c>
      <c r="H215" t="str">
        <f>H214</f>
        <v>bbl</v>
      </c>
      <c r="I215" s="31"/>
      <c r="L215" s="521"/>
      <c r="M215" s="522"/>
    </row>
    <row r="216" spans="2:13">
      <c r="B216" s="44" t="s">
        <v>641</v>
      </c>
      <c r="E216" s="361">
        <f>IF(G212=D9,'Daily Load'!F73+E161,IF(G212=G157,'Daily Load'!F73+E161,'Daily Load'!F73))</f>
        <v>0</v>
      </c>
      <c r="F216" s="361">
        <f>IF(G212=D9,'Daily Load'!H73+F161,IF(G212=G157,'Daily Load'!H73+F161,'Daily Load'!H73))</f>
        <v>0</v>
      </c>
      <c r="G216" s="361">
        <f>IF(G212=D9,'Daily Load'!J73+G161,IF(G212=G157,'Daily Load'!J73+G161,'Daily Load'!J73))</f>
        <v>0</v>
      </c>
      <c r="H216" t="str">
        <f>H215</f>
        <v>bbl</v>
      </c>
      <c r="I216" s="33" t="s">
        <v>654</v>
      </c>
      <c r="J216" s="19"/>
      <c r="K216" s="19"/>
      <c r="L216" s="2165">
        <f>L161</f>
        <v>0</v>
      </c>
      <c r="M216" s="2166"/>
    </row>
    <row r="217" spans="2:13">
      <c r="B217" s="44" t="s">
        <v>640</v>
      </c>
      <c r="E217" s="361">
        <f>IF('Daily Load'!P74="Yes",'Daily Load'!L71,IF('Daily Load'!V146="Yes",'Daily Load'!R71,'Daily Load'!X71))</f>
        <v>0</v>
      </c>
      <c r="F217" s="361">
        <f>IF('Daily Load'!P74="Yes",'Daily Load'!N71,IF('Daily Load'!V146="Yes",'Daily Load'!T71,'Daily Load'!Z71))</f>
        <v>0</v>
      </c>
      <c r="G217" s="361">
        <f>IF('Daily Load'!P74="Yes",'Daily Load'!P71,IF('Daily Load'!V146="Yes",'Daily Load'!V71,'Daily Load'!AB71))</f>
        <v>0</v>
      </c>
      <c r="H217" t="str">
        <f>H216</f>
        <v>bbl</v>
      </c>
      <c r="I217" s="2160" t="str">
        <f>I162</f>
        <v xml:space="preserve"> </v>
      </c>
      <c r="J217" s="2059"/>
      <c r="K217" s="2161"/>
      <c r="L217" s="2174" t="str">
        <f>L162</f>
        <v xml:space="preserve">0 </v>
      </c>
      <c r="M217" s="2175"/>
    </row>
    <row r="218" spans="2:13" ht="13.5" thickBot="1">
      <c r="B218" s="46" t="s">
        <v>639</v>
      </c>
      <c r="C218" s="21"/>
      <c r="D218" s="21"/>
      <c r="E218" s="380">
        <f>IF('Daily Load'!P74="Yes",'Daily Load'!L72,IF('Daily Load'!V146="Yes",'Daily Load'!R72,'Daily Load'!X72))</f>
        <v>0</v>
      </c>
      <c r="F218" s="380">
        <f>IF('Daily Load'!P74="Yes",'Daily Load'!N72,IF('Daily Load'!V146="Yes",'Daily Load'!T144,'Daily Load'!Z144))</f>
        <v>0</v>
      </c>
      <c r="G218" s="380">
        <f>IF('Daily Load'!P74="Yes",'Daily Load'!P72,IF('Daily Load'!V146="Yes",'Daily Load'!V143,'Daily Load'!AB143))</f>
        <v>0</v>
      </c>
      <c r="H218" s="21" t="str">
        <f>H217</f>
        <v>bbl</v>
      </c>
      <c r="I218" s="2167" t="s">
        <v>677</v>
      </c>
      <c r="J218" s="2168"/>
      <c r="K218" s="2169"/>
      <c r="L218" s="2167" t="s">
        <v>826</v>
      </c>
      <c r="M218" s="2172"/>
    </row>
    <row r="219" spans="2:13">
      <c r="B219" s="50"/>
      <c r="C219" s="50"/>
      <c r="D219" s="50"/>
      <c r="E219" s="1185"/>
      <c r="F219" s="1185"/>
      <c r="G219" s="1185"/>
      <c r="H219" s="50"/>
      <c r="I219" s="1186"/>
      <c r="J219" s="1186"/>
      <c r="K219" s="1186"/>
      <c r="L219" s="1186"/>
      <c r="M219" s="1186"/>
    </row>
    <row r="220" spans="2:13" ht="13.5" thickBot="1">
      <c r="B220" s="21"/>
      <c r="C220" s="21"/>
      <c r="D220" s="21"/>
      <c r="E220" s="21"/>
      <c r="F220" s="21"/>
      <c r="G220" s="21"/>
      <c r="H220" s="21"/>
      <c r="I220" s="21"/>
      <c r="J220" s="21"/>
      <c r="K220" s="21"/>
      <c r="L220" s="21"/>
      <c r="M220" s="21"/>
    </row>
    <row r="221" spans="2:13">
      <c r="B221" s="44"/>
      <c r="M221" s="45"/>
    </row>
    <row r="222" spans="2:13">
      <c r="B222" s="44"/>
      <c r="J222" s="2143">
        <f>J167</f>
        <v>0</v>
      </c>
      <c r="K222" s="2143"/>
      <c r="L222" s="2143"/>
      <c r="M222" s="45"/>
    </row>
    <row r="223" spans="2:13">
      <c r="B223" s="44"/>
      <c r="M223" s="45"/>
    </row>
    <row r="224" spans="2:13" ht="13.1">
      <c r="B224" s="137" t="s">
        <v>634</v>
      </c>
      <c r="C224">
        <f>Summary!$C$6</f>
        <v>0</v>
      </c>
      <c r="H224" s="22" t="s">
        <v>636</v>
      </c>
      <c r="I224" s="22"/>
      <c r="K224" s="2158">
        <f>'Cost Control'!I5</f>
        <v>4</v>
      </c>
      <c r="L224" s="2158"/>
      <c r="M224" s="2159"/>
    </row>
    <row r="225" spans="2:13" ht="13.1">
      <c r="B225" s="44"/>
      <c r="H225" s="22"/>
      <c r="I225" s="22"/>
      <c r="M225" s="45"/>
    </row>
    <row r="226" spans="2:13" ht="13.1">
      <c r="B226" s="137" t="s">
        <v>635</v>
      </c>
      <c r="D226" s="2136">
        <f>D171</f>
        <v>0</v>
      </c>
      <c r="E226" s="2136"/>
      <c r="F226" s="2136"/>
      <c r="G226" s="2136"/>
      <c r="H226" s="2136"/>
      <c r="I226" s="22" t="s">
        <v>637</v>
      </c>
      <c r="J226" s="3">
        <f>J171+1</f>
        <v>5</v>
      </c>
      <c r="M226" s="45"/>
    </row>
    <row r="227" spans="2:13" ht="13.1">
      <c r="B227" s="137"/>
      <c r="D227" s="2136"/>
      <c r="E227" s="2136"/>
      <c r="F227" s="2136"/>
      <c r="G227" s="2136"/>
      <c r="H227" s="2136"/>
      <c r="I227" t="s">
        <v>63</v>
      </c>
      <c r="J227" s="2142">
        <f>J172</f>
        <v>0</v>
      </c>
      <c r="K227" s="2143"/>
      <c r="M227" s="45"/>
    </row>
    <row r="228" spans="2:13" ht="13.1">
      <c r="B228" s="137" t="s">
        <v>146</v>
      </c>
      <c r="D228">
        <f>Summary!$C$32</f>
        <v>0</v>
      </c>
      <c r="F228" s="1819" t="str">
        <f>F173</f>
        <v>OPEN HOLE INTERVAL:</v>
      </c>
      <c r="G228" s="1819"/>
      <c r="H228" s="2147">
        <f>H173</f>
        <v>0</v>
      </c>
      <c r="I228" s="2147"/>
      <c r="J228" s="2147">
        <f>J173</f>
        <v>0</v>
      </c>
      <c r="K228" s="2147"/>
      <c r="L228" s="2147">
        <f>L173</f>
        <v>0</v>
      </c>
      <c r="M228" s="2154"/>
    </row>
    <row r="229" spans="2:13">
      <c r="B229" s="44"/>
      <c r="H229" s="2153"/>
      <c r="I229" s="2153"/>
      <c r="J229" s="1145"/>
      <c r="K229" s="1145"/>
      <c r="L229" s="1145"/>
      <c r="M229" s="1146"/>
    </row>
    <row r="230" spans="2:13" ht="13.1">
      <c r="B230" s="44"/>
      <c r="D230">
        <f>Summary!$F$32</f>
        <v>0</v>
      </c>
      <c r="F230" s="1819" t="str">
        <f>F175</f>
        <v xml:space="preserve"> </v>
      </c>
      <c r="G230" s="1819"/>
      <c r="H230" s="2137">
        <f>H175</f>
        <v>0</v>
      </c>
      <c r="I230" s="2137"/>
      <c r="J230" s="2137">
        <f>J175</f>
        <v>0</v>
      </c>
      <c r="K230" s="2137"/>
      <c r="L230" s="2137">
        <f>L175</f>
        <v>0</v>
      </c>
      <c r="M230" s="2155"/>
    </row>
    <row r="231" spans="2:13" ht="13.1">
      <c r="B231" s="44"/>
      <c r="D231">
        <f>D176</f>
        <v>0</v>
      </c>
      <c r="F231" s="1819" t="str">
        <f>F176</f>
        <v xml:space="preserve"> </v>
      </c>
      <c r="G231" s="1819"/>
      <c r="H231" s="1737">
        <f>H176</f>
        <v>0</v>
      </c>
      <c r="I231" s="1737"/>
      <c r="J231" s="1737">
        <f>J176</f>
        <v>0</v>
      </c>
      <c r="K231" s="1737"/>
      <c r="L231" s="1737">
        <f>L176</f>
        <v>0</v>
      </c>
      <c r="M231" s="1791"/>
    </row>
    <row r="232" spans="2:13">
      <c r="B232" s="44"/>
      <c r="M232" s="45"/>
    </row>
    <row r="233" spans="2:13" ht="13.75" thickBot="1">
      <c r="B233" s="46"/>
      <c r="C233" s="21"/>
      <c r="D233" s="21"/>
      <c r="E233" s="1664" t="s">
        <v>638</v>
      </c>
      <c r="F233" s="1664"/>
      <c r="G233" s="1664"/>
      <c r="H233" s="1664"/>
      <c r="I233" s="1664"/>
      <c r="J233" s="21"/>
      <c r="K233" s="21"/>
      <c r="L233" s="21"/>
      <c r="M233" s="47"/>
    </row>
    <row r="234" spans="2:13" s="518" customFormat="1" ht="16.100000000000001" thickBot="1">
      <c r="B234" s="651"/>
      <c r="C234" s="484"/>
      <c r="D234" s="484"/>
      <c r="E234" s="484"/>
      <c r="F234" s="484"/>
      <c r="G234" s="484"/>
      <c r="H234" s="484"/>
      <c r="I234" s="2138" t="s">
        <v>61</v>
      </c>
      <c r="J234" s="2139"/>
      <c r="K234" s="2139"/>
      <c r="L234" s="2139"/>
      <c r="M234" s="2140"/>
    </row>
    <row r="235" spans="2:13" s="518" customFormat="1" ht="16.100000000000001" thickBot="1">
      <c r="B235" s="652"/>
      <c r="C235" s="484"/>
      <c r="D235" s="484"/>
      <c r="E235" s="484"/>
      <c r="F235" s="484"/>
      <c r="G235" s="484"/>
      <c r="H235" s="484"/>
      <c r="I235" s="2141" t="str">
        <f>I180</f>
        <v>Service</v>
      </c>
      <c r="J235" s="2141"/>
      <c r="K235" s="1159" t="s">
        <v>62</v>
      </c>
      <c r="L235" s="2144" t="s">
        <v>1454</v>
      </c>
      <c r="M235" s="2144"/>
    </row>
    <row r="236" spans="2:13" s="518" customFormat="1" ht="16.100000000000001" thickBot="1">
      <c r="B236" s="652"/>
      <c r="C236" s="484"/>
      <c r="D236" s="484"/>
      <c r="E236" s="484"/>
      <c r="F236" s="484"/>
      <c r="G236" s="484"/>
      <c r="H236" s="484"/>
      <c r="I236" s="2145" t="s">
        <v>1538</v>
      </c>
      <c r="J236" s="2146"/>
      <c r="K236" s="1160">
        <f>IF(L236&lt;&gt;0,'Cost Control'!A7,0)</f>
        <v>0</v>
      </c>
      <c r="L236" s="2156">
        <f>'Cost Control'!I7</f>
        <v>0</v>
      </c>
      <c r="M236" s="2157"/>
    </row>
    <row r="237" spans="2:13" s="518" customFormat="1" ht="16.100000000000001" thickBot="1">
      <c r="B237" s="652"/>
      <c r="C237" s="484"/>
      <c r="D237" s="484"/>
      <c r="E237" s="484"/>
      <c r="F237" s="484"/>
      <c r="G237" s="484"/>
      <c r="H237" s="484"/>
      <c r="I237" s="2145" t="s">
        <v>1539</v>
      </c>
      <c r="J237" s="2146"/>
      <c r="K237" s="1161">
        <f>IF(L237&lt;&gt;0,'Cost Control'!A53,0)</f>
        <v>0</v>
      </c>
      <c r="L237" s="2151">
        <f>'Cost Control'!I8+'Cost Control'!I10</f>
        <v>0</v>
      </c>
      <c r="M237" s="2152"/>
    </row>
    <row r="238" spans="2:13" s="518" customFormat="1" ht="16.100000000000001" thickBot="1">
      <c r="B238" s="652"/>
      <c r="C238" s="484"/>
      <c r="D238" s="484"/>
      <c r="E238" s="484"/>
      <c r="F238" s="484"/>
      <c r="G238" s="484"/>
      <c r="H238" s="484"/>
      <c r="I238" s="2145" t="s">
        <v>903</v>
      </c>
      <c r="J238" s="2146"/>
      <c r="K238" s="1161">
        <f>IF(L238&lt;&gt;0,'Cost Control'!A40,0)</f>
        <v>0</v>
      </c>
      <c r="L238" s="2151">
        <f>'Cost Control'!I9</f>
        <v>0</v>
      </c>
      <c r="M238" s="2152"/>
    </row>
    <row r="239" spans="2:13" s="518" customFormat="1" ht="16.100000000000001" thickBot="1">
      <c r="B239" s="652"/>
      <c r="C239" s="484"/>
      <c r="D239" s="484"/>
      <c r="E239" s="484"/>
      <c r="F239" s="484"/>
      <c r="G239" s="484"/>
      <c r="H239" s="484"/>
      <c r="I239" s="2145" t="s">
        <v>1540</v>
      </c>
      <c r="J239" s="2146"/>
      <c r="K239" s="1161" t="str">
        <f>IF(L239&lt;&gt;0,'Cost Control'!A60," ")</f>
        <v xml:space="preserve"> </v>
      </c>
      <c r="L239" s="2151">
        <f>'Cost Control'!I11+'Cost Control'!I12</f>
        <v>0</v>
      </c>
      <c r="M239" s="2152"/>
    </row>
    <row r="240" spans="2:13" s="518" customFormat="1" ht="15.45">
      <c r="B240" s="652"/>
      <c r="C240" s="484"/>
      <c r="D240" s="484"/>
      <c r="E240" s="484"/>
      <c r="F240" s="484"/>
      <c r="G240" s="484"/>
      <c r="H240" s="484"/>
      <c r="I240" s="2145" t="s">
        <v>1451</v>
      </c>
      <c r="J240" s="2146"/>
      <c r="K240" s="1161">
        <f>IF(L240&lt;&gt;0,'Cost Control'!A68,0)</f>
        <v>0</v>
      </c>
      <c r="L240" s="2151">
        <f>'Cost Control'!I13</f>
        <v>0</v>
      </c>
      <c r="M240" s="2152"/>
    </row>
    <row r="241" spans="2:13" s="518" customFormat="1" ht="15.45">
      <c r="B241" s="652"/>
      <c r="C241" s="484"/>
      <c r="D241" s="484"/>
      <c r="E241" s="484"/>
      <c r="F241" s="484"/>
      <c r="G241" s="484"/>
      <c r="H241" s="484"/>
      <c r="I241" s="2148" t="str">
        <f>IF(L241&lt;&gt;0,'Cost Control'!B18," ")</f>
        <v xml:space="preserve"> </v>
      </c>
      <c r="J241" s="2149"/>
      <c r="K241" s="1161">
        <f>IF(L241&lt;&gt;0,'Cost Control'!A18,0)</f>
        <v>0</v>
      </c>
      <c r="L241" s="2151">
        <f>'Cost Control'!I18</f>
        <v>0</v>
      </c>
      <c r="M241" s="2152"/>
    </row>
    <row r="242" spans="2:13" s="518" customFormat="1" ht="15.45">
      <c r="B242" s="652"/>
      <c r="C242" s="484"/>
      <c r="D242" s="484"/>
      <c r="E242" s="484"/>
      <c r="F242" s="484"/>
      <c r="G242" s="484"/>
      <c r="H242" s="484"/>
      <c r="I242" s="2148" t="str">
        <f>IF(L242&lt;&gt;0,'Cost Control'!B19," ")</f>
        <v xml:space="preserve"> </v>
      </c>
      <c r="J242" s="2149"/>
      <c r="K242" s="1161">
        <f>IF(L242&lt;&gt;0,'Cost Control'!A19,0)</f>
        <v>0</v>
      </c>
      <c r="L242" s="2151">
        <f>'Cost Control'!I19</f>
        <v>0</v>
      </c>
      <c r="M242" s="2152"/>
    </row>
    <row r="243" spans="2:13" s="518" customFormat="1" ht="15.45">
      <c r="B243" s="652"/>
      <c r="C243" s="484"/>
      <c r="D243" s="484"/>
      <c r="E243" s="484"/>
      <c r="F243" s="484"/>
      <c r="G243" s="484"/>
      <c r="H243" s="484"/>
      <c r="I243" s="2148" t="str">
        <f>IF(L243&lt;&gt;0,'Cost Control'!B20," ")</f>
        <v xml:space="preserve"> </v>
      </c>
      <c r="J243" s="2149"/>
      <c r="K243" s="1161">
        <f>IF(L243&lt;&gt;0,'Cost Control'!A20,0)</f>
        <v>0</v>
      </c>
      <c r="L243" s="2151">
        <f>'Cost Control'!I20</f>
        <v>0</v>
      </c>
      <c r="M243" s="2152"/>
    </row>
    <row r="244" spans="2:13" s="518" customFormat="1" ht="15.45">
      <c r="B244" s="652"/>
      <c r="C244" s="484"/>
      <c r="D244" s="484"/>
      <c r="E244" s="484"/>
      <c r="F244" s="484"/>
      <c r="G244" s="484"/>
      <c r="H244" s="484"/>
      <c r="I244" s="2148" t="str">
        <f>IF(L244&lt;&gt;0,'Cost Control'!B21," ")</f>
        <v xml:space="preserve"> </v>
      </c>
      <c r="J244" s="2149"/>
      <c r="K244" s="1161">
        <f>IF(L244&lt;&gt;0,'Cost Control'!A21,0)</f>
        <v>0</v>
      </c>
      <c r="L244" s="2151">
        <f>'Cost Control'!I21</f>
        <v>0</v>
      </c>
      <c r="M244" s="2152"/>
    </row>
    <row r="245" spans="2:13" s="518" customFormat="1" ht="15.45">
      <c r="B245" s="652"/>
      <c r="C245" s="484"/>
      <c r="D245" s="484"/>
      <c r="E245" s="484"/>
      <c r="F245" s="484"/>
      <c r="G245" s="484"/>
      <c r="H245" s="484"/>
      <c r="I245" s="2148" t="str">
        <f>IF(L245&lt;&gt;0,'Cost Control'!B22," ")</f>
        <v xml:space="preserve"> </v>
      </c>
      <c r="J245" s="2149"/>
      <c r="K245" s="1161">
        <f>IF(L245&lt;&gt;0,'Cost Control'!A22,0)</f>
        <v>0</v>
      </c>
      <c r="L245" s="2151">
        <f>'Cost Control'!I22</f>
        <v>0</v>
      </c>
      <c r="M245" s="2152"/>
    </row>
    <row r="246" spans="2:13" s="518" customFormat="1" ht="15.45">
      <c r="B246" s="652"/>
      <c r="C246" s="484"/>
      <c r="D246" s="484"/>
      <c r="E246" s="484"/>
      <c r="F246" s="484"/>
      <c r="G246" s="484"/>
      <c r="H246" s="484"/>
      <c r="I246" s="2148" t="str">
        <f>IF(L246&lt;&gt;0,'Cost Control'!B23," ")</f>
        <v xml:space="preserve"> </v>
      </c>
      <c r="J246" s="2149"/>
      <c r="K246" s="1161">
        <f>IF(L246&lt;&gt;0,'Cost Control'!A23,0)</f>
        <v>0</v>
      </c>
      <c r="L246" s="2151">
        <f>'Cost Control'!I23</f>
        <v>0</v>
      </c>
      <c r="M246" s="2152"/>
    </row>
    <row r="247" spans="2:13" s="518" customFormat="1" ht="15.45">
      <c r="B247" s="652"/>
      <c r="C247" s="484"/>
      <c r="D247" s="484"/>
      <c r="E247" s="484"/>
      <c r="F247" s="484"/>
      <c r="G247" s="484"/>
      <c r="H247" s="484"/>
      <c r="I247" s="2148" t="str">
        <f>IF(L247&lt;&gt;0,'Cost Control'!B24," ")</f>
        <v xml:space="preserve"> </v>
      </c>
      <c r="J247" s="2149"/>
      <c r="K247" s="1161">
        <f>IF(L247&lt;&gt;0,'Cost Control'!A24,0)</f>
        <v>0</v>
      </c>
      <c r="L247" s="2151">
        <f>'Cost Control'!I24</f>
        <v>0</v>
      </c>
      <c r="M247" s="2152"/>
    </row>
    <row r="248" spans="2:13" s="518" customFormat="1" ht="15.45">
      <c r="B248" s="652"/>
      <c r="C248" s="484"/>
      <c r="D248" s="484"/>
      <c r="E248" s="484"/>
      <c r="F248" s="484"/>
      <c r="G248" s="484"/>
      <c r="H248" s="484"/>
      <c r="I248" s="2148" t="str">
        <f>IF(L248&lt;&gt;0,'Cost Control'!B25," ")</f>
        <v xml:space="preserve"> </v>
      </c>
      <c r="J248" s="2149"/>
      <c r="K248" s="1161">
        <f>IF(L248&lt;&gt;0,'Cost Control'!A25,0)</f>
        <v>0</v>
      </c>
      <c r="L248" s="2151">
        <f>'Cost Control'!I25</f>
        <v>0</v>
      </c>
      <c r="M248" s="2152"/>
    </row>
    <row r="249" spans="2:13" s="518" customFormat="1" ht="15.45">
      <c r="B249" s="652"/>
      <c r="C249" s="484"/>
      <c r="D249" s="484"/>
      <c r="E249" s="484"/>
      <c r="F249" s="484"/>
      <c r="G249" s="484"/>
      <c r="H249" s="484"/>
      <c r="I249" s="2148" t="str">
        <f>IF(L249&lt;&gt;0,'Cost Control'!B26," ")</f>
        <v xml:space="preserve"> </v>
      </c>
      <c r="J249" s="2149"/>
      <c r="K249" s="1161">
        <f>IF(L249&lt;&gt;0,'Cost Control'!A26,0)</f>
        <v>0</v>
      </c>
      <c r="L249" s="2151">
        <f>'Cost Control'!I26</f>
        <v>0</v>
      </c>
      <c r="M249" s="2152"/>
    </row>
    <row r="250" spans="2:13" s="518" customFormat="1" ht="15.45">
      <c r="B250" s="652"/>
      <c r="C250" s="484"/>
      <c r="D250" s="484"/>
      <c r="E250" s="484"/>
      <c r="F250" s="484"/>
      <c r="G250" s="484"/>
      <c r="H250" s="484"/>
      <c r="I250" s="2148" t="str">
        <f>IF(L250&lt;&gt;0,'Cost Control'!B27," ")</f>
        <v xml:space="preserve"> </v>
      </c>
      <c r="J250" s="2149"/>
      <c r="K250" s="1161">
        <f>IF(L250&lt;&gt;0,'Cost Control'!A27,0)</f>
        <v>0</v>
      </c>
      <c r="L250" s="2151">
        <f>'Cost Control'!I27</f>
        <v>0</v>
      </c>
      <c r="M250" s="2152"/>
    </row>
    <row r="251" spans="2:13" s="518" customFormat="1" ht="15.45">
      <c r="B251" s="652"/>
      <c r="C251" s="484"/>
      <c r="D251" s="484"/>
      <c r="E251" s="484"/>
      <c r="F251" s="484"/>
      <c r="G251" s="484"/>
      <c r="H251" s="484"/>
      <c r="I251" s="2148" t="str">
        <f>IF(L251&lt;&gt;0,'Cost Control'!B28," ")</f>
        <v xml:space="preserve"> </v>
      </c>
      <c r="J251" s="2149"/>
      <c r="K251" s="1161">
        <f>IF(L251&lt;&gt;0,'Cost Control'!A28,0)</f>
        <v>0</v>
      </c>
      <c r="L251" s="2151">
        <f>'Cost Control'!I28</f>
        <v>0</v>
      </c>
      <c r="M251" s="2152"/>
    </row>
    <row r="252" spans="2:13" s="518" customFormat="1" ht="15.45">
      <c r="B252" s="652"/>
      <c r="C252" s="484"/>
      <c r="D252" s="484"/>
      <c r="E252" s="484"/>
      <c r="F252" s="484"/>
      <c r="G252" s="484"/>
      <c r="H252" s="484"/>
      <c r="I252" s="2148" t="str">
        <f>IF(L252&lt;&gt;0,'Cost Control'!B29," ")</f>
        <v xml:space="preserve"> </v>
      </c>
      <c r="J252" s="2149"/>
      <c r="K252" s="1161">
        <f>IF(L252&lt;&gt;0,'Cost Control'!A29,0)</f>
        <v>0</v>
      </c>
      <c r="L252" s="2151">
        <f>'Cost Control'!I29</f>
        <v>0</v>
      </c>
      <c r="M252" s="2152"/>
    </row>
    <row r="253" spans="2:13" s="518" customFormat="1" ht="15.45">
      <c r="B253" s="652"/>
      <c r="C253" s="484"/>
      <c r="D253" s="484"/>
      <c r="E253" s="484"/>
      <c r="F253" s="484"/>
      <c r="G253" s="484"/>
      <c r="H253" s="484"/>
      <c r="I253" s="2148" t="str">
        <f>IF(L253&lt;&gt;0,'Cost Control'!B30," ")</f>
        <v xml:space="preserve"> </v>
      </c>
      <c r="J253" s="2149"/>
      <c r="K253" s="1161">
        <f>IF(L253&lt;&gt;0,'Cost Control'!A30,0)</f>
        <v>0</v>
      </c>
      <c r="L253" s="2151">
        <f>'Cost Control'!I30</f>
        <v>0</v>
      </c>
      <c r="M253" s="2152"/>
    </row>
    <row r="254" spans="2:13" s="518" customFormat="1" ht="15.45">
      <c r="B254" s="652"/>
      <c r="C254" s="484"/>
      <c r="D254" s="484"/>
      <c r="E254" s="484"/>
      <c r="F254" s="484"/>
      <c r="G254" s="484"/>
      <c r="H254" s="484"/>
      <c r="I254" s="2148" t="str">
        <f>IF(L254&lt;&gt;0,'Cost Control'!B31," ")</f>
        <v xml:space="preserve"> </v>
      </c>
      <c r="J254" s="2149"/>
      <c r="K254" s="1161">
        <f>IF(L254&lt;&gt;0,'Cost Control'!A31,0)</f>
        <v>0</v>
      </c>
      <c r="L254" s="2151">
        <f>'Cost Control'!I31</f>
        <v>0</v>
      </c>
      <c r="M254" s="2152"/>
    </row>
    <row r="255" spans="2:13" s="518" customFormat="1" ht="15.45">
      <c r="B255" s="652"/>
      <c r="C255" s="484"/>
      <c r="D255" s="484"/>
      <c r="E255" s="484"/>
      <c r="F255" s="484"/>
      <c r="G255" s="484"/>
      <c r="H255" s="484"/>
      <c r="I255" s="2148" t="str">
        <f>IF(L255&lt;&gt;0,'Cost Control'!B32," ")</f>
        <v xml:space="preserve"> </v>
      </c>
      <c r="J255" s="2149"/>
      <c r="K255" s="1161">
        <f>IF(L255&lt;&gt;0,'Cost Control'!A32,0)</f>
        <v>0</v>
      </c>
      <c r="L255" s="2151">
        <f>'Cost Control'!I32</f>
        <v>0</v>
      </c>
      <c r="M255" s="2152"/>
    </row>
    <row r="256" spans="2:13" s="518" customFormat="1" ht="15.45">
      <c r="B256" s="652"/>
      <c r="C256" s="484"/>
      <c r="D256" s="484"/>
      <c r="E256" s="484"/>
      <c r="F256" s="484"/>
      <c r="G256" s="484"/>
      <c r="H256" s="484"/>
      <c r="I256" s="2148" t="str">
        <f>IF(L256&lt;&gt;0,'Cost Control'!B33," ")</f>
        <v xml:space="preserve"> </v>
      </c>
      <c r="J256" s="2149"/>
      <c r="K256" s="1161">
        <f>IF(L256&lt;&gt;0,'Cost Control'!A33,0)</f>
        <v>0</v>
      </c>
      <c r="L256" s="2151">
        <f>'Cost Control'!I33</f>
        <v>0</v>
      </c>
      <c r="M256" s="2152"/>
    </row>
    <row r="257" spans="2:13" s="518" customFormat="1" ht="15.45">
      <c r="B257" s="652"/>
      <c r="C257" s="484"/>
      <c r="D257" s="484"/>
      <c r="E257" s="484"/>
      <c r="F257" s="484"/>
      <c r="G257" s="484"/>
      <c r="H257" s="484"/>
      <c r="I257" s="2148" t="str">
        <f>IF(L257&lt;&gt;0,'Cost Control'!B34," ")</f>
        <v xml:space="preserve"> </v>
      </c>
      <c r="J257" s="2149"/>
      <c r="K257" s="1161">
        <f>IF(L257&lt;&gt;0,'Cost Control'!A34,0)</f>
        <v>0</v>
      </c>
      <c r="L257" s="2151">
        <f>'Cost Control'!I34</f>
        <v>0</v>
      </c>
      <c r="M257" s="2152"/>
    </row>
    <row r="258" spans="2:13" s="518" customFormat="1" ht="15.45">
      <c r="B258" s="652"/>
      <c r="C258" s="484"/>
      <c r="D258" s="484"/>
      <c r="E258" s="484"/>
      <c r="F258" s="484"/>
      <c r="G258" s="484"/>
      <c r="H258" s="484"/>
      <c r="I258" s="2148" t="str">
        <f>IF(L258&lt;&gt;0,'Cost Control'!B35," ")</f>
        <v xml:space="preserve"> </v>
      </c>
      <c r="J258" s="2149"/>
      <c r="K258" s="1161">
        <f>IF(L258&lt;&gt;0,'Cost Control'!A35,0)</f>
        <v>0</v>
      </c>
      <c r="L258" s="2151">
        <f>'Cost Control'!I35</f>
        <v>0</v>
      </c>
      <c r="M258" s="2152"/>
    </row>
    <row r="259" spans="2:13" s="518" customFormat="1" ht="15.45">
      <c r="B259" s="652"/>
      <c r="C259" s="484"/>
      <c r="D259" s="484"/>
      <c r="E259" s="484"/>
      <c r="F259" s="484"/>
      <c r="G259" s="484"/>
      <c r="H259" s="484"/>
      <c r="I259" s="2148" t="str">
        <f>IF(L259&lt;&gt;0,'Cost Control'!B36," ")</f>
        <v xml:space="preserve"> </v>
      </c>
      <c r="J259" s="2149"/>
      <c r="K259" s="1161">
        <f>IF(L259&lt;&gt;0,'Cost Control'!A36,0)</f>
        <v>0</v>
      </c>
      <c r="L259" s="2151">
        <f>'Cost Control'!I36</f>
        <v>0</v>
      </c>
      <c r="M259" s="2152"/>
    </row>
    <row r="260" spans="2:13" s="518" customFormat="1" ht="15.45">
      <c r="B260" s="652"/>
      <c r="C260" s="484"/>
      <c r="D260" s="484"/>
      <c r="E260" s="484"/>
      <c r="F260" s="484"/>
      <c r="G260" s="484"/>
      <c r="H260" s="484"/>
      <c r="I260" s="2148" t="str">
        <f>IF(L260&lt;&gt;0,'Cost Control'!B37," ")</f>
        <v xml:space="preserve"> </v>
      </c>
      <c r="J260" s="2149"/>
      <c r="K260" s="1161">
        <f>IF(L260&lt;&gt;0,'Cost Control'!A37,0)</f>
        <v>0</v>
      </c>
      <c r="L260" s="2151">
        <f>'Cost Control'!I37</f>
        <v>0</v>
      </c>
      <c r="M260" s="2152"/>
    </row>
    <row r="261" spans="2:13" s="518" customFormat="1" ht="15.45">
      <c r="B261" s="652"/>
      <c r="C261" s="484"/>
      <c r="D261" s="484"/>
      <c r="E261" s="484"/>
      <c r="F261" s="484"/>
      <c r="G261" s="484"/>
      <c r="H261" s="484"/>
      <c r="I261" s="2148" t="str">
        <f>IF(L261&lt;&gt;0,'Cost Control'!B38," ")</f>
        <v xml:space="preserve"> </v>
      </c>
      <c r="J261" s="2149"/>
      <c r="K261" s="1161">
        <f>IF(L261&lt;&gt;0,'Cost Control'!A38,0)</f>
        <v>0</v>
      </c>
      <c r="L261" s="2151">
        <f>'Cost Control'!I38</f>
        <v>0</v>
      </c>
      <c r="M261" s="2152"/>
    </row>
    <row r="262" spans="2:13" s="518" customFormat="1" ht="16.100000000000001" thickBot="1">
      <c r="B262" s="652"/>
      <c r="C262" s="484"/>
      <c r="D262" s="484"/>
      <c r="E262" s="484"/>
      <c r="F262" s="484"/>
      <c r="G262" s="484"/>
      <c r="H262" s="484"/>
      <c r="I262" s="2148" t="str">
        <f>IF(L262&lt;&gt;0,'Cost Control'!B39," ")</f>
        <v xml:space="preserve"> </v>
      </c>
      <c r="J262" s="2149"/>
      <c r="K262" s="1161">
        <f>IF(L262&lt;&gt;0,'Cost Control'!A39,0)</f>
        <v>0</v>
      </c>
      <c r="L262" s="2151">
        <f>'Cost Control'!I39</f>
        <v>0</v>
      </c>
      <c r="M262" s="2152"/>
    </row>
    <row r="263" spans="2:13" ht="13.1">
      <c r="B263" s="141" t="s">
        <v>695</v>
      </c>
      <c r="C263" s="50"/>
      <c r="D263" s="50"/>
      <c r="E263" s="2150">
        <f>K279</f>
        <v>5</v>
      </c>
      <c r="F263" s="2150"/>
      <c r="G263" s="50"/>
      <c r="H263" s="50"/>
      <c r="I263" s="50"/>
      <c r="J263" s="50"/>
      <c r="K263" s="50"/>
      <c r="L263" s="50"/>
      <c r="M263" s="43"/>
    </row>
    <row r="264" spans="2:13">
      <c r="B264" s="1628"/>
      <c r="C264" s="1629"/>
      <c r="D264" s="1629"/>
      <c r="E264" s="1629"/>
      <c r="F264" s="1629"/>
      <c r="G264" s="1629"/>
      <c r="H264" s="1629"/>
      <c r="I264" s="1629"/>
      <c r="J264" s="1629"/>
      <c r="K264" s="1629"/>
      <c r="L264" s="1629"/>
      <c r="M264" s="1630"/>
    </row>
    <row r="265" spans="2:13" ht="13.5" thickBot="1">
      <c r="B265" s="1480"/>
      <c r="C265" s="1479"/>
      <c r="D265" s="1479"/>
      <c r="E265" s="1479"/>
      <c r="F265" s="1479"/>
      <c r="G265" s="1479"/>
      <c r="H265" s="1631"/>
      <c r="I265" s="1631"/>
      <c r="J265" s="1631"/>
      <c r="K265" s="1631"/>
      <c r="L265" s="1631"/>
      <c r="M265" s="1555"/>
    </row>
    <row r="266" spans="2:13" ht="15.45">
      <c r="B266" s="307" t="s">
        <v>645</v>
      </c>
      <c r="C266" s="308"/>
      <c r="D266" s="2135">
        <f>D211</f>
        <v>0</v>
      </c>
      <c r="E266" s="2135"/>
      <c r="F266" s="309" t="s">
        <v>647</v>
      </c>
      <c r="G266" s="310">
        <f>G211</f>
        <v>0</v>
      </c>
      <c r="H266" s="172" t="s">
        <v>648</v>
      </c>
      <c r="I266" s="472">
        <v>0</v>
      </c>
      <c r="J266" s="2173" t="s">
        <v>650</v>
      </c>
      <c r="K266" s="2173"/>
      <c r="L266" s="1378"/>
      <c r="M266" s="486" t="str">
        <f>M211</f>
        <v>° F</v>
      </c>
    </row>
    <row r="267" spans="2:13">
      <c r="B267" s="44" t="s">
        <v>644</v>
      </c>
      <c r="E267" t="s">
        <v>655</v>
      </c>
      <c r="G267">
        <f>IF('Daily Load'!P92="Yes",Operations!D228,IF('Daily Load'!V92="Yes",Operations!D230,Operations!D231))</f>
        <v>0</v>
      </c>
      <c r="I267" s="195" t="s">
        <v>651</v>
      </c>
      <c r="L267" s="2170">
        <f>'Cost Control'!I74</f>
        <v>0</v>
      </c>
      <c r="M267" s="2171"/>
    </row>
    <row r="268" spans="2:13">
      <c r="B268" s="44"/>
      <c r="E268" s="223" t="s">
        <v>193</v>
      </c>
      <c r="F268" s="223" t="s">
        <v>194</v>
      </c>
      <c r="G268" s="223" t="str">
        <f>G213</f>
        <v>Other</v>
      </c>
      <c r="H268" s="1627" t="s">
        <v>587</v>
      </c>
      <c r="I268" s="31" t="s">
        <v>652</v>
      </c>
      <c r="L268" s="2170">
        <f>L214</f>
        <v>0</v>
      </c>
      <c r="M268" s="2171"/>
    </row>
    <row r="269" spans="2:13" ht="13.5" thickBot="1">
      <c r="B269" s="44" t="s">
        <v>643</v>
      </c>
      <c r="E269" s="361">
        <f>IF(E273&gt;0,E271-E273,E271+E272+E270)</f>
        <v>0</v>
      </c>
      <c r="F269" s="361">
        <f>IF(F273&gt;0,F271-F273,F271+F272+F270)</f>
        <v>0</v>
      </c>
      <c r="G269" s="361">
        <f>IF(G273&gt;0,G271-G273,G271+G272+G270)</f>
        <v>0</v>
      </c>
      <c r="H269" t="str">
        <f>H218</f>
        <v>bbl</v>
      </c>
      <c r="I269" s="31" t="s">
        <v>653</v>
      </c>
      <c r="L269" s="2163">
        <f>L267+L268</f>
        <v>0</v>
      </c>
      <c r="M269" s="2164"/>
    </row>
    <row r="270" spans="2:13" ht="13.5" thickTop="1">
      <c r="B270" s="311" t="s">
        <v>642</v>
      </c>
      <c r="E270" s="361">
        <f>IF('Daily Load'!P92="Yes",'Daily Load'!L87,IF('Daily Load'!V92="Yes",'Daily Load'!R87,'Daily Load'!X87))</f>
        <v>0</v>
      </c>
      <c r="F270" s="361">
        <f>IF('Daily Load'!P92="Yes",'Daily Load'!N87,IF('Daily Load'!V92="Yes",'Daily Load'!T87,'Daily Load'!Z87))</f>
        <v>0</v>
      </c>
      <c r="G270" s="361">
        <f>IF('Daily Load'!P92="Yes",'Daily Load'!P87,IF('Daily Load'!V92="Yes",'Daily Load'!V87,'Daily Load'!AB87))</f>
        <v>0</v>
      </c>
      <c r="H270" t="str">
        <f>H269</f>
        <v>bbl</v>
      </c>
      <c r="I270" s="31"/>
      <c r="L270" s="521"/>
      <c r="M270" s="522"/>
    </row>
    <row r="271" spans="2:13">
      <c r="B271" s="44" t="s">
        <v>641</v>
      </c>
      <c r="E271" s="361">
        <f>IF(G267=D9,'Daily Load'!F91+E216,IF(G267=G212,'Daily Load'!F91+E216,'Daily Load'!F91))</f>
        <v>0</v>
      </c>
      <c r="F271" s="361">
        <f>IF(G267=D9,'Daily Load'!H91+F216,IF(G267=G212,'Daily Load'!H91+F216,'Daily Load'!H91))</f>
        <v>0</v>
      </c>
      <c r="G271" s="361">
        <f>IF(G267=D9,'Daily Load'!J91+G216,IF(G267=G212,'Daily Load'!J91+G216,'Daily Load'!J91))</f>
        <v>0</v>
      </c>
      <c r="H271" t="str">
        <f>H270</f>
        <v>bbl</v>
      </c>
      <c r="I271" s="33" t="s">
        <v>654</v>
      </c>
      <c r="J271" s="19"/>
      <c r="K271" s="19"/>
      <c r="L271" s="2165">
        <f>L216</f>
        <v>0</v>
      </c>
      <c r="M271" s="2166"/>
    </row>
    <row r="272" spans="2:13">
      <c r="B272" s="44" t="s">
        <v>640</v>
      </c>
      <c r="E272" s="361">
        <f>IF('Daily Load'!P92="Yes",'Daily Load'!L89,IF('Daily Load'!V82="Yes",'Daily Load'!R89,'Daily Load'!X89))</f>
        <v>0</v>
      </c>
      <c r="F272" s="361">
        <f>IF('Daily Load'!P92="Yes",'Daily Load'!N89,IF('Daily Load'!V82="Yes",'Daily Load'!T89,'Daily Load'!Z89))</f>
        <v>0</v>
      </c>
      <c r="G272" s="361">
        <f>IF('Daily Load'!P92="Yes",'Daily Load'!P89,IF('Daily Load'!V82="Yes",'Daily Load'!V89,'Daily Load'!AB89))</f>
        <v>0</v>
      </c>
      <c r="H272" t="str">
        <f>H271</f>
        <v>bbl</v>
      </c>
      <c r="I272" s="2160" t="str">
        <f>I217</f>
        <v xml:space="preserve"> </v>
      </c>
      <c r="J272" s="2059"/>
      <c r="K272" s="2161"/>
      <c r="L272" s="2174" t="str">
        <f>L217</f>
        <v xml:space="preserve">0 </v>
      </c>
      <c r="M272" s="2175"/>
    </row>
    <row r="273" spans="2:13" ht="13.5" thickBot="1">
      <c r="B273" s="46" t="s">
        <v>639</v>
      </c>
      <c r="C273" s="21"/>
      <c r="D273" s="21"/>
      <c r="E273" s="380">
        <f>IF('Daily Load'!P92="Yes",'Daily Load'!L90,IF('Daily Load'!V92="Yes",'Daily Load'!R90,'Daily Load'!X90))</f>
        <v>0</v>
      </c>
      <c r="F273" s="380">
        <f>IF('Daily Load'!P92="Yes",'Daily Load'!N90,IF('Daily Load'!V92="Yes",'Daily Load'!T90,'Daily Load'!Z90))</f>
        <v>0</v>
      </c>
      <c r="G273" s="380">
        <f>IF('Daily Load'!P92="Yes",'Daily Load'!P90,IF('Daily Load'!V92="Yes",'Daily Load'!V90,'Daily Load'!AB90))</f>
        <v>0</v>
      </c>
      <c r="H273" s="21" t="str">
        <f>H272</f>
        <v>bbl</v>
      </c>
      <c r="I273" s="2167" t="s">
        <v>677</v>
      </c>
      <c r="J273" s="2168"/>
      <c r="K273" s="2169"/>
      <c r="L273" s="2167" t="s">
        <v>826</v>
      </c>
      <c r="M273" s="2172"/>
    </row>
    <row r="274" spans="2:13">
      <c r="B274" s="50"/>
      <c r="C274" s="50"/>
      <c r="D274" s="50"/>
      <c r="E274" s="1185"/>
      <c r="F274" s="1185"/>
      <c r="G274" s="1185"/>
      <c r="H274" s="50"/>
      <c r="I274" s="1186"/>
      <c r="J274" s="1186"/>
      <c r="K274" s="1186"/>
      <c r="L274" s="1186"/>
      <c r="M274" s="1186"/>
    </row>
    <row r="275" spans="2:13" ht="13.5" thickBot="1">
      <c r="B275" s="21"/>
      <c r="C275" s="21"/>
      <c r="D275" s="21"/>
      <c r="E275" s="21"/>
      <c r="F275" s="21"/>
      <c r="G275" s="21"/>
      <c r="H275" s="21"/>
      <c r="I275" s="21"/>
      <c r="J275" s="21"/>
      <c r="K275" s="21"/>
      <c r="L275" s="21"/>
      <c r="M275" s="21"/>
    </row>
    <row r="276" spans="2:13">
      <c r="B276" s="44"/>
      <c r="M276" s="45"/>
    </row>
    <row r="277" spans="2:13">
      <c r="B277" s="44"/>
      <c r="J277" s="2143">
        <f>J222</f>
        <v>0</v>
      </c>
      <c r="K277" s="2143"/>
      <c r="L277" s="2143"/>
      <c r="M277" s="45"/>
    </row>
    <row r="278" spans="2:13">
      <c r="B278" s="44"/>
      <c r="M278" s="45"/>
    </row>
    <row r="279" spans="2:13" ht="13.1">
      <c r="B279" s="137" t="s">
        <v>634</v>
      </c>
      <c r="C279">
        <f>Summary!$C$6</f>
        <v>0</v>
      </c>
      <c r="H279" s="22" t="s">
        <v>636</v>
      </c>
      <c r="I279" s="22"/>
      <c r="K279" s="2158">
        <f>'Cost Control'!J5</f>
        <v>5</v>
      </c>
      <c r="L279" s="2158"/>
      <c r="M279" s="2159"/>
    </row>
    <row r="280" spans="2:13" ht="13.1">
      <c r="B280" s="44"/>
      <c r="H280" s="22"/>
      <c r="I280" s="22"/>
      <c r="M280" s="45"/>
    </row>
    <row r="281" spans="2:13" ht="13.1">
      <c r="B281" s="137" t="s">
        <v>635</v>
      </c>
      <c r="D281" s="2136">
        <f>D226</f>
        <v>0</v>
      </c>
      <c r="E281" s="2136"/>
      <c r="F281" s="2136"/>
      <c r="G281" s="2136"/>
      <c r="H281" s="2136"/>
      <c r="I281" s="22" t="s">
        <v>637</v>
      </c>
      <c r="J281" s="3">
        <f>J226+1</f>
        <v>6</v>
      </c>
      <c r="M281" s="45"/>
    </row>
    <row r="282" spans="2:13" ht="13.1">
      <c r="B282" s="137"/>
      <c r="D282" s="2136"/>
      <c r="E282" s="2136"/>
      <c r="F282" s="2136"/>
      <c r="G282" s="2136"/>
      <c r="H282" s="2136"/>
      <c r="I282" t="s">
        <v>63</v>
      </c>
      <c r="J282" s="2142">
        <f>J227</f>
        <v>0</v>
      </c>
      <c r="K282" s="2143"/>
      <c r="M282" s="45"/>
    </row>
    <row r="283" spans="2:13" ht="13.1">
      <c r="B283" s="137" t="s">
        <v>146</v>
      </c>
      <c r="D283">
        <f>Summary!$C$32</f>
        <v>0</v>
      </c>
      <c r="F283" s="1819" t="str">
        <f>F228</f>
        <v>OPEN HOLE INTERVAL:</v>
      </c>
      <c r="G283" s="1819"/>
      <c r="H283" s="2147">
        <f>H228</f>
        <v>0</v>
      </c>
      <c r="I283" s="2147"/>
      <c r="J283" s="2147">
        <f>J228</f>
        <v>0</v>
      </c>
      <c r="K283" s="2147"/>
      <c r="L283" s="2147">
        <f>L228</f>
        <v>0</v>
      </c>
      <c r="M283" s="2154"/>
    </row>
    <row r="284" spans="2:13">
      <c r="B284" s="44"/>
      <c r="H284" s="2153"/>
      <c r="I284" s="2153"/>
      <c r="J284" s="1145"/>
      <c r="K284" s="1145"/>
      <c r="L284" s="1145"/>
      <c r="M284" s="1146"/>
    </row>
    <row r="285" spans="2:13" ht="13.1">
      <c r="B285" s="44"/>
      <c r="D285">
        <f>Summary!$F$32</f>
        <v>0</v>
      </c>
      <c r="F285" s="1819" t="str">
        <f>F230</f>
        <v xml:space="preserve"> </v>
      </c>
      <c r="G285" s="1819"/>
      <c r="H285" s="2137">
        <f>H230</f>
        <v>0</v>
      </c>
      <c r="I285" s="2137"/>
      <c r="J285" s="2137">
        <f>J230</f>
        <v>0</v>
      </c>
      <c r="K285" s="2137"/>
      <c r="L285" s="2137">
        <f>L230</f>
        <v>0</v>
      </c>
      <c r="M285" s="2155"/>
    </row>
    <row r="286" spans="2:13" ht="13.1">
      <c r="B286" s="44"/>
      <c r="D286">
        <f>D231</f>
        <v>0</v>
      </c>
      <c r="F286" s="1819" t="str">
        <f>F231</f>
        <v xml:space="preserve"> </v>
      </c>
      <c r="G286" s="1819"/>
      <c r="H286" s="1737">
        <f>H231</f>
        <v>0</v>
      </c>
      <c r="I286" s="1737"/>
      <c r="J286" s="1737">
        <f>J231</f>
        <v>0</v>
      </c>
      <c r="K286" s="1737"/>
      <c r="L286" s="1737">
        <f>L231</f>
        <v>0</v>
      </c>
      <c r="M286" s="1791"/>
    </row>
    <row r="287" spans="2:13">
      <c r="B287" s="44"/>
      <c r="M287" s="45"/>
    </row>
    <row r="288" spans="2:13" ht="13.75" thickBot="1">
      <c r="B288" s="46"/>
      <c r="C288" s="21"/>
      <c r="D288" s="21"/>
      <c r="E288" s="1664" t="s">
        <v>638</v>
      </c>
      <c r="F288" s="1664"/>
      <c r="G288" s="1664"/>
      <c r="H288" s="1664"/>
      <c r="I288" s="1664"/>
      <c r="J288" s="21"/>
      <c r="K288" s="21"/>
      <c r="L288" s="21"/>
      <c r="M288" s="47"/>
    </row>
    <row r="289" spans="2:13" s="518" customFormat="1" ht="16.100000000000001" thickBot="1">
      <c r="B289" s="651"/>
      <c r="C289" s="484"/>
      <c r="D289" s="484"/>
      <c r="E289" s="484"/>
      <c r="F289" s="484"/>
      <c r="G289" s="484"/>
      <c r="H289" s="484"/>
      <c r="I289" s="2138" t="s">
        <v>61</v>
      </c>
      <c r="J289" s="2139"/>
      <c r="K289" s="2139"/>
      <c r="L289" s="2139"/>
      <c r="M289" s="2140"/>
    </row>
    <row r="290" spans="2:13" s="518" customFormat="1" ht="16.100000000000001" thickBot="1">
      <c r="B290" s="652"/>
      <c r="C290" s="484"/>
      <c r="D290" s="484"/>
      <c r="E290" s="484"/>
      <c r="F290" s="484"/>
      <c r="G290" s="484"/>
      <c r="H290" s="484"/>
      <c r="I290" s="2141" t="str">
        <f>I235</f>
        <v>Service</v>
      </c>
      <c r="J290" s="2141"/>
      <c r="K290" s="1159" t="s">
        <v>62</v>
      </c>
      <c r="L290" s="2144" t="s">
        <v>1454</v>
      </c>
      <c r="M290" s="2144"/>
    </row>
    <row r="291" spans="2:13" s="518" customFormat="1" ht="16.100000000000001" thickBot="1">
      <c r="B291" s="652"/>
      <c r="C291" s="484"/>
      <c r="D291" s="484"/>
      <c r="E291" s="484"/>
      <c r="F291" s="484"/>
      <c r="G291" s="484"/>
      <c r="H291" s="484"/>
      <c r="I291" s="2145" t="s">
        <v>1538</v>
      </c>
      <c r="J291" s="2146"/>
      <c r="K291" s="1160">
        <f>IF(L291&lt;&gt;0," ",0)</f>
        <v>0</v>
      </c>
      <c r="L291" s="2156">
        <f>SUM('Cost Control'!J7:J16)</f>
        <v>0</v>
      </c>
      <c r="M291" s="2157"/>
    </row>
    <row r="292" spans="2:13" s="518" customFormat="1" ht="16.100000000000001" thickBot="1">
      <c r="B292" s="652"/>
      <c r="C292" s="484"/>
      <c r="D292" s="484"/>
      <c r="E292" s="484"/>
      <c r="F292" s="484"/>
      <c r="G292" s="484"/>
      <c r="H292" s="484"/>
      <c r="I292" s="2145" t="s">
        <v>1539</v>
      </c>
      <c r="J292" s="2146"/>
      <c r="K292" s="1161">
        <f>IF(L292&lt;&gt;0,'Cost Control'!A53,0)</f>
        <v>0</v>
      </c>
      <c r="L292" s="2151">
        <f>SUM('Cost Control'!J53:J58)</f>
        <v>0</v>
      </c>
      <c r="M292" s="2152"/>
    </row>
    <row r="293" spans="2:13" s="518" customFormat="1" ht="16.100000000000001" thickBot="1">
      <c r="B293" s="652"/>
      <c r="C293" s="484"/>
      <c r="D293" s="484"/>
      <c r="E293" s="484"/>
      <c r="F293" s="484"/>
      <c r="G293" s="484"/>
      <c r="H293" s="484"/>
      <c r="I293" s="2145" t="s">
        <v>903</v>
      </c>
      <c r="J293" s="2146"/>
      <c r="K293" s="1161">
        <f>IF(L293&lt;&gt;0,'Cost Control'!A40,0)</f>
        <v>0</v>
      </c>
      <c r="L293" s="2151">
        <f>SUM('Cost Control'!J40:J51)</f>
        <v>0</v>
      </c>
      <c r="M293" s="2152"/>
    </row>
    <row r="294" spans="2:13" s="518" customFormat="1" ht="16.100000000000001" thickBot="1">
      <c r="B294" s="652"/>
      <c r="C294" s="484"/>
      <c r="D294" s="484"/>
      <c r="E294" s="484"/>
      <c r="F294" s="484"/>
      <c r="G294" s="484"/>
      <c r="H294" s="484"/>
      <c r="I294" s="2145" t="s">
        <v>1540</v>
      </c>
      <c r="J294" s="2146"/>
      <c r="K294" s="1161" t="str">
        <f>IF(L294&lt;&gt;0,'Cost Control'!A60," ")</f>
        <v xml:space="preserve"> </v>
      </c>
      <c r="L294" s="2151">
        <f>SUM('Cost Control'!J60:J66)</f>
        <v>0</v>
      </c>
      <c r="M294" s="2152"/>
    </row>
    <row r="295" spans="2:13" s="518" customFormat="1" ht="15.45">
      <c r="B295" s="652"/>
      <c r="C295" s="484"/>
      <c r="D295" s="484"/>
      <c r="E295" s="484"/>
      <c r="F295" s="484"/>
      <c r="G295" s="484"/>
      <c r="H295" s="484"/>
      <c r="I295" s="2145" t="s">
        <v>1451</v>
      </c>
      <c r="J295" s="2146"/>
      <c r="K295" s="1161">
        <f>IF(L295&lt;&gt;0,'Cost Control'!A68,0)</f>
        <v>0</v>
      </c>
      <c r="L295" s="2151">
        <f>SUM('Cost Control'!J68:J73)</f>
        <v>0</v>
      </c>
      <c r="M295" s="2152"/>
    </row>
    <row r="296" spans="2:13" s="518" customFormat="1" ht="15.45">
      <c r="B296" s="652"/>
      <c r="C296" s="484"/>
      <c r="D296" s="484"/>
      <c r="E296" s="484"/>
      <c r="F296" s="484"/>
      <c r="G296" s="484"/>
      <c r="H296" s="484"/>
      <c r="I296" s="2148" t="str">
        <f>IF(L296&lt;&gt;0,'Cost Control'!B18," ")</f>
        <v xml:space="preserve"> </v>
      </c>
      <c r="J296" s="2149"/>
      <c r="K296" s="1161">
        <f>IF(L296&lt;&gt;0,'Cost Control'!A18,0)</f>
        <v>0</v>
      </c>
      <c r="L296" s="2151">
        <f>'Cost Control'!J18</f>
        <v>0</v>
      </c>
      <c r="M296" s="2152"/>
    </row>
    <row r="297" spans="2:13" s="518" customFormat="1" ht="15.45">
      <c r="B297" s="652"/>
      <c r="C297" s="484"/>
      <c r="D297" s="484"/>
      <c r="E297" s="484"/>
      <c r="F297" s="484"/>
      <c r="G297" s="484"/>
      <c r="H297" s="484"/>
      <c r="I297" s="2148" t="str">
        <f>IF(L297&lt;&gt;0,'Cost Control'!B19," ")</f>
        <v xml:space="preserve"> </v>
      </c>
      <c r="J297" s="2149"/>
      <c r="K297" s="1161">
        <f>IF(L297&lt;&gt;0,'Cost Control'!A19,0)</f>
        <v>0</v>
      </c>
      <c r="L297" s="2151">
        <f>'Cost Control'!J19</f>
        <v>0</v>
      </c>
      <c r="M297" s="2152"/>
    </row>
    <row r="298" spans="2:13" s="518" customFormat="1" ht="15.45">
      <c r="B298" s="652"/>
      <c r="C298" s="484"/>
      <c r="D298" s="484"/>
      <c r="E298" s="484"/>
      <c r="F298" s="484"/>
      <c r="G298" s="484"/>
      <c r="H298" s="484"/>
      <c r="I298" s="2148" t="str">
        <f>IF(L298&lt;&gt;0,'Cost Control'!B20," ")</f>
        <v xml:space="preserve"> </v>
      </c>
      <c r="J298" s="2149"/>
      <c r="K298" s="1161">
        <f>IF(L298&lt;&gt;0,'Cost Control'!A20,0)</f>
        <v>0</v>
      </c>
      <c r="L298" s="2151">
        <f>'Cost Control'!J20</f>
        <v>0</v>
      </c>
      <c r="M298" s="2152"/>
    </row>
    <row r="299" spans="2:13" s="518" customFormat="1" ht="15.45">
      <c r="B299" s="652"/>
      <c r="C299" s="484"/>
      <c r="D299" s="484"/>
      <c r="E299" s="484"/>
      <c r="F299" s="484"/>
      <c r="G299" s="484"/>
      <c r="H299" s="484"/>
      <c r="I299" s="2148" t="str">
        <f>IF(L299&lt;&gt;0,'Cost Control'!B21," ")</f>
        <v xml:space="preserve"> </v>
      </c>
      <c r="J299" s="2149"/>
      <c r="K299" s="1161">
        <f>IF(L299&lt;&gt;0,'Cost Control'!A21,0)</f>
        <v>0</v>
      </c>
      <c r="L299" s="2151">
        <f>'Cost Control'!J21</f>
        <v>0</v>
      </c>
      <c r="M299" s="2152"/>
    </row>
    <row r="300" spans="2:13" s="518" customFormat="1" ht="15.45">
      <c r="B300" s="652"/>
      <c r="C300" s="484"/>
      <c r="D300" s="484"/>
      <c r="E300" s="484"/>
      <c r="F300" s="484"/>
      <c r="G300" s="484"/>
      <c r="H300" s="484"/>
      <c r="I300" s="2148" t="str">
        <f>IF(L300&lt;&gt;0,'Cost Control'!B22," ")</f>
        <v xml:space="preserve"> </v>
      </c>
      <c r="J300" s="2149"/>
      <c r="K300" s="1161">
        <f>IF(L300&lt;&gt;0,'Cost Control'!A22,0)</f>
        <v>0</v>
      </c>
      <c r="L300" s="2151">
        <f>'Cost Control'!J22</f>
        <v>0</v>
      </c>
      <c r="M300" s="2152"/>
    </row>
    <row r="301" spans="2:13" s="518" customFormat="1" ht="15.45">
      <c r="B301" s="652"/>
      <c r="C301" s="484"/>
      <c r="D301" s="484"/>
      <c r="E301" s="484"/>
      <c r="F301" s="484"/>
      <c r="G301" s="484"/>
      <c r="H301" s="484"/>
      <c r="I301" s="2148" t="str">
        <f>IF(L301&lt;&gt;0,'Cost Control'!B23," ")</f>
        <v xml:space="preserve"> </v>
      </c>
      <c r="J301" s="2149"/>
      <c r="K301" s="1161">
        <f>IF(L301&lt;&gt;0,'Cost Control'!A23,0)</f>
        <v>0</v>
      </c>
      <c r="L301" s="2151">
        <f>'Cost Control'!J23</f>
        <v>0</v>
      </c>
      <c r="M301" s="2152"/>
    </row>
    <row r="302" spans="2:13" s="518" customFormat="1" ht="15.45">
      <c r="B302" s="652"/>
      <c r="C302" s="484"/>
      <c r="D302" s="484"/>
      <c r="E302" s="484"/>
      <c r="F302" s="484"/>
      <c r="G302" s="484"/>
      <c r="H302" s="484"/>
      <c r="I302" s="2148" t="str">
        <f>IF(L302&lt;&gt;0,'Cost Control'!B24," ")</f>
        <v xml:space="preserve"> </v>
      </c>
      <c r="J302" s="2149"/>
      <c r="K302" s="1161">
        <f>IF(L302&lt;&gt;0,'Cost Control'!A24,0)</f>
        <v>0</v>
      </c>
      <c r="L302" s="2151">
        <f>'Cost Control'!J24</f>
        <v>0</v>
      </c>
      <c r="M302" s="2152"/>
    </row>
    <row r="303" spans="2:13" s="518" customFormat="1" ht="15.45">
      <c r="B303" s="652"/>
      <c r="C303" s="484"/>
      <c r="D303" s="484"/>
      <c r="E303" s="484"/>
      <c r="F303" s="484"/>
      <c r="G303" s="484"/>
      <c r="H303" s="484"/>
      <c r="I303" s="2148" t="str">
        <f>IF(L303&lt;&gt;0,'Cost Control'!B25," ")</f>
        <v xml:space="preserve"> </v>
      </c>
      <c r="J303" s="2149"/>
      <c r="K303" s="1161">
        <f>IF(L303&lt;&gt;0,'Cost Control'!A25,0)</f>
        <v>0</v>
      </c>
      <c r="L303" s="2151">
        <f>'Cost Control'!J25</f>
        <v>0</v>
      </c>
      <c r="M303" s="2152"/>
    </row>
    <row r="304" spans="2:13" s="518" customFormat="1" ht="15.45">
      <c r="B304" s="652"/>
      <c r="C304" s="484"/>
      <c r="D304" s="484"/>
      <c r="E304" s="484"/>
      <c r="F304" s="484"/>
      <c r="G304" s="484"/>
      <c r="H304" s="484"/>
      <c r="I304" s="2148" t="str">
        <f>IF(L304&lt;&gt;0,'Cost Control'!B26," ")</f>
        <v xml:space="preserve"> </v>
      </c>
      <c r="J304" s="2149"/>
      <c r="K304" s="1161">
        <f>IF(L304&lt;&gt;0,'Cost Control'!A26,0)</f>
        <v>0</v>
      </c>
      <c r="L304" s="2151">
        <f>'Cost Control'!J26</f>
        <v>0</v>
      </c>
      <c r="M304" s="2152"/>
    </row>
    <row r="305" spans="2:13" s="518" customFormat="1" ht="15.45">
      <c r="B305" s="652"/>
      <c r="C305" s="484"/>
      <c r="D305" s="484"/>
      <c r="E305" s="484"/>
      <c r="F305" s="484"/>
      <c r="G305" s="484"/>
      <c r="H305" s="484"/>
      <c r="I305" s="2148" t="str">
        <f>IF(L305&lt;&gt;0,'Cost Control'!B27," ")</f>
        <v xml:space="preserve"> </v>
      </c>
      <c r="J305" s="2149"/>
      <c r="K305" s="1161">
        <f>IF(L305&lt;&gt;0,'Cost Control'!A27,0)</f>
        <v>0</v>
      </c>
      <c r="L305" s="2151">
        <f>'Cost Control'!J27</f>
        <v>0</v>
      </c>
      <c r="M305" s="2152"/>
    </row>
    <row r="306" spans="2:13" s="518" customFormat="1" ht="15.45">
      <c r="B306" s="652"/>
      <c r="C306" s="484"/>
      <c r="D306" s="484"/>
      <c r="E306" s="484"/>
      <c r="F306" s="484"/>
      <c r="G306" s="484"/>
      <c r="H306" s="484"/>
      <c r="I306" s="2148" t="str">
        <f>IF(L306&lt;&gt;0,'Cost Control'!B28," ")</f>
        <v xml:space="preserve"> </v>
      </c>
      <c r="J306" s="2149"/>
      <c r="K306" s="1161">
        <f>IF(L306&lt;&gt;0,'Cost Control'!A28,0)</f>
        <v>0</v>
      </c>
      <c r="L306" s="2151">
        <f>'Cost Control'!J28</f>
        <v>0</v>
      </c>
      <c r="M306" s="2152"/>
    </row>
    <row r="307" spans="2:13" s="518" customFormat="1" ht="15.45">
      <c r="B307" s="652"/>
      <c r="C307" s="484"/>
      <c r="D307" s="484"/>
      <c r="E307" s="484"/>
      <c r="F307" s="484"/>
      <c r="G307" s="484"/>
      <c r="H307" s="484"/>
      <c r="I307" s="2148" t="str">
        <f>IF(L307&lt;&gt;0,'Cost Control'!B29," ")</f>
        <v xml:space="preserve"> </v>
      </c>
      <c r="J307" s="2149"/>
      <c r="K307" s="1161">
        <f>IF(L307&lt;&gt;0,'Cost Control'!A29,0)</f>
        <v>0</v>
      </c>
      <c r="L307" s="2151">
        <f>'Cost Control'!J29</f>
        <v>0</v>
      </c>
      <c r="M307" s="2152"/>
    </row>
    <row r="308" spans="2:13" s="518" customFormat="1" ht="15.45">
      <c r="B308" s="652"/>
      <c r="C308" s="484"/>
      <c r="D308" s="484"/>
      <c r="E308" s="484"/>
      <c r="F308" s="484"/>
      <c r="G308" s="484"/>
      <c r="H308" s="484"/>
      <c r="I308" s="2148" t="str">
        <f>IF(L308&lt;&gt;0,'Cost Control'!B30," ")</f>
        <v xml:space="preserve"> </v>
      </c>
      <c r="J308" s="2149"/>
      <c r="K308" s="1161">
        <f>IF(L308&lt;&gt;0,'Cost Control'!A30,0)</f>
        <v>0</v>
      </c>
      <c r="L308" s="2151">
        <f>'Cost Control'!J30</f>
        <v>0</v>
      </c>
      <c r="M308" s="2152"/>
    </row>
    <row r="309" spans="2:13" s="518" customFormat="1" ht="15.45">
      <c r="B309" s="652"/>
      <c r="C309" s="484"/>
      <c r="D309" s="484"/>
      <c r="E309" s="484"/>
      <c r="F309" s="484"/>
      <c r="G309" s="484"/>
      <c r="H309" s="484"/>
      <c r="I309" s="2148" t="str">
        <f>IF(L309&lt;&gt;0,'Cost Control'!B31," ")</f>
        <v xml:space="preserve"> </v>
      </c>
      <c r="J309" s="2149"/>
      <c r="K309" s="1161">
        <f>IF(L309&lt;&gt;0,'Cost Control'!A31,0)</f>
        <v>0</v>
      </c>
      <c r="L309" s="2151">
        <f>'Cost Control'!J31</f>
        <v>0</v>
      </c>
      <c r="M309" s="2152"/>
    </row>
    <row r="310" spans="2:13" s="518" customFormat="1" ht="15.45">
      <c r="B310" s="652"/>
      <c r="C310" s="484"/>
      <c r="D310" s="484"/>
      <c r="E310" s="484"/>
      <c r="F310" s="484"/>
      <c r="G310" s="484"/>
      <c r="H310" s="484"/>
      <c r="I310" s="2148" t="str">
        <f>IF(L310&lt;&gt;0,'Cost Control'!B32," ")</f>
        <v xml:space="preserve"> </v>
      </c>
      <c r="J310" s="2149"/>
      <c r="K310" s="1161">
        <f>IF(L310&lt;&gt;0,'Cost Control'!A32,0)</f>
        <v>0</v>
      </c>
      <c r="L310" s="2151">
        <f>'Cost Control'!J32</f>
        <v>0</v>
      </c>
      <c r="M310" s="2152"/>
    </row>
    <row r="311" spans="2:13" s="518" customFormat="1" ht="15.45">
      <c r="B311" s="652"/>
      <c r="C311" s="484"/>
      <c r="D311" s="484"/>
      <c r="E311" s="484"/>
      <c r="F311" s="484"/>
      <c r="G311" s="484"/>
      <c r="H311" s="484"/>
      <c r="I311" s="2148" t="str">
        <f>IF(L311&lt;&gt;0,'Cost Control'!B33," ")</f>
        <v xml:space="preserve"> </v>
      </c>
      <c r="J311" s="2149"/>
      <c r="K311" s="1161">
        <f>IF(L311&lt;&gt;0,'Cost Control'!A33,0)</f>
        <v>0</v>
      </c>
      <c r="L311" s="2151">
        <f>'Cost Control'!J33</f>
        <v>0</v>
      </c>
      <c r="M311" s="2152"/>
    </row>
    <row r="312" spans="2:13" s="518" customFormat="1" ht="15.45">
      <c r="B312" s="652"/>
      <c r="C312" s="484"/>
      <c r="D312" s="484"/>
      <c r="E312" s="484"/>
      <c r="F312" s="484"/>
      <c r="G312" s="484"/>
      <c r="H312" s="484"/>
      <c r="I312" s="2148" t="str">
        <f>IF(L312&lt;&gt;0,'Cost Control'!B34," ")</f>
        <v xml:space="preserve"> </v>
      </c>
      <c r="J312" s="2149"/>
      <c r="K312" s="1161">
        <f>IF(L312&lt;&gt;0,'Cost Control'!A34,0)</f>
        <v>0</v>
      </c>
      <c r="L312" s="2151">
        <f>'Cost Control'!J34</f>
        <v>0</v>
      </c>
      <c r="M312" s="2152"/>
    </row>
    <row r="313" spans="2:13" s="518" customFormat="1" ht="15.45">
      <c r="B313" s="652"/>
      <c r="C313" s="484"/>
      <c r="D313" s="484"/>
      <c r="E313" s="484"/>
      <c r="F313" s="484"/>
      <c r="G313" s="484"/>
      <c r="H313" s="484"/>
      <c r="I313" s="2148" t="str">
        <f>IF(L313&lt;&gt;0,'Cost Control'!B35," ")</f>
        <v xml:space="preserve"> </v>
      </c>
      <c r="J313" s="2149"/>
      <c r="K313" s="1161">
        <f>IF(L313&lt;&gt;0,'Cost Control'!A35,0)</f>
        <v>0</v>
      </c>
      <c r="L313" s="2151">
        <f>'Cost Control'!J35</f>
        <v>0</v>
      </c>
      <c r="M313" s="2152"/>
    </row>
    <row r="314" spans="2:13" s="518" customFormat="1" ht="15.45">
      <c r="B314" s="652"/>
      <c r="C314" s="484"/>
      <c r="D314" s="484"/>
      <c r="E314" s="484"/>
      <c r="F314" s="484"/>
      <c r="G314" s="484"/>
      <c r="H314" s="484"/>
      <c r="I314" s="2148" t="str">
        <f>IF(L314&lt;&gt;0,'Cost Control'!B36," ")</f>
        <v xml:space="preserve"> </v>
      </c>
      <c r="J314" s="2149"/>
      <c r="K314" s="1161">
        <f>IF(L314&lt;&gt;0,'Cost Control'!A36,0)</f>
        <v>0</v>
      </c>
      <c r="L314" s="2151">
        <f>'Cost Control'!J36</f>
        <v>0</v>
      </c>
      <c r="M314" s="2152"/>
    </row>
    <row r="315" spans="2:13" s="518" customFormat="1" ht="15.45">
      <c r="B315" s="652"/>
      <c r="C315" s="484"/>
      <c r="D315" s="484"/>
      <c r="E315" s="484"/>
      <c r="F315" s="484"/>
      <c r="G315" s="484"/>
      <c r="H315" s="484"/>
      <c r="I315" s="2148" t="str">
        <f>IF(L315&lt;&gt;0,'Cost Control'!B37," ")</f>
        <v xml:space="preserve"> </v>
      </c>
      <c r="J315" s="2149"/>
      <c r="K315" s="1161">
        <f>IF(L315&lt;&gt;0,'Cost Control'!A37,0)</f>
        <v>0</v>
      </c>
      <c r="L315" s="2151">
        <f>'Cost Control'!J37</f>
        <v>0</v>
      </c>
      <c r="M315" s="2152"/>
    </row>
    <row r="316" spans="2:13" s="518" customFormat="1" ht="15.45">
      <c r="B316" s="652"/>
      <c r="C316" s="484"/>
      <c r="D316" s="484"/>
      <c r="E316" s="484"/>
      <c r="F316" s="484"/>
      <c r="G316" s="484"/>
      <c r="H316" s="484"/>
      <c r="I316" s="2148" t="str">
        <f>IF(L316&lt;&gt;0,'Cost Control'!B38," ")</f>
        <v xml:space="preserve"> </v>
      </c>
      <c r="J316" s="2149"/>
      <c r="K316" s="1161">
        <f>IF(L316&lt;&gt;0,'Cost Control'!A38,0)</f>
        <v>0</v>
      </c>
      <c r="L316" s="2151">
        <f>'Cost Control'!J38</f>
        <v>0</v>
      </c>
      <c r="M316" s="2152"/>
    </row>
    <row r="317" spans="2:13" s="518" customFormat="1" ht="16.100000000000001" thickBot="1">
      <c r="B317" s="652"/>
      <c r="C317" s="484"/>
      <c r="D317" s="484"/>
      <c r="E317" s="484"/>
      <c r="F317" s="484"/>
      <c r="G317" s="484"/>
      <c r="H317" s="484"/>
      <c r="I317" s="2148" t="str">
        <f>IF(L317&lt;&gt;0,'Cost Control'!B39," ")</f>
        <v xml:space="preserve"> </v>
      </c>
      <c r="J317" s="2149"/>
      <c r="K317" s="1161">
        <f>IF(L317&lt;&gt;0,'Cost Control'!A39,0)</f>
        <v>0</v>
      </c>
      <c r="L317" s="2151">
        <f>'Cost Control'!J39</f>
        <v>0</v>
      </c>
      <c r="M317" s="2152"/>
    </row>
    <row r="318" spans="2:13" ht="13.1">
      <c r="B318" s="141" t="s">
        <v>695</v>
      </c>
      <c r="C318" s="50"/>
      <c r="D318" s="50"/>
      <c r="E318" s="2150">
        <f>K334</f>
        <v>6</v>
      </c>
      <c r="F318" s="2150"/>
      <c r="G318" s="50"/>
      <c r="H318" s="50"/>
      <c r="I318" s="50"/>
      <c r="J318" s="50"/>
      <c r="K318" s="50"/>
      <c r="L318" s="50"/>
      <c r="M318" s="43"/>
    </row>
    <row r="319" spans="2:13">
      <c r="B319" s="1628"/>
      <c r="C319" s="1629"/>
      <c r="D319" s="1629"/>
      <c r="E319" s="1629"/>
      <c r="F319" s="1629"/>
      <c r="G319" s="1629"/>
      <c r="H319" s="1629"/>
      <c r="I319" s="1629"/>
      <c r="J319" s="1629"/>
      <c r="K319" s="1629"/>
      <c r="L319" s="1629"/>
      <c r="M319" s="1630"/>
    </row>
    <row r="320" spans="2:13" ht="13.5" thickBot="1">
      <c r="B320" s="1480"/>
      <c r="C320" s="1479"/>
      <c r="D320" s="1479"/>
      <c r="E320" s="1479"/>
      <c r="F320" s="1479"/>
      <c r="G320" s="1479"/>
      <c r="H320" s="1631"/>
      <c r="I320" s="1631"/>
      <c r="J320" s="1631"/>
      <c r="K320" s="1631"/>
      <c r="L320" s="1631"/>
      <c r="M320" s="1555"/>
    </row>
    <row r="321" spans="2:13" ht="15.45">
      <c r="B321" s="307" t="s">
        <v>645</v>
      </c>
      <c r="C321" s="308"/>
      <c r="D321" s="2135">
        <f>D266</f>
        <v>0</v>
      </c>
      <c r="E321" s="2135"/>
      <c r="F321" s="309" t="s">
        <v>647</v>
      </c>
      <c r="G321" s="310">
        <f>G266</f>
        <v>0</v>
      </c>
      <c r="H321" s="172" t="s">
        <v>648</v>
      </c>
      <c r="I321" s="472">
        <v>0</v>
      </c>
      <c r="J321" s="2173" t="s">
        <v>650</v>
      </c>
      <c r="K321" s="2173"/>
      <c r="L321" s="1378"/>
      <c r="M321" s="486" t="str">
        <f>M266</f>
        <v>° F</v>
      </c>
    </row>
    <row r="322" spans="2:13">
      <c r="B322" s="44" t="s">
        <v>644</v>
      </c>
      <c r="E322" t="s">
        <v>655</v>
      </c>
      <c r="G322">
        <f>IF('Daily Load'!P110="Yes",Operations!D283,IF('Daily Load'!V110="Yes",Operations!D285,Operations!D286))</f>
        <v>0</v>
      </c>
      <c r="I322" s="195" t="s">
        <v>651</v>
      </c>
      <c r="L322" s="2170">
        <f>'Cost Control'!J74</f>
        <v>0</v>
      </c>
      <c r="M322" s="2171"/>
    </row>
    <row r="323" spans="2:13">
      <c r="B323" s="44"/>
      <c r="E323" s="223" t="s">
        <v>193</v>
      </c>
      <c r="F323" s="223" t="s">
        <v>194</v>
      </c>
      <c r="G323" s="223" t="str">
        <f>G268</f>
        <v>Other</v>
      </c>
      <c r="H323" s="1627" t="s">
        <v>587</v>
      </c>
      <c r="I323" s="31" t="s">
        <v>652</v>
      </c>
      <c r="L323" s="2170">
        <f>L269</f>
        <v>0</v>
      </c>
      <c r="M323" s="2171"/>
    </row>
    <row r="324" spans="2:13" ht="13.5" thickBot="1">
      <c r="B324" s="44" t="s">
        <v>643</v>
      </c>
      <c r="E324" s="361">
        <f>IF(E328&gt;0,E326-E328,E326+E327+E325)</f>
        <v>0</v>
      </c>
      <c r="F324" s="361">
        <f>IF(F328&gt;0,F326-F328,F326+F327+F325)</f>
        <v>0</v>
      </c>
      <c r="G324" s="361">
        <f>IF(G328&gt;0,G326-G328,G326+G327+G325)</f>
        <v>0</v>
      </c>
      <c r="H324" t="str">
        <f>H273</f>
        <v>bbl</v>
      </c>
      <c r="I324" s="31" t="s">
        <v>653</v>
      </c>
      <c r="L324" s="2163">
        <f>L322+L323</f>
        <v>0</v>
      </c>
      <c r="M324" s="2164"/>
    </row>
    <row r="325" spans="2:13" ht="13.5" thickTop="1">
      <c r="B325" s="311" t="s">
        <v>642</v>
      </c>
      <c r="E325" s="361">
        <f>IF('Daily Load'!P110="Yes",'Daily Load'!L105,IF('Daily Load'!V110="Yes",'Daily Load'!R105,'Daily Load'!X105))</f>
        <v>0</v>
      </c>
      <c r="F325" s="361">
        <f>IF('Daily Load'!P110="Yes",'Daily Load'!N105,IF('Daily Load'!V110="Yes",'Daily Load'!T105,'Daily Load'!Z105))</f>
        <v>0</v>
      </c>
      <c r="G325" s="361">
        <f>IF('Daily Load'!P110="Yes",'Daily Load'!P105,IF('Daily Load'!V110="Yes",'Daily Load'!V105,'Daily Load'!AB105))</f>
        <v>0</v>
      </c>
      <c r="H325" t="str">
        <f>H324</f>
        <v>bbl</v>
      </c>
      <c r="I325" s="31"/>
      <c r="L325" s="521"/>
      <c r="M325" s="522"/>
    </row>
    <row r="326" spans="2:13">
      <c r="B326" s="44" t="s">
        <v>641</v>
      </c>
      <c r="E326" s="361">
        <f>IF(G322=D9,'Daily Load'!F109+E271,IF(G322=G267,'Daily Load'!F109+E271,'Daily Load'!F109))</f>
        <v>0</v>
      </c>
      <c r="F326" s="361">
        <f>IF(G322=D9,'Daily Load'!H109+F271,IF(G322=G267,'Daily Load'!H109+F271,'Daily Load'!H109))</f>
        <v>0</v>
      </c>
      <c r="G326" s="361">
        <f>IF(G322=D9,'Daily Load'!J109+G271,IF(G322=G267,'Daily Load'!J147+G271,'Daily Load'!J109))</f>
        <v>0</v>
      </c>
      <c r="H326" t="str">
        <f>H325</f>
        <v>bbl</v>
      </c>
      <c r="I326" s="33" t="s">
        <v>654</v>
      </c>
      <c r="J326" s="19"/>
      <c r="K326" s="19"/>
      <c r="L326" s="2165">
        <f>L271</f>
        <v>0</v>
      </c>
      <c r="M326" s="2166"/>
    </row>
    <row r="327" spans="2:13">
      <c r="B327" s="44" t="s">
        <v>640</v>
      </c>
      <c r="E327" s="361">
        <f>IF('Daily Load'!P110="Yes",'Daily Load'!L107,IF('Daily Load'!V110="Yes",'Daily Load'!R107,'Daily Load'!X107))</f>
        <v>0</v>
      </c>
      <c r="F327" s="361">
        <f>IF('Daily Load'!P110="Yes",'Daily Load'!N107,IF('Daily Load'!V110="Yes",'Daily Load'!T107,'Daily Load'!Z107))</f>
        <v>0</v>
      </c>
      <c r="G327" s="361">
        <f>IF('Daily Load'!P110="Yes",'Daily Load'!P107,IF('Daily Load'!V110="Yes",'Daily Load'!V107,'Daily Load'!AB107))</f>
        <v>0</v>
      </c>
      <c r="H327" t="str">
        <f>H326</f>
        <v>bbl</v>
      </c>
      <c r="I327" s="2160" t="str">
        <f>I272</f>
        <v xml:space="preserve"> </v>
      </c>
      <c r="J327" s="2059"/>
      <c r="K327" s="2161"/>
      <c r="L327" s="2162" t="str">
        <f>L272</f>
        <v xml:space="preserve">0 </v>
      </c>
      <c r="M327" s="2155"/>
    </row>
    <row r="328" spans="2:13" ht="13.5" thickBot="1">
      <c r="B328" s="46" t="s">
        <v>639</v>
      </c>
      <c r="C328" s="21"/>
      <c r="D328" s="21"/>
      <c r="E328" s="380">
        <f>IF('Daily Load'!P110="Yes",'Daily Load'!L108,IF('Daily Load'!V110="Yes",'Daily Load'!R108,'Daily Load'!X108))</f>
        <v>0</v>
      </c>
      <c r="F328" s="380">
        <f>IF('Daily Load'!P110="Yes",'Daily Load'!N108,IF('Daily Load'!V110="Yes",'Daily Load'!T108,'Daily Load'!Z108))</f>
        <v>0</v>
      </c>
      <c r="G328" s="380">
        <f>IF('Daily Load'!P110="Yes",'Daily Load'!P108,IF('Daily Load'!V110="Yes",'Daily Load'!V108,'Daily Load'!AB108))</f>
        <v>0</v>
      </c>
      <c r="H328" s="21" t="str">
        <f>H327</f>
        <v>bbl</v>
      </c>
      <c r="I328" s="2167" t="s">
        <v>677</v>
      </c>
      <c r="J328" s="2168"/>
      <c r="K328" s="2169"/>
      <c r="L328" s="2167" t="s">
        <v>826</v>
      </c>
      <c r="M328" s="2172"/>
    </row>
    <row r="329" spans="2:13">
      <c r="B329" s="50"/>
      <c r="C329" s="50"/>
      <c r="D329" s="50"/>
      <c r="E329" s="1185"/>
      <c r="F329" s="1185"/>
      <c r="G329" s="1185"/>
      <c r="H329" s="50"/>
      <c r="I329" s="1186"/>
      <c r="J329" s="1186"/>
      <c r="K329" s="1186"/>
      <c r="L329" s="1186"/>
      <c r="M329" s="1186"/>
    </row>
    <row r="330" spans="2:13" ht="13.5" thickBot="1">
      <c r="B330" s="21"/>
      <c r="C330" s="21"/>
      <c r="D330" s="21"/>
      <c r="E330" s="21"/>
      <c r="F330" s="21"/>
      <c r="G330" s="21"/>
      <c r="H330" s="21"/>
      <c r="I330" s="21"/>
      <c r="J330" s="21"/>
      <c r="K330" s="21"/>
      <c r="L330" s="21"/>
      <c r="M330" s="21"/>
    </row>
    <row r="331" spans="2:13">
      <c r="B331" s="44"/>
      <c r="M331" s="45"/>
    </row>
    <row r="332" spans="2:13">
      <c r="B332" s="44"/>
      <c r="J332" s="2143">
        <f>J277</f>
        <v>0</v>
      </c>
      <c r="K332" s="2143"/>
      <c r="L332" s="2143"/>
      <c r="M332" s="45"/>
    </row>
    <row r="333" spans="2:13">
      <c r="B333" s="44"/>
      <c r="M333" s="45"/>
    </row>
    <row r="334" spans="2:13" ht="13.1">
      <c r="B334" s="137" t="s">
        <v>634</v>
      </c>
      <c r="C334">
        <f>Summary!$C$6</f>
        <v>0</v>
      </c>
      <c r="H334" s="22" t="s">
        <v>636</v>
      </c>
      <c r="I334" s="22"/>
      <c r="K334" s="2158">
        <f>'Cost Control'!K5</f>
        <v>6</v>
      </c>
      <c r="L334" s="2158"/>
      <c r="M334" s="2159"/>
    </row>
    <row r="335" spans="2:13" ht="13.1">
      <c r="B335" s="44"/>
      <c r="H335" s="22"/>
      <c r="I335" s="22"/>
      <c r="M335" s="45"/>
    </row>
    <row r="336" spans="2:13" ht="13.1">
      <c r="B336" s="137" t="s">
        <v>635</v>
      </c>
      <c r="D336" s="2136">
        <f>D281</f>
        <v>0</v>
      </c>
      <c r="E336" s="2136"/>
      <c r="F336" s="2136"/>
      <c r="G336" s="2136"/>
      <c r="H336" s="2136"/>
      <c r="I336" s="22" t="s">
        <v>637</v>
      </c>
      <c r="J336" s="3">
        <f>J281+1</f>
        <v>7</v>
      </c>
      <c r="M336" s="45"/>
    </row>
    <row r="337" spans="2:13" ht="13.1">
      <c r="B337" s="137"/>
      <c r="D337" s="2136"/>
      <c r="E337" s="2136"/>
      <c r="F337" s="2136"/>
      <c r="G337" s="2136"/>
      <c r="H337" s="2136"/>
      <c r="I337" t="s">
        <v>63</v>
      </c>
      <c r="J337" s="2142">
        <f>J282</f>
        <v>0</v>
      </c>
      <c r="K337" s="2143"/>
      <c r="M337" s="45"/>
    </row>
    <row r="338" spans="2:13" ht="13.1">
      <c r="B338" s="137" t="s">
        <v>146</v>
      </c>
      <c r="D338">
        <f>Summary!$C$32</f>
        <v>0</v>
      </c>
      <c r="F338" s="1819" t="str">
        <f>F283</f>
        <v>OPEN HOLE INTERVAL:</v>
      </c>
      <c r="G338" s="1819"/>
      <c r="H338" s="2147">
        <f>H283</f>
        <v>0</v>
      </c>
      <c r="I338" s="2147"/>
      <c r="J338" s="2147">
        <f>J283</f>
        <v>0</v>
      </c>
      <c r="K338" s="2147"/>
      <c r="L338" s="2147">
        <f>L283</f>
        <v>0</v>
      </c>
      <c r="M338" s="2154"/>
    </row>
    <row r="339" spans="2:13">
      <c r="B339" s="44"/>
      <c r="H339" s="2153"/>
      <c r="I339" s="2153"/>
      <c r="J339" s="1145"/>
      <c r="K339" s="1145"/>
      <c r="L339" s="1145"/>
      <c r="M339" s="1146"/>
    </row>
    <row r="340" spans="2:13" ht="13.1">
      <c r="B340" s="44"/>
      <c r="D340">
        <f>Summary!$F$32</f>
        <v>0</v>
      </c>
      <c r="F340" s="1819" t="str">
        <f>F285</f>
        <v xml:space="preserve"> </v>
      </c>
      <c r="G340" s="1819"/>
      <c r="H340" s="2137">
        <f>H285</f>
        <v>0</v>
      </c>
      <c r="I340" s="2137"/>
      <c r="J340" s="2137">
        <f>J285</f>
        <v>0</v>
      </c>
      <c r="K340" s="2137"/>
      <c r="L340" s="2137">
        <f>L285</f>
        <v>0</v>
      </c>
      <c r="M340" s="2155"/>
    </row>
    <row r="341" spans="2:13" ht="13.1">
      <c r="B341" s="44"/>
      <c r="D341">
        <f>D286</f>
        <v>0</v>
      </c>
      <c r="F341" s="1819" t="str">
        <f>F286</f>
        <v xml:space="preserve"> </v>
      </c>
      <c r="G341" s="1819"/>
      <c r="H341" s="1737">
        <f>H286</f>
        <v>0</v>
      </c>
      <c r="I341" s="1737"/>
      <c r="J341" s="1737">
        <f>J286</f>
        <v>0</v>
      </c>
      <c r="K341" s="1737"/>
      <c r="L341" s="1737">
        <f>L286</f>
        <v>0</v>
      </c>
      <c r="M341" s="1791"/>
    </row>
    <row r="342" spans="2:13">
      <c r="B342" s="44"/>
      <c r="M342" s="45"/>
    </row>
    <row r="343" spans="2:13" ht="13.75" thickBot="1">
      <c r="B343" s="46"/>
      <c r="C343" s="21"/>
      <c r="D343" s="21"/>
      <c r="E343" s="1664" t="s">
        <v>638</v>
      </c>
      <c r="F343" s="1664"/>
      <c r="G343" s="1664"/>
      <c r="H343" s="1664"/>
      <c r="I343" s="1664"/>
      <c r="J343" s="21"/>
      <c r="K343" s="21"/>
      <c r="L343" s="21"/>
      <c r="M343" s="47"/>
    </row>
    <row r="344" spans="2:13" s="518" customFormat="1" ht="16.100000000000001" thickBot="1">
      <c r="B344" s="651"/>
      <c r="C344" s="484"/>
      <c r="D344" s="484"/>
      <c r="E344" s="484"/>
      <c r="F344" s="484"/>
      <c r="G344" s="484"/>
      <c r="H344" s="484"/>
      <c r="I344" s="2138" t="s">
        <v>61</v>
      </c>
      <c r="J344" s="2139"/>
      <c r="K344" s="2139"/>
      <c r="L344" s="2139"/>
      <c r="M344" s="2140"/>
    </row>
    <row r="345" spans="2:13" s="518" customFormat="1" ht="16.100000000000001" thickBot="1">
      <c r="B345" s="652"/>
      <c r="C345" s="484"/>
      <c r="D345" s="484"/>
      <c r="E345" s="484"/>
      <c r="F345" s="484"/>
      <c r="G345" s="484"/>
      <c r="H345" s="484"/>
      <c r="I345" s="2141" t="str">
        <f>I290</f>
        <v>Service</v>
      </c>
      <c r="J345" s="2141"/>
      <c r="K345" s="1159" t="s">
        <v>62</v>
      </c>
      <c r="L345" s="2144" t="s">
        <v>1454</v>
      </c>
      <c r="M345" s="2144"/>
    </row>
    <row r="346" spans="2:13" s="518" customFormat="1" ht="16.100000000000001" thickBot="1">
      <c r="B346" s="652"/>
      <c r="C346" s="484"/>
      <c r="D346" s="484"/>
      <c r="E346" s="484"/>
      <c r="F346" s="484"/>
      <c r="G346" s="484"/>
      <c r="H346" s="484"/>
      <c r="I346" s="2145" t="s">
        <v>1538</v>
      </c>
      <c r="J346" s="2146"/>
      <c r="K346" s="1160">
        <f>IF(L346&lt;&gt;0," ",0)</f>
        <v>0</v>
      </c>
      <c r="L346" s="2156">
        <f>SUM('Cost Control'!K7:K16)</f>
        <v>0</v>
      </c>
      <c r="M346" s="2157"/>
    </row>
    <row r="347" spans="2:13" s="518" customFormat="1" ht="16.100000000000001" thickBot="1">
      <c r="B347" s="652"/>
      <c r="C347" s="484"/>
      <c r="D347" s="484"/>
      <c r="E347" s="484"/>
      <c r="F347" s="484"/>
      <c r="G347" s="484"/>
      <c r="H347" s="484"/>
      <c r="I347" s="2145" t="s">
        <v>1539</v>
      </c>
      <c r="J347" s="2146"/>
      <c r="K347" s="1161">
        <f>IF(L347&lt;&gt;0,'Cost Control'!A53,0)</f>
        <v>0</v>
      </c>
      <c r="L347" s="2151">
        <f>SUM('Cost Control'!K53:K58)</f>
        <v>0</v>
      </c>
      <c r="M347" s="2152"/>
    </row>
    <row r="348" spans="2:13" s="518" customFormat="1" ht="16.100000000000001" thickBot="1">
      <c r="B348" s="652"/>
      <c r="C348" s="484"/>
      <c r="D348" s="484"/>
      <c r="E348" s="484"/>
      <c r="F348" s="484"/>
      <c r="G348" s="484"/>
      <c r="H348" s="484"/>
      <c r="I348" s="2145" t="s">
        <v>903</v>
      </c>
      <c r="J348" s="2146"/>
      <c r="K348" s="1161">
        <f>IF(L348&lt;&gt;0,'Cost Control'!A40,0)</f>
        <v>0</v>
      </c>
      <c r="L348" s="2151">
        <f>SUM('Cost Control'!K40:K51)</f>
        <v>0</v>
      </c>
      <c r="M348" s="2152"/>
    </row>
    <row r="349" spans="2:13" s="518" customFormat="1" ht="16.100000000000001" thickBot="1">
      <c r="B349" s="652"/>
      <c r="C349" s="484"/>
      <c r="D349" s="484"/>
      <c r="E349" s="484"/>
      <c r="F349" s="484"/>
      <c r="G349" s="484"/>
      <c r="H349" s="484"/>
      <c r="I349" s="2145" t="s">
        <v>1540</v>
      </c>
      <c r="J349" s="2146"/>
      <c r="K349" s="1161" t="str">
        <f>IF(L349&lt;&gt;0,'Cost Control'!A60," ")</f>
        <v xml:space="preserve"> </v>
      </c>
      <c r="L349" s="2151">
        <f>SUM('Cost Control'!K60:K66)</f>
        <v>0</v>
      </c>
      <c r="M349" s="2152"/>
    </row>
    <row r="350" spans="2:13" s="518" customFormat="1" ht="15.45">
      <c r="B350" s="652"/>
      <c r="C350" s="484"/>
      <c r="D350" s="484"/>
      <c r="E350" s="484"/>
      <c r="F350" s="484"/>
      <c r="G350" s="484"/>
      <c r="H350" s="484"/>
      <c r="I350" s="2145" t="s">
        <v>1451</v>
      </c>
      <c r="J350" s="2146"/>
      <c r="K350" s="1161">
        <f>IF(L350&lt;&gt;0,'Cost Control'!A68,0)</f>
        <v>0</v>
      </c>
      <c r="L350" s="2151">
        <f>SUM('Cost Control'!K68:K73)</f>
        <v>0</v>
      </c>
      <c r="M350" s="2152"/>
    </row>
    <row r="351" spans="2:13" s="518" customFormat="1" ht="15.45">
      <c r="B351" s="652"/>
      <c r="C351" s="484"/>
      <c r="D351" s="484"/>
      <c r="E351" s="484"/>
      <c r="F351" s="484"/>
      <c r="G351" s="484"/>
      <c r="H351" s="484"/>
      <c r="I351" s="2148" t="str">
        <f>IF(L351&lt;&gt;0,'Cost Control'!B18," ")</f>
        <v xml:space="preserve"> </v>
      </c>
      <c r="J351" s="2149"/>
      <c r="K351" s="1161">
        <f>IF(L351&lt;&gt;0,'Cost Control'!A18,0)</f>
        <v>0</v>
      </c>
      <c r="L351" s="2151">
        <f>'Cost Control'!K18</f>
        <v>0</v>
      </c>
      <c r="M351" s="2152"/>
    </row>
    <row r="352" spans="2:13" s="518" customFormat="1" ht="15.45">
      <c r="B352" s="652"/>
      <c r="C352" s="484"/>
      <c r="D352" s="484"/>
      <c r="E352" s="484"/>
      <c r="F352" s="484"/>
      <c r="G352" s="484"/>
      <c r="H352" s="484"/>
      <c r="I352" s="2148" t="str">
        <f>IF(L352&lt;&gt;0,'Cost Control'!B19," ")</f>
        <v xml:space="preserve"> </v>
      </c>
      <c r="J352" s="2149"/>
      <c r="K352" s="1161">
        <f>IF(L352&lt;&gt;0,'Cost Control'!A19,0)</f>
        <v>0</v>
      </c>
      <c r="L352" s="2151">
        <f>'Cost Control'!K19</f>
        <v>0</v>
      </c>
      <c r="M352" s="2152"/>
    </row>
    <row r="353" spans="2:13" s="518" customFormat="1" ht="15.45">
      <c r="B353" s="652"/>
      <c r="C353" s="484"/>
      <c r="D353" s="484"/>
      <c r="E353" s="484"/>
      <c r="F353" s="484"/>
      <c r="G353" s="484"/>
      <c r="H353" s="484"/>
      <c r="I353" s="2148" t="str">
        <f>IF(L353&lt;&gt;0,'Cost Control'!B20," ")</f>
        <v xml:space="preserve"> </v>
      </c>
      <c r="J353" s="2149"/>
      <c r="K353" s="1161">
        <f>IF(L353&lt;&gt;0,'Cost Control'!A20,0)</f>
        <v>0</v>
      </c>
      <c r="L353" s="2151">
        <f>'Cost Control'!K20</f>
        <v>0</v>
      </c>
      <c r="M353" s="2152"/>
    </row>
    <row r="354" spans="2:13" s="518" customFormat="1" ht="15.45">
      <c r="B354" s="652"/>
      <c r="C354" s="484"/>
      <c r="D354" s="484"/>
      <c r="E354" s="484"/>
      <c r="F354" s="484"/>
      <c r="G354" s="484"/>
      <c r="H354" s="484"/>
      <c r="I354" s="2148" t="str">
        <f>IF(L354&lt;&gt;0,'Cost Control'!B21," ")</f>
        <v xml:space="preserve"> </v>
      </c>
      <c r="J354" s="2149"/>
      <c r="K354" s="1161">
        <f>IF(L354&lt;&gt;0,'Cost Control'!A21,0)</f>
        <v>0</v>
      </c>
      <c r="L354" s="2151">
        <f>'Cost Control'!K21</f>
        <v>0</v>
      </c>
      <c r="M354" s="2152"/>
    </row>
    <row r="355" spans="2:13" s="518" customFormat="1" ht="15.45">
      <c r="B355" s="652"/>
      <c r="C355" s="484"/>
      <c r="D355" s="484"/>
      <c r="E355" s="484"/>
      <c r="F355" s="484"/>
      <c r="G355" s="484"/>
      <c r="H355" s="484"/>
      <c r="I355" s="2148" t="str">
        <f>IF(L355&lt;&gt;0,'Cost Control'!B22," ")</f>
        <v xml:space="preserve"> </v>
      </c>
      <c r="J355" s="2149"/>
      <c r="K355" s="1161">
        <f>IF(L355&lt;&gt;0,'Cost Control'!A22,0)</f>
        <v>0</v>
      </c>
      <c r="L355" s="2151">
        <f>'Cost Control'!K22</f>
        <v>0</v>
      </c>
      <c r="M355" s="2152"/>
    </row>
    <row r="356" spans="2:13" s="518" customFormat="1" ht="15.45">
      <c r="B356" s="652"/>
      <c r="C356" s="484"/>
      <c r="D356" s="484"/>
      <c r="E356" s="484"/>
      <c r="F356" s="484"/>
      <c r="G356" s="484"/>
      <c r="H356" s="484"/>
      <c r="I356" s="2148" t="str">
        <f>IF(L356&lt;&gt;0,'Cost Control'!B23," ")</f>
        <v xml:space="preserve"> </v>
      </c>
      <c r="J356" s="2149"/>
      <c r="K356" s="1161">
        <f>IF(L356&lt;&gt;0,'Cost Control'!A23,0)</f>
        <v>0</v>
      </c>
      <c r="L356" s="2151">
        <f>'Cost Control'!K23</f>
        <v>0</v>
      </c>
      <c r="M356" s="2152"/>
    </row>
    <row r="357" spans="2:13" s="518" customFormat="1" ht="15.45">
      <c r="B357" s="652"/>
      <c r="C357" s="484"/>
      <c r="D357" s="484"/>
      <c r="E357" s="484"/>
      <c r="F357" s="484"/>
      <c r="G357" s="484"/>
      <c r="H357" s="484"/>
      <c r="I357" s="2148" t="str">
        <f>IF(L357&lt;&gt;0,'Cost Control'!B24," ")</f>
        <v xml:space="preserve"> </v>
      </c>
      <c r="J357" s="2149"/>
      <c r="K357" s="1161">
        <f>IF(L357&lt;&gt;0,'Cost Control'!A24,0)</f>
        <v>0</v>
      </c>
      <c r="L357" s="2151">
        <f>'Cost Control'!K24</f>
        <v>0</v>
      </c>
      <c r="M357" s="2152"/>
    </row>
    <row r="358" spans="2:13" s="518" customFormat="1" ht="15.45">
      <c r="B358" s="652"/>
      <c r="C358" s="484"/>
      <c r="D358" s="484"/>
      <c r="E358" s="484"/>
      <c r="F358" s="484"/>
      <c r="G358" s="484"/>
      <c r="H358" s="484"/>
      <c r="I358" s="2148" t="str">
        <f>IF(L358&lt;&gt;0,'Cost Control'!B25," ")</f>
        <v xml:space="preserve"> </v>
      </c>
      <c r="J358" s="2149"/>
      <c r="K358" s="1161">
        <f>IF(L358&lt;&gt;0,'Cost Control'!A25,0)</f>
        <v>0</v>
      </c>
      <c r="L358" s="2151">
        <f>'Cost Control'!K25</f>
        <v>0</v>
      </c>
      <c r="M358" s="2152"/>
    </row>
    <row r="359" spans="2:13" s="518" customFormat="1" ht="15.45">
      <c r="B359" s="652"/>
      <c r="C359" s="484"/>
      <c r="D359" s="484"/>
      <c r="E359" s="484"/>
      <c r="F359" s="484"/>
      <c r="G359" s="484"/>
      <c r="H359" s="484"/>
      <c r="I359" s="2148" t="str">
        <f>IF(L359&lt;&gt;0,'Cost Control'!B26," ")</f>
        <v xml:space="preserve"> </v>
      </c>
      <c r="J359" s="2149"/>
      <c r="K359" s="1161">
        <f>IF(L359&lt;&gt;0,'Cost Control'!A26,0)</f>
        <v>0</v>
      </c>
      <c r="L359" s="2151">
        <f>'Cost Control'!K26</f>
        <v>0</v>
      </c>
      <c r="M359" s="2152"/>
    </row>
    <row r="360" spans="2:13" s="518" customFormat="1" ht="15.45">
      <c r="B360" s="652"/>
      <c r="C360" s="484"/>
      <c r="D360" s="484"/>
      <c r="E360" s="484"/>
      <c r="F360" s="484"/>
      <c r="G360" s="484"/>
      <c r="H360" s="484"/>
      <c r="I360" s="2148" t="str">
        <f>IF(L360&lt;&gt;0,'Cost Control'!B27," ")</f>
        <v xml:space="preserve"> </v>
      </c>
      <c r="J360" s="2149"/>
      <c r="K360" s="1161">
        <f>IF(L360&lt;&gt;0,'Cost Control'!A27,0)</f>
        <v>0</v>
      </c>
      <c r="L360" s="2151">
        <f>'Cost Control'!K27</f>
        <v>0</v>
      </c>
      <c r="M360" s="2152"/>
    </row>
    <row r="361" spans="2:13" s="518" customFormat="1" ht="15.45">
      <c r="B361" s="652"/>
      <c r="C361" s="484"/>
      <c r="D361" s="484"/>
      <c r="E361" s="484"/>
      <c r="F361" s="484"/>
      <c r="G361" s="484"/>
      <c r="H361" s="484"/>
      <c r="I361" s="2148" t="str">
        <f>IF(L361&lt;&gt;0,'Cost Control'!B28," ")</f>
        <v xml:space="preserve"> </v>
      </c>
      <c r="J361" s="2149"/>
      <c r="K361" s="1161">
        <f>IF(L361&lt;&gt;0,'Cost Control'!A28,0)</f>
        <v>0</v>
      </c>
      <c r="L361" s="2151">
        <f>'Cost Control'!K28</f>
        <v>0</v>
      </c>
      <c r="M361" s="2152"/>
    </row>
    <row r="362" spans="2:13" s="518" customFormat="1" ht="15.45">
      <c r="B362" s="652"/>
      <c r="C362" s="484"/>
      <c r="D362" s="484"/>
      <c r="E362" s="484"/>
      <c r="F362" s="484"/>
      <c r="G362" s="484"/>
      <c r="H362" s="484"/>
      <c r="I362" s="2148" t="str">
        <f>IF(L362&lt;&gt;0,'Cost Control'!B29," ")</f>
        <v xml:space="preserve"> </v>
      </c>
      <c r="J362" s="2149"/>
      <c r="K362" s="1161">
        <f>IF(L362&lt;&gt;0,'Cost Control'!A29,0)</f>
        <v>0</v>
      </c>
      <c r="L362" s="2151">
        <f>'Cost Control'!K29</f>
        <v>0</v>
      </c>
      <c r="M362" s="2152"/>
    </row>
    <row r="363" spans="2:13" s="518" customFormat="1" ht="15.45">
      <c r="B363" s="652"/>
      <c r="C363" s="484"/>
      <c r="D363" s="484"/>
      <c r="E363" s="484"/>
      <c r="F363" s="484"/>
      <c r="G363" s="484"/>
      <c r="H363" s="484"/>
      <c r="I363" s="2148" t="str">
        <f>IF(L363&lt;&gt;0,'Cost Control'!B30," ")</f>
        <v xml:space="preserve"> </v>
      </c>
      <c r="J363" s="2149"/>
      <c r="K363" s="1161">
        <f>IF(L363&lt;&gt;0,'Cost Control'!A30,0)</f>
        <v>0</v>
      </c>
      <c r="L363" s="2151">
        <f>'Cost Control'!K30</f>
        <v>0</v>
      </c>
      <c r="M363" s="2152"/>
    </row>
    <row r="364" spans="2:13" s="518" customFormat="1" ht="15.45">
      <c r="B364" s="652"/>
      <c r="C364" s="484"/>
      <c r="D364" s="484"/>
      <c r="E364" s="484"/>
      <c r="F364" s="484"/>
      <c r="G364" s="484"/>
      <c r="H364" s="484"/>
      <c r="I364" s="2148" t="str">
        <f>IF(L364&lt;&gt;0,'Cost Control'!B31," ")</f>
        <v xml:space="preserve"> </v>
      </c>
      <c r="J364" s="2149"/>
      <c r="K364" s="1161">
        <f>IF(L364&lt;&gt;0,'Cost Control'!A31,0)</f>
        <v>0</v>
      </c>
      <c r="L364" s="2151">
        <f>'Cost Control'!K31</f>
        <v>0</v>
      </c>
      <c r="M364" s="2152"/>
    </row>
    <row r="365" spans="2:13" s="518" customFormat="1" ht="15.45">
      <c r="B365" s="652"/>
      <c r="C365" s="484"/>
      <c r="D365" s="484"/>
      <c r="E365" s="484"/>
      <c r="F365" s="484"/>
      <c r="G365" s="484"/>
      <c r="H365" s="484"/>
      <c r="I365" s="2148" t="str">
        <f>IF(L365&lt;&gt;0,'Cost Control'!B32," ")</f>
        <v xml:space="preserve"> </v>
      </c>
      <c r="J365" s="2149"/>
      <c r="K365" s="1161">
        <f>IF(L365&lt;&gt;0,'Cost Control'!A32,0)</f>
        <v>0</v>
      </c>
      <c r="L365" s="2151">
        <f>'Cost Control'!K32</f>
        <v>0</v>
      </c>
      <c r="M365" s="2152"/>
    </row>
    <row r="366" spans="2:13" s="518" customFormat="1" ht="15.45">
      <c r="B366" s="652"/>
      <c r="C366" s="484"/>
      <c r="D366" s="484"/>
      <c r="E366" s="484"/>
      <c r="F366" s="484"/>
      <c r="G366" s="484"/>
      <c r="H366" s="484"/>
      <c r="I366" s="2148" t="str">
        <f>IF(L366&lt;&gt;0,'Cost Control'!B33," ")</f>
        <v xml:space="preserve"> </v>
      </c>
      <c r="J366" s="2149"/>
      <c r="K366" s="1161">
        <f>IF(L366&lt;&gt;0,'Cost Control'!A33,0)</f>
        <v>0</v>
      </c>
      <c r="L366" s="2151">
        <f>'Cost Control'!K33</f>
        <v>0</v>
      </c>
      <c r="M366" s="2152"/>
    </row>
    <row r="367" spans="2:13" s="518" customFormat="1" ht="15.45">
      <c r="B367" s="652"/>
      <c r="C367" s="484"/>
      <c r="D367" s="484"/>
      <c r="E367" s="484"/>
      <c r="F367" s="484"/>
      <c r="G367" s="484"/>
      <c r="H367" s="484"/>
      <c r="I367" s="2148" t="str">
        <f>IF(L367&lt;&gt;0,'Cost Control'!B34," ")</f>
        <v xml:space="preserve"> </v>
      </c>
      <c r="J367" s="2149"/>
      <c r="K367" s="1161">
        <f>IF(L367&lt;&gt;0,'Cost Control'!A34,0)</f>
        <v>0</v>
      </c>
      <c r="L367" s="2151">
        <f>'Cost Control'!K34</f>
        <v>0</v>
      </c>
      <c r="M367" s="2152"/>
    </row>
    <row r="368" spans="2:13" s="518" customFormat="1" ht="15.45">
      <c r="B368" s="652"/>
      <c r="C368" s="484"/>
      <c r="D368" s="484"/>
      <c r="E368" s="484"/>
      <c r="F368" s="484"/>
      <c r="G368" s="484"/>
      <c r="H368" s="484"/>
      <c r="I368" s="2148" t="str">
        <f>IF(L368&lt;&gt;0,'Cost Control'!B35," ")</f>
        <v xml:space="preserve"> </v>
      </c>
      <c r="J368" s="2149"/>
      <c r="K368" s="1161">
        <f>IF(L368&lt;&gt;0,'Cost Control'!A35,0)</f>
        <v>0</v>
      </c>
      <c r="L368" s="2151">
        <f>'Cost Control'!K35</f>
        <v>0</v>
      </c>
      <c r="M368" s="2152"/>
    </row>
    <row r="369" spans="2:13" s="518" customFormat="1" ht="15.45">
      <c r="B369" s="652"/>
      <c r="C369" s="484"/>
      <c r="D369" s="484"/>
      <c r="E369" s="484"/>
      <c r="F369" s="484"/>
      <c r="G369" s="484"/>
      <c r="H369" s="484"/>
      <c r="I369" s="2148" t="str">
        <f>IF(L369&lt;&gt;0,'Cost Control'!B36," ")</f>
        <v xml:space="preserve"> </v>
      </c>
      <c r="J369" s="2149"/>
      <c r="K369" s="1161">
        <f>IF(L369&lt;&gt;0,'Cost Control'!A36,0)</f>
        <v>0</v>
      </c>
      <c r="L369" s="2151">
        <f>'Cost Control'!K36</f>
        <v>0</v>
      </c>
      <c r="M369" s="2152"/>
    </row>
    <row r="370" spans="2:13" s="518" customFormat="1" ht="15.45">
      <c r="B370" s="652"/>
      <c r="C370" s="484"/>
      <c r="D370" s="484"/>
      <c r="E370" s="484"/>
      <c r="F370" s="484"/>
      <c r="G370" s="484"/>
      <c r="H370" s="484"/>
      <c r="I370" s="2148" t="str">
        <f>IF(L370&lt;&gt;0,'Cost Control'!B37," ")</f>
        <v xml:space="preserve"> </v>
      </c>
      <c r="J370" s="2149"/>
      <c r="K370" s="1161">
        <f>IF(L370&lt;&gt;0,'Cost Control'!A37,0)</f>
        <v>0</v>
      </c>
      <c r="L370" s="2151">
        <f>'Cost Control'!K37</f>
        <v>0</v>
      </c>
      <c r="M370" s="2152"/>
    </row>
    <row r="371" spans="2:13" s="518" customFormat="1" ht="15.45">
      <c r="B371" s="652"/>
      <c r="C371" s="484"/>
      <c r="D371" s="484"/>
      <c r="E371" s="484"/>
      <c r="F371" s="484"/>
      <c r="G371" s="484"/>
      <c r="H371" s="484"/>
      <c r="I371" s="2148" t="str">
        <f>IF(L371&lt;&gt;0,'Cost Control'!B38," ")</f>
        <v xml:space="preserve"> </v>
      </c>
      <c r="J371" s="2149"/>
      <c r="K371" s="1161">
        <f>IF(L371&lt;&gt;0,'Cost Control'!A38,0)</f>
        <v>0</v>
      </c>
      <c r="L371" s="2151">
        <f>'Cost Control'!K38</f>
        <v>0</v>
      </c>
      <c r="M371" s="2152"/>
    </row>
    <row r="372" spans="2:13" s="518" customFormat="1" ht="16.100000000000001" thickBot="1">
      <c r="B372" s="652"/>
      <c r="C372" s="484"/>
      <c r="D372" s="484"/>
      <c r="E372" s="484"/>
      <c r="F372" s="484"/>
      <c r="G372" s="484"/>
      <c r="H372" s="484"/>
      <c r="I372" s="2148" t="str">
        <f>IF(L372&lt;&gt;0,'Cost Control'!B39," ")</f>
        <v xml:space="preserve"> </v>
      </c>
      <c r="J372" s="2149"/>
      <c r="K372" s="1161">
        <f>IF(L372&lt;&gt;0,'Cost Control'!A39,0)</f>
        <v>0</v>
      </c>
      <c r="L372" s="2151">
        <f>'Cost Control'!K39</f>
        <v>0</v>
      </c>
      <c r="M372" s="2152"/>
    </row>
    <row r="373" spans="2:13" ht="13.1">
      <c r="B373" s="141" t="s">
        <v>695</v>
      </c>
      <c r="C373" s="50"/>
      <c r="D373" s="50"/>
      <c r="E373" s="2150">
        <f>K389</f>
        <v>7</v>
      </c>
      <c r="F373" s="2150"/>
      <c r="G373" s="50"/>
      <c r="H373" s="50"/>
      <c r="I373" s="50"/>
      <c r="J373" s="50"/>
      <c r="K373" s="50"/>
      <c r="L373" s="50"/>
      <c r="M373" s="43"/>
    </row>
    <row r="374" spans="2:13">
      <c r="B374" s="1628"/>
      <c r="C374" s="1629"/>
      <c r="D374" s="1629"/>
      <c r="E374" s="1629"/>
      <c r="F374" s="1629"/>
      <c r="G374" s="1629"/>
      <c r="H374" s="1629"/>
      <c r="I374" s="1629"/>
      <c r="J374" s="1629"/>
      <c r="K374" s="1629"/>
      <c r="L374" s="1629"/>
      <c r="M374" s="1630"/>
    </row>
    <row r="375" spans="2:13" ht="13.5" thickBot="1">
      <c r="B375" s="1480"/>
      <c r="C375" s="1479"/>
      <c r="D375" s="1479"/>
      <c r="E375" s="1479"/>
      <c r="F375" s="1479"/>
      <c r="G375" s="1479"/>
      <c r="H375" s="1631"/>
      <c r="I375" s="1631"/>
      <c r="J375" s="1631"/>
      <c r="K375" s="1631"/>
      <c r="L375" s="1631"/>
      <c r="M375" s="1555"/>
    </row>
    <row r="376" spans="2:13" ht="15.45">
      <c r="B376" s="307" t="s">
        <v>645</v>
      </c>
      <c r="C376" s="308"/>
      <c r="D376" s="2135">
        <f>D321</f>
        <v>0</v>
      </c>
      <c r="E376" s="2135"/>
      <c r="F376" s="309" t="s">
        <v>647</v>
      </c>
      <c r="G376" s="310">
        <f>G321</f>
        <v>0</v>
      </c>
      <c r="H376" s="172" t="s">
        <v>648</v>
      </c>
      <c r="I376" s="472">
        <v>0</v>
      </c>
      <c r="J376" s="2173" t="s">
        <v>650</v>
      </c>
      <c r="K376" s="2173"/>
      <c r="L376" s="1378"/>
      <c r="M376" s="486" t="str">
        <f>M321</f>
        <v>° F</v>
      </c>
    </row>
    <row r="377" spans="2:13">
      <c r="B377" s="44" t="s">
        <v>644</v>
      </c>
      <c r="E377" t="s">
        <v>655</v>
      </c>
      <c r="G377">
        <f>IF('Daily Load'!P128="Yes",Operations!D338,IF('Daily Load'!V128="Yes",Operations!D340,Operations!D341))</f>
        <v>0</v>
      </c>
      <c r="I377" s="195" t="s">
        <v>651</v>
      </c>
      <c r="L377" s="2170">
        <f>'Cost Control'!K74</f>
        <v>0</v>
      </c>
      <c r="M377" s="2171"/>
    </row>
    <row r="378" spans="2:13">
      <c r="B378" s="44"/>
      <c r="E378" s="223" t="s">
        <v>193</v>
      </c>
      <c r="F378" s="223" t="s">
        <v>194</v>
      </c>
      <c r="G378" s="223" t="str">
        <f>G323</f>
        <v>Other</v>
      </c>
      <c r="H378" s="1627" t="s">
        <v>587</v>
      </c>
      <c r="I378" s="31" t="s">
        <v>652</v>
      </c>
      <c r="L378" s="2170">
        <f>L324</f>
        <v>0</v>
      </c>
      <c r="M378" s="2171"/>
    </row>
    <row r="379" spans="2:13" ht="13.5" thickBot="1">
      <c r="B379" s="44" t="s">
        <v>643</v>
      </c>
      <c r="E379" s="361">
        <f>IF(E383&gt;0,E381-E383,E381+E382+E380)</f>
        <v>0</v>
      </c>
      <c r="F379" s="361">
        <f>IF(F383&gt;0,F381-F383,F381+F382+F380)</f>
        <v>0</v>
      </c>
      <c r="G379" s="361">
        <f>IF(G383&gt;0,G381-G383,G381+G382+G380)</f>
        <v>0</v>
      </c>
      <c r="H379" t="str">
        <f>H328</f>
        <v>bbl</v>
      </c>
      <c r="I379" s="31" t="s">
        <v>653</v>
      </c>
      <c r="L379" s="2163">
        <f>L377+L378</f>
        <v>0</v>
      </c>
      <c r="M379" s="2164"/>
    </row>
    <row r="380" spans="2:13" ht="13.5" thickTop="1">
      <c r="B380" s="311" t="s">
        <v>642</v>
      </c>
      <c r="E380" s="361">
        <f>IF('Daily Load'!P128="Yes",'Daily Load'!L123,IF('Daily Load'!V128="Yes",'Daily Load'!R123,'Daily Load'!X123))</f>
        <v>0</v>
      </c>
      <c r="F380" s="361">
        <f>IF('Daily Load'!P128="Yes",'Daily Load'!N123,IF('Daily Load'!V128="Yes",'Daily Load'!T123,'Daily Load'!Z123))</f>
        <v>0</v>
      </c>
      <c r="G380" s="361">
        <f>IF('Daily Load'!P128="Yes",'Daily Load'!P123,IF('Daily Load'!V128="Yes",'Daily Load'!V123,'Daily Load'!AB123))</f>
        <v>0</v>
      </c>
      <c r="H380" t="str">
        <f>H379</f>
        <v>bbl</v>
      </c>
      <c r="I380" s="31"/>
      <c r="L380" s="521"/>
      <c r="M380" s="522"/>
    </row>
    <row r="381" spans="2:13">
      <c r="B381" s="44" t="s">
        <v>641</v>
      </c>
      <c r="E381" s="361">
        <f>IF(G377=D9,'Daily Load'!F127+E326,IF(G377=G322,'Daily Load'!F127+E326,'Daily Load'!F127))</f>
        <v>0</v>
      </c>
      <c r="F381" s="361">
        <f>IF(G377=D9,'Daily Load'!H127+F326,IF(G377=G322,'Daily Load'!H127+F326,'Daily Load'!H127))</f>
        <v>0</v>
      </c>
      <c r="G381" s="361">
        <f>IF(G377=D9,'Daily Load'!J127+G326,IF(G377=G322,'Daily Load'!J127+G326,'Daily Load'!J127))</f>
        <v>0</v>
      </c>
      <c r="H381" t="str">
        <f>H380</f>
        <v>bbl</v>
      </c>
      <c r="I381" s="33" t="s">
        <v>654</v>
      </c>
      <c r="J381" s="19"/>
      <c r="K381" s="19"/>
      <c r="L381" s="2165">
        <f>L326</f>
        <v>0</v>
      </c>
      <c r="M381" s="2166"/>
    </row>
    <row r="382" spans="2:13">
      <c r="B382" s="44" t="s">
        <v>640</v>
      </c>
      <c r="E382" s="361">
        <f>IF('Daily Load'!P128="Yes",'Daily Load'!L125,IF('Daily Load'!V128="Yes",'Daily Load'!R125,'Daily Load'!X125))</f>
        <v>0</v>
      </c>
      <c r="F382" s="361">
        <f>IF('Daily Load'!P128="Yes",'Daily Load'!N125,IF('Daily Load'!V128="Yes",'Daily Load'!T125,'Daily Load'!Z125))</f>
        <v>0</v>
      </c>
      <c r="G382" s="361">
        <f>IF('Daily Load'!P128="Yes",'Daily Load'!P125,IF('Daily Load'!V128="Yes",'Daily Load'!V125,'Daily Load'!AB125))</f>
        <v>0</v>
      </c>
      <c r="H382" t="str">
        <f>H381</f>
        <v>bbl</v>
      </c>
      <c r="I382" s="2160" t="str">
        <f>I327</f>
        <v xml:space="preserve"> </v>
      </c>
      <c r="J382" s="2059"/>
      <c r="K382" s="2161"/>
      <c r="L382" s="2162" t="str">
        <f>L327</f>
        <v xml:space="preserve">0 </v>
      </c>
      <c r="M382" s="2155"/>
    </row>
    <row r="383" spans="2:13" ht="13.5" thickBot="1">
      <c r="B383" s="46" t="s">
        <v>639</v>
      </c>
      <c r="C383" s="21"/>
      <c r="D383" s="21"/>
      <c r="E383" s="380">
        <f>IF('Daily Load'!P128="Yes",'Daily Load'!L126,IF('Daily Load'!V128="Yes",'Daily Load'!R126,'Daily Load'!X126))</f>
        <v>0</v>
      </c>
      <c r="F383" s="380">
        <f>IF('Daily Load'!P128="Yes",'Daily Load'!N126,IF('Daily Load'!V128="Yes",'Daily Load'!T126,'Daily Load'!Z126))</f>
        <v>0</v>
      </c>
      <c r="G383" s="380">
        <f>IF('Daily Load'!P128="Yes",'Daily Load'!P126,IF('Daily Load'!V128="Yes",'Daily Load'!V126,'Daily Load'!AB126))</f>
        <v>0</v>
      </c>
      <c r="H383" s="21" t="str">
        <f>H382</f>
        <v>bbl</v>
      </c>
      <c r="I383" s="2167" t="s">
        <v>677</v>
      </c>
      <c r="J383" s="2168"/>
      <c r="K383" s="2169"/>
      <c r="L383" s="2167" t="s">
        <v>826</v>
      </c>
      <c r="M383" s="2172"/>
    </row>
    <row r="384" spans="2:13">
      <c r="B384" s="50"/>
      <c r="C384" s="50"/>
      <c r="D384" s="50"/>
      <c r="E384" s="1185"/>
      <c r="F384" s="1185"/>
      <c r="G384" s="1185"/>
      <c r="H384" s="50"/>
      <c r="I384" s="1186"/>
      <c r="J384" s="1186"/>
      <c r="K384" s="1186"/>
      <c r="L384" s="1186"/>
      <c r="M384" s="1186"/>
    </row>
    <row r="385" spans="2:13" ht="13.5" thickBot="1">
      <c r="B385" s="21"/>
      <c r="C385" s="21"/>
      <c r="D385" s="21"/>
      <c r="E385" s="21"/>
      <c r="F385" s="21"/>
      <c r="G385" s="21"/>
      <c r="H385" s="21"/>
      <c r="I385" s="21"/>
      <c r="J385" s="21"/>
      <c r="K385" s="21"/>
      <c r="L385" s="21"/>
      <c r="M385" s="21"/>
    </row>
    <row r="386" spans="2:13">
      <c r="B386" s="44"/>
      <c r="M386" s="45"/>
    </row>
    <row r="387" spans="2:13">
      <c r="B387" s="44"/>
      <c r="J387" s="2143">
        <f>J332</f>
        <v>0</v>
      </c>
      <c r="K387" s="2143"/>
      <c r="L387" s="2143"/>
      <c r="M387" s="45"/>
    </row>
    <row r="388" spans="2:13">
      <c r="B388" s="44"/>
      <c r="M388" s="45"/>
    </row>
    <row r="389" spans="2:13" ht="13.1">
      <c r="B389" s="137" t="s">
        <v>634</v>
      </c>
      <c r="C389">
        <f>Summary!$C$6</f>
        <v>0</v>
      </c>
      <c r="H389" s="22" t="s">
        <v>636</v>
      </c>
      <c r="I389" s="22"/>
      <c r="K389" s="2158">
        <f>'Cost Control'!L5</f>
        <v>7</v>
      </c>
      <c r="L389" s="2158"/>
      <c r="M389" s="2159"/>
    </row>
    <row r="390" spans="2:13" ht="13.1">
      <c r="B390" s="44"/>
      <c r="H390" s="22"/>
      <c r="I390" s="22"/>
      <c r="M390" s="45"/>
    </row>
    <row r="391" spans="2:13" ht="13.1">
      <c r="B391" s="137" t="s">
        <v>635</v>
      </c>
      <c r="D391" s="2136">
        <f>D336</f>
        <v>0</v>
      </c>
      <c r="E391" s="2136"/>
      <c r="F391" s="2136"/>
      <c r="G391" s="2136"/>
      <c r="H391" s="2136"/>
      <c r="I391" s="22" t="s">
        <v>637</v>
      </c>
      <c r="J391" s="3">
        <f>J336+1</f>
        <v>8</v>
      </c>
      <c r="M391" s="45"/>
    </row>
    <row r="392" spans="2:13" ht="13.1">
      <c r="B392" s="137"/>
      <c r="D392" s="2136"/>
      <c r="E392" s="2136"/>
      <c r="F392" s="2136"/>
      <c r="G392" s="2136"/>
      <c r="H392" s="2136"/>
      <c r="I392" t="s">
        <v>63</v>
      </c>
      <c r="J392" s="2142">
        <f>J337</f>
        <v>0</v>
      </c>
      <c r="K392" s="2143"/>
      <c r="M392" s="45"/>
    </row>
    <row r="393" spans="2:13" ht="13.1">
      <c r="B393" s="137" t="s">
        <v>146</v>
      </c>
      <c r="D393">
        <f>Summary!$C$32</f>
        <v>0</v>
      </c>
      <c r="F393" s="1819" t="str">
        <f>F338</f>
        <v>OPEN HOLE INTERVAL:</v>
      </c>
      <c r="G393" s="1819"/>
      <c r="H393" s="2147">
        <f>H338</f>
        <v>0</v>
      </c>
      <c r="I393" s="2147"/>
      <c r="J393" s="2147">
        <f>J338</f>
        <v>0</v>
      </c>
      <c r="K393" s="2147"/>
      <c r="L393" s="2147">
        <f>L338</f>
        <v>0</v>
      </c>
      <c r="M393" s="2154"/>
    </row>
    <row r="394" spans="2:13">
      <c r="B394" s="44"/>
      <c r="H394" s="2153"/>
      <c r="I394" s="2153"/>
      <c r="J394" s="1145"/>
      <c r="K394" s="1145"/>
      <c r="L394" s="1145"/>
      <c r="M394" s="1146"/>
    </row>
    <row r="395" spans="2:13" ht="13.1">
      <c r="B395" s="44"/>
      <c r="D395">
        <f>Summary!$F$32</f>
        <v>0</v>
      </c>
      <c r="F395" s="1819" t="str">
        <f>F340</f>
        <v xml:space="preserve"> </v>
      </c>
      <c r="G395" s="1819"/>
      <c r="H395" s="2137">
        <f>H340</f>
        <v>0</v>
      </c>
      <c r="I395" s="2137"/>
      <c r="J395" s="2137">
        <f>J340</f>
        <v>0</v>
      </c>
      <c r="K395" s="2137"/>
      <c r="L395" s="2137">
        <f>L340</f>
        <v>0</v>
      </c>
      <c r="M395" s="2155"/>
    </row>
    <row r="396" spans="2:13" ht="13.1">
      <c r="B396" s="44"/>
      <c r="D396">
        <f>D341</f>
        <v>0</v>
      </c>
      <c r="F396" s="1819" t="str">
        <f>F341</f>
        <v xml:space="preserve"> </v>
      </c>
      <c r="G396" s="1819"/>
      <c r="H396" s="1737">
        <f>H341</f>
        <v>0</v>
      </c>
      <c r="I396" s="1737"/>
      <c r="J396" s="1737">
        <f>J341</f>
        <v>0</v>
      </c>
      <c r="K396" s="1737"/>
      <c r="L396" s="1737">
        <f>L341</f>
        <v>0</v>
      </c>
      <c r="M396" s="1791"/>
    </row>
    <row r="397" spans="2:13">
      <c r="B397" s="44"/>
      <c r="M397" s="45"/>
    </row>
    <row r="398" spans="2:13" ht="13.75" thickBot="1">
      <c r="B398" s="46"/>
      <c r="C398" s="21"/>
      <c r="D398" s="21"/>
      <c r="E398" s="1664" t="s">
        <v>638</v>
      </c>
      <c r="F398" s="1664"/>
      <c r="G398" s="1664"/>
      <c r="H398" s="1664"/>
      <c r="I398" s="1664"/>
      <c r="J398" s="21"/>
      <c r="K398" s="21"/>
      <c r="L398" s="21"/>
      <c r="M398" s="47"/>
    </row>
    <row r="399" spans="2:13" s="518" customFormat="1" ht="16.100000000000001" thickBot="1">
      <c r="B399" s="651"/>
      <c r="C399" s="484"/>
      <c r="D399" s="484"/>
      <c r="E399" s="484"/>
      <c r="F399" s="484"/>
      <c r="G399" s="484"/>
      <c r="H399" s="484"/>
      <c r="I399" s="2138" t="s">
        <v>61</v>
      </c>
      <c r="J399" s="2139"/>
      <c r="K399" s="2139"/>
      <c r="L399" s="2139"/>
      <c r="M399" s="2140"/>
    </row>
    <row r="400" spans="2:13" s="518" customFormat="1" ht="16.100000000000001" thickBot="1">
      <c r="B400" s="652"/>
      <c r="C400" s="484"/>
      <c r="D400" s="484"/>
      <c r="E400" s="484"/>
      <c r="F400" s="484"/>
      <c r="G400" s="484"/>
      <c r="H400" s="484"/>
      <c r="I400" s="2141" t="str">
        <f>I345</f>
        <v>Service</v>
      </c>
      <c r="J400" s="2141"/>
      <c r="K400" s="1159" t="s">
        <v>62</v>
      </c>
      <c r="L400" s="2144" t="s">
        <v>1454</v>
      </c>
      <c r="M400" s="2144"/>
    </row>
    <row r="401" spans="2:13" s="518" customFormat="1" ht="16.100000000000001" thickBot="1">
      <c r="B401" s="652"/>
      <c r="C401" s="484"/>
      <c r="D401" s="484"/>
      <c r="E401" s="484"/>
      <c r="F401" s="484"/>
      <c r="G401" s="484"/>
      <c r="H401" s="484"/>
      <c r="I401" s="2145" t="s">
        <v>1538</v>
      </c>
      <c r="J401" s="2146"/>
      <c r="K401" s="1160">
        <f>IF(L401&lt;&gt;0," ",0)</f>
        <v>0</v>
      </c>
      <c r="L401" s="2156">
        <f>SUM('Cost Control'!L7:L16)</f>
        <v>0</v>
      </c>
      <c r="M401" s="2157"/>
    </row>
    <row r="402" spans="2:13" s="518" customFormat="1" ht="16.100000000000001" thickBot="1">
      <c r="B402" s="652"/>
      <c r="C402" s="484"/>
      <c r="D402" s="484"/>
      <c r="E402" s="484"/>
      <c r="F402" s="484"/>
      <c r="G402" s="484"/>
      <c r="H402" s="484"/>
      <c r="I402" s="2145" t="s">
        <v>1539</v>
      </c>
      <c r="J402" s="2146"/>
      <c r="K402" s="1161">
        <f>IF(L402&lt;&gt;0,'Cost Control'!A53,0)</f>
        <v>0</v>
      </c>
      <c r="L402" s="2151">
        <f>SUM('Cost Control'!L53:L58)</f>
        <v>0</v>
      </c>
      <c r="M402" s="2152"/>
    </row>
    <row r="403" spans="2:13" s="518" customFormat="1" ht="16.100000000000001" thickBot="1">
      <c r="B403" s="652"/>
      <c r="C403" s="484"/>
      <c r="D403" s="484"/>
      <c r="E403" s="484"/>
      <c r="F403" s="484"/>
      <c r="G403" s="484"/>
      <c r="H403" s="484"/>
      <c r="I403" s="2145" t="s">
        <v>903</v>
      </c>
      <c r="J403" s="2146"/>
      <c r="K403" s="1161">
        <f>IF(L403&lt;&gt;0,'Cost Control'!A40,0)</f>
        <v>0</v>
      </c>
      <c r="L403" s="2151">
        <f>SUM('Cost Control'!L40:L51)</f>
        <v>0</v>
      </c>
      <c r="M403" s="2152"/>
    </row>
    <row r="404" spans="2:13" s="518" customFormat="1" ht="16.100000000000001" thickBot="1">
      <c r="B404" s="652"/>
      <c r="C404" s="484"/>
      <c r="D404" s="484"/>
      <c r="E404" s="484"/>
      <c r="F404" s="484"/>
      <c r="G404" s="484"/>
      <c r="H404" s="484"/>
      <c r="I404" s="2145" t="s">
        <v>1540</v>
      </c>
      <c r="J404" s="2146"/>
      <c r="K404" s="1161" t="str">
        <f>IF(L404&lt;&gt;0,'Cost Control'!A60," ")</f>
        <v xml:space="preserve"> </v>
      </c>
      <c r="L404" s="2151">
        <f>SUM('Cost Control'!L60:L66)</f>
        <v>0</v>
      </c>
      <c r="M404" s="2152"/>
    </row>
    <row r="405" spans="2:13" s="518" customFormat="1" ht="15.45">
      <c r="B405" s="652"/>
      <c r="C405" s="484"/>
      <c r="D405" s="484"/>
      <c r="E405" s="484"/>
      <c r="F405" s="484"/>
      <c r="G405" s="484"/>
      <c r="H405" s="484"/>
      <c r="I405" s="2145" t="s">
        <v>1451</v>
      </c>
      <c r="J405" s="2146"/>
      <c r="K405" s="1161">
        <f>IF(L405&lt;&gt;0,'Cost Control'!A68,0)</f>
        <v>0</v>
      </c>
      <c r="L405" s="2151">
        <f>SUM('Cost Control'!L68:L73)</f>
        <v>0</v>
      </c>
      <c r="M405" s="2152"/>
    </row>
    <row r="406" spans="2:13" s="518" customFormat="1" ht="15.45">
      <c r="B406" s="652"/>
      <c r="C406" s="484"/>
      <c r="D406" s="484"/>
      <c r="E406" s="484"/>
      <c r="F406" s="484"/>
      <c r="G406" s="484"/>
      <c r="H406" s="484"/>
      <c r="I406" s="2148" t="str">
        <f>IF(L406&lt;&gt;0,'Cost Control'!B18," ")</f>
        <v xml:space="preserve"> </v>
      </c>
      <c r="J406" s="2149"/>
      <c r="K406" s="1161">
        <f>IF(L406&lt;&gt;0,'Cost Control'!A18,0)</f>
        <v>0</v>
      </c>
      <c r="L406" s="2151">
        <f>'Cost Control'!L18</f>
        <v>0</v>
      </c>
      <c r="M406" s="2152"/>
    </row>
    <row r="407" spans="2:13" s="518" customFormat="1" ht="15.45">
      <c r="B407" s="652"/>
      <c r="C407" s="484"/>
      <c r="D407" s="484"/>
      <c r="E407" s="484"/>
      <c r="F407" s="484"/>
      <c r="G407" s="484"/>
      <c r="H407" s="484"/>
      <c r="I407" s="2148" t="str">
        <f>IF(L407&lt;&gt;0,'Cost Control'!B19," ")</f>
        <v xml:space="preserve"> </v>
      </c>
      <c r="J407" s="2149"/>
      <c r="K407" s="1161">
        <f>IF(L407&lt;&gt;0,'Cost Control'!A19,0)</f>
        <v>0</v>
      </c>
      <c r="L407" s="2151">
        <f>'Cost Control'!L19</f>
        <v>0</v>
      </c>
      <c r="M407" s="2152"/>
    </row>
    <row r="408" spans="2:13" s="518" customFormat="1" ht="15.45">
      <c r="B408" s="652"/>
      <c r="C408" s="484"/>
      <c r="D408" s="484"/>
      <c r="E408" s="484"/>
      <c r="F408" s="484"/>
      <c r="G408" s="484"/>
      <c r="H408" s="484"/>
      <c r="I408" s="2148" t="str">
        <f>IF(L408&lt;&gt;0,'Cost Control'!B20," ")</f>
        <v xml:space="preserve"> </v>
      </c>
      <c r="J408" s="2149"/>
      <c r="K408" s="1161">
        <f>IF(L408&lt;&gt;0,'Cost Control'!A20,0)</f>
        <v>0</v>
      </c>
      <c r="L408" s="2151">
        <f>'Cost Control'!L20</f>
        <v>0</v>
      </c>
      <c r="M408" s="2152"/>
    </row>
    <row r="409" spans="2:13" s="518" customFormat="1" ht="15.45">
      <c r="B409" s="652"/>
      <c r="C409" s="484"/>
      <c r="D409" s="484"/>
      <c r="E409" s="484"/>
      <c r="F409" s="484"/>
      <c r="G409" s="484"/>
      <c r="H409" s="484"/>
      <c r="I409" s="2148" t="str">
        <f>IF(L409&lt;&gt;0,'Cost Control'!B21," ")</f>
        <v xml:space="preserve"> </v>
      </c>
      <c r="J409" s="2149"/>
      <c r="K409" s="1161">
        <f>IF(L409&lt;&gt;0,'Cost Control'!A21,0)</f>
        <v>0</v>
      </c>
      <c r="L409" s="2151">
        <f>'Cost Control'!L21</f>
        <v>0</v>
      </c>
      <c r="M409" s="2152"/>
    </row>
    <row r="410" spans="2:13" s="518" customFormat="1" ht="15.45">
      <c r="B410" s="652"/>
      <c r="C410" s="484"/>
      <c r="D410" s="484"/>
      <c r="E410" s="484"/>
      <c r="F410" s="484"/>
      <c r="G410" s="484"/>
      <c r="H410" s="484"/>
      <c r="I410" s="2148" t="str">
        <f>IF(L410&lt;&gt;0,'Cost Control'!B22," ")</f>
        <v xml:space="preserve"> </v>
      </c>
      <c r="J410" s="2149"/>
      <c r="K410" s="1161">
        <f>IF(L410&lt;&gt;0,'Cost Control'!A22,0)</f>
        <v>0</v>
      </c>
      <c r="L410" s="2151">
        <f>'Cost Control'!L22</f>
        <v>0</v>
      </c>
      <c r="M410" s="2152"/>
    </row>
    <row r="411" spans="2:13" s="518" customFormat="1" ht="15.45">
      <c r="B411" s="652"/>
      <c r="C411" s="484"/>
      <c r="D411" s="484"/>
      <c r="E411" s="484"/>
      <c r="F411" s="484"/>
      <c r="G411" s="484"/>
      <c r="H411" s="484"/>
      <c r="I411" s="2148" t="str">
        <f>IF(L411&lt;&gt;0,'Cost Control'!B23," ")</f>
        <v xml:space="preserve"> </v>
      </c>
      <c r="J411" s="2149"/>
      <c r="K411" s="1161">
        <f>IF(L411&lt;&gt;0,'Cost Control'!A23,0)</f>
        <v>0</v>
      </c>
      <c r="L411" s="2151">
        <f>'Cost Control'!L23</f>
        <v>0</v>
      </c>
      <c r="M411" s="2152"/>
    </row>
    <row r="412" spans="2:13" s="518" customFormat="1" ht="15.45">
      <c r="B412" s="652"/>
      <c r="C412" s="484"/>
      <c r="D412" s="484"/>
      <c r="E412" s="484"/>
      <c r="F412" s="484"/>
      <c r="G412" s="484"/>
      <c r="H412" s="484"/>
      <c r="I412" s="2148" t="str">
        <f>IF(L412&lt;&gt;0,'Cost Control'!B24," ")</f>
        <v xml:space="preserve"> </v>
      </c>
      <c r="J412" s="2149"/>
      <c r="K412" s="1161">
        <f>IF(L412&lt;&gt;0,'Cost Control'!A24,0)</f>
        <v>0</v>
      </c>
      <c r="L412" s="2151">
        <f>'Cost Control'!L24</f>
        <v>0</v>
      </c>
      <c r="M412" s="2152"/>
    </row>
    <row r="413" spans="2:13" s="518" customFormat="1" ht="15.45">
      <c r="B413" s="652"/>
      <c r="C413" s="484"/>
      <c r="D413" s="484"/>
      <c r="E413" s="484"/>
      <c r="F413" s="484"/>
      <c r="G413" s="484"/>
      <c r="H413" s="484"/>
      <c r="I413" s="2148" t="str">
        <f>IF(L413&lt;&gt;0,'Cost Control'!B25," ")</f>
        <v xml:space="preserve"> </v>
      </c>
      <c r="J413" s="2149"/>
      <c r="K413" s="1161">
        <f>IF(L413&lt;&gt;0,'Cost Control'!A25,0)</f>
        <v>0</v>
      </c>
      <c r="L413" s="2151">
        <f>'Cost Control'!L25</f>
        <v>0</v>
      </c>
      <c r="M413" s="2152"/>
    </row>
    <row r="414" spans="2:13" s="518" customFormat="1" ht="15.45">
      <c r="B414" s="652"/>
      <c r="C414" s="484"/>
      <c r="D414" s="484"/>
      <c r="E414" s="484"/>
      <c r="F414" s="484"/>
      <c r="G414" s="484"/>
      <c r="H414" s="484"/>
      <c r="I414" s="2148" t="str">
        <f>IF(L414&lt;&gt;0,'Cost Control'!B26," ")</f>
        <v xml:space="preserve"> </v>
      </c>
      <c r="J414" s="2149"/>
      <c r="K414" s="1161">
        <f>IF(L414&lt;&gt;0,'Cost Control'!A26,0)</f>
        <v>0</v>
      </c>
      <c r="L414" s="2151">
        <f>'Cost Control'!L26</f>
        <v>0</v>
      </c>
      <c r="M414" s="2152"/>
    </row>
    <row r="415" spans="2:13" s="518" customFormat="1" ht="15.45">
      <c r="B415" s="652"/>
      <c r="C415" s="484"/>
      <c r="D415" s="484"/>
      <c r="E415" s="484"/>
      <c r="F415" s="484"/>
      <c r="G415" s="484"/>
      <c r="H415" s="484"/>
      <c r="I415" s="2148" t="str">
        <f>IF(L415&lt;&gt;0,'Cost Control'!B27," ")</f>
        <v xml:space="preserve"> </v>
      </c>
      <c r="J415" s="2149"/>
      <c r="K415" s="1161">
        <f>IF(L415&lt;&gt;0,'Cost Control'!A27,0)</f>
        <v>0</v>
      </c>
      <c r="L415" s="2151">
        <f>'Cost Control'!L27</f>
        <v>0</v>
      </c>
      <c r="M415" s="2152"/>
    </row>
    <row r="416" spans="2:13" s="518" customFormat="1" ht="15.45">
      <c r="B416" s="652"/>
      <c r="C416" s="484"/>
      <c r="D416" s="484"/>
      <c r="E416" s="484"/>
      <c r="F416" s="484"/>
      <c r="G416" s="484"/>
      <c r="H416" s="484"/>
      <c r="I416" s="2148" t="str">
        <f>IF(L416&lt;&gt;0,'Cost Control'!B28," ")</f>
        <v xml:space="preserve"> </v>
      </c>
      <c r="J416" s="2149"/>
      <c r="K416" s="1161">
        <f>IF(L416&lt;&gt;0,'Cost Control'!A28,0)</f>
        <v>0</v>
      </c>
      <c r="L416" s="2151">
        <f>'Cost Control'!L28</f>
        <v>0</v>
      </c>
      <c r="M416" s="2152"/>
    </row>
    <row r="417" spans="2:13" s="518" customFormat="1" ht="15.45">
      <c r="B417" s="652"/>
      <c r="C417" s="484"/>
      <c r="D417" s="484"/>
      <c r="E417" s="484"/>
      <c r="F417" s="484"/>
      <c r="G417" s="484"/>
      <c r="H417" s="484"/>
      <c r="I417" s="2148" t="str">
        <f>IF(L417&lt;&gt;0,'Cost Control'!B29," ")</f>
        <v xml:space="preserve"> </v>
      </c>
      <c r="J417" s="2149"/>
      <c r="K417" s="1161">
        <f>IF(L417&lt;&gt;0,'Cost Control'!A29,0)</f>
        <v>0</v>
      </c>
      <c r="L417" s="2151">
        <f>'Cost Control'!L29</f>
        <v>0</v>
      </c>
      <c r="M417" s="2152"/>
    </row>
    <row r="418" spans="2:13" s="518" customFormat="1" ht="15.45">
      <c r="B418" s="652"/>
      <c r="C418" s="484"/>
      <c r="D418" s="484"/>
      <c r="E418" s="484"/>
      <c r="F418" s="484"/>
      <c r="G418" s="484"/>
      <c r="H418" s="484"/>
      <c r="I418" s="2148" t="str">
        <f>IF(L418&lt;&gt;0,'Cost Control'!B30," ")</f>
        <v xml:space="preserve"> </v>
      </c>
      <c r="J418" s="2149"/>
      <c r="K418" s="1161">
        <f>IF(L418&lt;&gt;0,'Cost Control'!A30,0)</f>
        <v>0</v>
      </c>
      <c r="L418" s="2151">
        <f>'Cost Control'!L30</f>
        <v>0</v>
      </c>
      <c r="M418" s="2152"/>
    </row>
    <row r="419" spans="2:13" s="518" customFormat="1" ht="15.45">
      <c r="B419" s="652"/>
      <c r="C419" s="484"/>
      <c r="D419" s="484"/>
      <c r="E419" s="484"/>
      <c r="F419" s="484"/>
      <c r="G419" s="484"/>
      <c r="H419" s="484"/>
      <c r="I419" s="2148" t="str">
        <f>IF(L419&lt;&gt;0,'Cost Control'!B31," ")</f>
        <v xml:space="preserve"> </v>
      </c>
      <c r="J419" s="2149"/>
      <c r="K419" s="1161">
        <f>IF(L419&lt;&gt;0,'Cost Control'!A31,0)</f>
        <v>0</v>
      </c>
      <c r="L419" s="2151">
        <f>'Cost Control'!L31</f>
        <v>0</v>
      </c>
      <c r="M419" s="2152"/>
    </row>
    <row r="420" spans="2:13" s="518" customFormat="1" ht="15.45">
      <c r="B420" s="652"/>
      <c r="C420" s="484"/>
      <c r="D420" s="484"/>
      <c r="E420" s="484"/>
      <c r="F420" s="484"/>
      <c r="G420" s="484"/>
      <c r="H420" s="484"/>
      <c r="I420" s="2148" t="str">
        <f>IF(L420&lt;&gt;0,'Cost Control'!B32," ")</f>
        <v xml:space="preserve"> </v>
      </c>
      <c r="J420" s="2149"/>
      <c r="K420" s="1161">
        <f>IF(L420&lt;&gt;0,'Cost Control'!A32,0)</f>
        <v>0</v>
      </c>
      <c r="L420" s="2151">
        <f>'Cost Control'!L32</f>
        <v>0</v>
      </c>
      <c r="M420" s="2152"/>
    </row>
    <row r="421" spans="2:13" s="518" customFormat="1" ht="15.45">
      <c r="B421" s="652"/>
      <c r="C421" s="484"/>
      <c r="D421" s="484"/>
      <c r="E421" s="484"/>
      <c r="F421" s="484"/>
      <c r="G421" s="484"/>
      <c r="H421" s="484"/>
      <c r="I421" s="2148" t="str">
        <f>IF(L421&lt;&gt;0,'Cost Control'!B33," ")</f>
        <v xml:space="preserve"> </v>
      </c>
      <c r="J421" s="2149"/>
      <c r="K421" s="1161">
        <f>IF(L421&lt;&gt;0,'Cost Control'!A33,0)</f>
        <v>0</v>
      </c>
      <c r="L421" s="2151">
        <f>'Cost Control'!L33</f>
        <v>0</v>
      </c>
      <c r="M421" s="2152"/>
    </row>
    <row r="422" spans="2:13" s="518" customFormat="1" ht="15.45">
      <c r="B422" s="652"/>
      <c r="C422" s="484"/>
      <c r="D422" s="484"/>
      <c r="E422" s="484"/>
      <c r="F422" s="484"/>
      <c r="G422" s="484"/>
      <c r="H422" s="484"/>
      <c r="I422" s="2148" t="str">
        <f>IF(L422&lt;&gt;0,'Cost Control'!B34," ")</f>
        <v xml:space="preserve"> </v>
      </c>
      <c r="J422" s="2149"/>
      <c r="K422" s="1161">
        <f>IF(L422&lt;&gt;0,'Cost Control'!A34,0)</f>
        <v>0</v>
      </c>
      <c r="L422" s="2151">
        <f>'Cost Control'!L34</f>
        <v>0</v>
      </c>
      <c r="M422" s="2152"/>
    </row>
    <row r="423" spans="2:13" s="518" customFormat="1" ht="15.45">
      <c r="B423" s="652"/>
      <c r="C423" s="484"/>
      <c r="D423" s="484"/>
      <c r="E423" s="484"/>
      <c r="F423" s="484"/>
      <c r="G423" s="484"/>
      <c r="H423" s="484"/>
      <c r="I423" s="2148" t="str">
        <f>IF(L423&lt;&gt;0,'Cost Control'!B35," ")</f>
        <v xml:space="preserve"> </v>
      </c>
      <c r="J423" s="2149"/>
      <c r="K423" s="1161">
        <f>IF(L423&lt;&gt;0,'Cost Control'!A35,0)</f>
        <v>0</v>
      </c>
      <c r="L423" s="2151">
        <f>'Cost Control'!L35</f>
        <v>0</v>
      </c>
      <c r="M423" s="2152"/>
    </row>
    <row r="424" spans="2:13" s="518" customFormat="1" ht="15.45">
      <c r="B424" s="652"/>
      <c r="C424" s="484"/>
      <c r="D424" s="484"/>
      <c r="E424" s="484"/>
      <c r="F424" s="484"/>
      <c r="G424" s="484"/>
      <c r="H424" s="484"/>
      <c r="I424" s="2148" t="str">
        <f>IF(L424&lt;&gt;0,'Cost Control'!B36," ")</f>
        <v xml:space="preserve"> </v>
      </c>
      <c r="J424" s="2149"/>
      <c r="K424" s="1161">
        <f>IF(L424&lt;&gt;0,'Cost Control'!A36,0)</f>
        <v>0</v>
      </c>
      <c r="L424" s="2151">
        <f>'Cost Control'!L36</f>
        <v>0</v>
      </c>
      <c r="M424" s="2152"/>
    </row>
    <row r="425" spans="2:13" s="518" customFormat="1" ht="15.45">
      <c r="B425" s="652"/>
      <c r="C425" s="484"/>
      <c r="D425" s="484"/>
      <c r="E425" s="484"/>
      <c r="F425" s="484"/>
      <c r="G425" s="484"/>
      <c r="H425" s="484"/>
      <c r="I425" s="2148" t="str">
        <f>IF(L425&lt;&gt;0,'Cost Control'!B37," ")</f>
        <v xml:space="preserve"> </v>
      </c>
      <c r="J425" s="2149"/>
      <c r="K425" s="1161">
        <f>IF(L425&lt;&gt;0,'Cost Control'!A37,0)</f>
        <v>0</v>
      </c>
      <c r="L425" s="2151">
        <f>'Cost Control'!L37</f>
        <v>0</v>
      </c>
      <c r="M425" s="2152"/>
    </row>
    <row r="426" spans="2:13" s="518" customFormat="1" ht="15.45">
      <c r="B426" s="652"/>
      <c r="C426" s="484"/>
      <c r="D426" s="484"/>
      <c r="E426" s="484"/>
      <c r="F426" s="484"/>
      <c r="G426" s="484"/>
      <c r="H426" s="484"/>
      <c r="I426" s="2148" t="str">
        <f>IF(L426&lt;&gt;0,'Cost Control'!B38," ")</f>
        <v xml:space="preserve"> </v>
      </c>
      <c r="J426" s="2149"/>
      <c r="K426" s="1161">
        <f>IF(L426&lt;&gt;0,'Cost Control'!A38,0)</f>
        <v>0</v>
      </c>
      <c r="L426" s="2151">
        <f>'Cost Control'!L38</f>
        <v>0</v>
      </c>
      <c r="M426" s="2152"/>
    </row>
    <row r="427" spans="2:13" s="518" customFormat="1" ht="16.100000000000001" thickBot="1">
      <c r="B427" s="652"/>
      <c r="C427" s="484"/>
      <c r="D427" s="484"/>
      <c r="E427" s="484"/>
      <c r="F427" s="484"/>
      <c r="G427" s="484"/>
      <c r="H427" s="484"/>
      <c r="I427" s="2148" t="str">
        <f>IF(L427&lt;&gt;0,'Cost Control'!B39," ")</f>
        <v xml:space="preserve"> </v>
      </c>
      <c r="J427" s="2149"/>
      <c r="K427" s="1161">
        <f>IF(L427&lt;&gt;0,'Cost Control'!A39,0)</f>
        <v>0</v>
      </c>
      <c r="L427" s="2151">
        <f>'Cost Control'!L39</f>
        <v>0</v>
      </c>
      <c r="M427" s="2152"/>
    </row>
    <row r="428" spans="2:13" ht="13.1">
      <c r="B428" s="141" t="s">
        <v>695</v>
      </c>
      <c r="C428" s="50"/>
      <c r="D428" s="50"/>
      <c r="E428" s="2150">
        <f>K444</f>
        <v>8</v>
      </c>
      <c r="F428" s="2150"/>
      <c r="G428" s="50"/>
      <c r="H428" s="50"/>
      <c r="I428" s="50"/>
      <c r="J428" s="50"/>
      <c r="K428" s="50"/>
      <c r="L428" s="50"/>
      <c r="M428" s="43"/>
    </row>
    <row r="429" spans="2:13">
      <c r="B429" s="1628"/>
      <c r="C429" s="1629"/>
      <c r="D429" s="1629"/>
      <c r="E429" s="1629"/>
      <c r="F429" s="1629"/>
      <c r="G429" s="1629"/>
      <c r="H429" s="1629"/>
      <c r="I429" s="1629"/>
      <c r="J429" s="1629"/>
      <c r="K429" s="1629"/>
      <c r="L429" s="1629"/>
      <c r="M429" s="1630"/>
    </row>
    <row r="430" spans="2:13" ht="13.5" thickBot="1">
      <c r="B430" s="1480"/>
      <c r="C430" s="1479"/>
      <c r="D430" s="1479"/>
      <c r="E430" s="1479"/>
      <c r="F430" s="1479"/>
      <c r="G430" s="1479"/>
      <c r="H430" s="1631"/>
      <c r="I430" s="1631"/>
      <c r="J430" s="1631"/>
      <c r="K430" s="1631"/>
      <c r="L430" s="1631"/>
      <c r="M430" s="1555"/>
    </row>
    <row r="431" spans="2:13" ht="15.45">
      <c r="B431" s="307" t="s">
        <v>645</v>
      </c>
      <c r="C431" s="308"/>
      <c r="D431" s="2135">
        <f>D376</f>
        <v>0</v>
      </c>
      <c r="E431" s="2135"/>
      <c r="F431" s="309" t="s">
        <v>647</v>
      </c>
      <c r="G431" s="310">
        <f>G376</f>
        <v>0</v>
      </c>
      <c r="H431" s="172" t="s">
        <v>648</v>
      </c>
      <c r="I431" s="472">
        <v>0</v>
      </c>
      <c r="J431" s="2173" t="s">
        <v>650</v>
      </c>
      <c r="K431" s="2173"/>
      <c r="L431" s="1378"/>
      <c r="M431" s="486" t="str">
        <f>M376</f>
        <v>° F</v>
      </c>
    </row>
    <row r="432" spans="2:13">
      <c r="B432" s="44" t="s">
        <v>644</v>
      </c>
      <c r="E432" t="s">
        <v>655</v>
      </c>
      <c r="G432">
        <f>IF('Daily Load'!P146="Yes",Operations!D393,IF('Daily Load'!V146="Yes",Operations!D395,Operations!D396))</f>
        <v>0</v>
      </c>
      <c r="I432" s="195" t="s">
        <v>651</v>
      </c>
      <c r="L432" s="2170">
        <f>'Cost Control'!L74</f>
        <v>0</v>
      </c>
      <c r="M432" s="2171"/>
    </row>
    <row r="433" spans="2:13">
      <c r="B433" s="44"/>
      <c r="E433" s="223" t="s">
        <v>193</v>
      </c>
      <c r="F433" s="223" t="s">
        <v>194</v>
      </c>
      <c r="G433" s="223" t="str">
        <f>G378</f>
        <v>Other</v>
      </c>
      <c r="H433" s="1627" t="s">
        <v>587</v>
      </c>
      <c r="I433" s="31" t="s">
        <v>652</v>
      </c>
      <c r="L433" s="2170">
        <f>L379</f>
        <v>0</v>
      </c>
      <c r="M433" s="2171"/>
    </row>
    <row r="434" spans="2:13" ht="13.5" thickBot="1">
      <c r="B434" s="44" t="s">
        <v>643</v>
      </c>
      <c r="E434" s="361">
        <f>IF(E438&gt;0,E436-E438,E436+E437+E435)</f>
        <v>0</v>
      </c>
      <c r="F434" s="361">
        <f>IF(F438&gt;0,F436-F438,F436+F437+F435)</f>
        <v>0</v>
      </c>
      <c r="G434" s="361">
        <f>IF(G438&gt;0,G436-G438,G436+G437+G435)</f>
        <v>0</v>
      </c>
      <c r="H434" t="str">
        <f>H383</f>
        <v>bbl</v>
      </c>
      <c r="I434" s="31" t="s">
        <v>653</v>
      </c>
      <c r="L434" s="2163">
        <f>L432+L433</f>
        <v>0</v>
      </c>
      <c r="M434" s="2164"/>
    </row>
    <row r="435" spans="2:13" ht="13.5" thickTop="1">
      <c r="B435" s="311" t="s">
        <v>642</v>
      </c>
      <c r="E435" s="361">
        <f>IF('Daily Load'!P146="Yes",'Daily Load'!L141,IF('Daily Load'!V146="Yes",'Daily Load'!R141,'Daily Load'!X141))</f>
        <v>0</v>
      </c>
      <c r="F435" s="361">
        <f>IF('Daily Load'!P146="Yes",'Daily Load'!N141,IF('Daily Load'!V146="Yes",'Daily Load'!T141,'Daily Load'!Z141))</f>
        <v>0</v>
      </c>
      <c r="G435" s="361">
        <f>IF('Daily Load'!P146="Yes",'Daily Load'!P141,IF('Daily Load'!V146="Yes",'Daily Load'!V141,'Daily Load'!AB141))</f>
        <v>0</v>
      </c>
      <c r="H435" t="str">
        <f>H434</f>
        <v>bbl</v>
      </c>
      <c r="I435" s="31"/>
      <c r="L435" s="521"/>
      <c r="M435" s="522"/>
    </row>
    <row r="436" spans="2:13">
      <c r="B436" s="44" t="s">
        <v>641</v>
      </c>
      <c r="E436" s="361">
        <f>IF(G432=D9,'Daily Load'!F145+E381,IF(G432=G377,'Daily Load'!F145+E381,'Daily Load'!F145))</f>
        <v>0</v>
      </c>
      <c r="F436" s="361">
        <f>IF(G432=D9,'Daily Load'!H145+F381,IF(G432=G377,'Daily Load'!H145+F381,'Daily Load'!H145))</f>
        <v>0</v>
      </c>
      <c r="G436" s="361">
        <f>IF(G432=D9,'Daily Load'!J145+G381,IF(G432=G377,'Daily Load'!J145+G381,'Daily Load'!J145))</f>
        <v>0</v>
      </c>
      <c r="H436" t="str">
        <f>H435</f>
        <v>bbl</v>
      </c>
      <c r="I436" s="33" t="s">
        <v>654</v>
      </c>
      <c r="J436" s="19"/>
      <c r="K436" s="19"/>
      <c r="L436" s="2165">
        <f>L381</f>
        <v>0</v>
      </c>
      <c r="M436" s="2166"/>
    </row>
    <row r="437" spans="2:13">
      <c r="B437" s="44" t="s">
        <v>640</v>
      </c>
      <c r="E437" s="361">
        <f>IF('Daily Load'!P146="Yes",'Daily Load'!L143,IF('Daily Load'!V146="Yes",'Daily Load'!R143,'Daily Load'!X143))</f>
        <v>0</v>
      </c>
      <c r="F437" s="361">
        <f>IF('Daily Load'!P146="Yes",'Daily Load'!N143,IF('Daily Load'!V146="Yes",'Daily Load'!T143,'Daily Load'!Z143))</f>
        <v>0</v>
      </c>
      <c r="G437" s="361">
        <f>IF('Daily Load'!P146="Yes",'Daily Load'!P143,IF('Daily Load'!V146="Yes",'Daily Load'!V143,'Daily Load'!AB143))</f>
        <v>0</v>
      </c>
      <c r="H437" t="str">
        <f>H436</f>
        <v>bbl</v>
      </c>
      <c r="I437" s="2160" t="str">
        <f>I382</f>
        <v xml:space="preserve"> </v>
      </c>
      <c r="J437" s="2059"/>
      <c r="K437" s="2161"/>
      <c r="L437" s="2162" t="str">
        <f>L382</f>
        <v xml:space="preserve">0 </v>
      </c>
      <c r="M437" s="2155"/>
    </row>
    <row r="438" spans="2:13" ht="13.5" thickBot="1">
      <c r="B438" s="46" t="s">
        <v>639</v>
      </c>
      <c r="C438" s="21"/>
      <c r="D438" s="21"/>
      <c r="E438" s="380">
        <f>IF('Daily Load'!P146="Yes",'Daily Load'!L144,IF('Daily Load'!V146="Yes",'Daily Load'!R144,'Daily Load'!X144))</f>
        <v>0</v>
      </c>
      <c r="F438" s="380">
        <f>IF('Daily Load'!P146="Yes",'Daily Load'!N144,IF('Daily Load'!V146="Yes",'Daily Load'!T144,'Daily Load'!Z144))</f>
        <v>0</v>
      </c>
      <c r="G438" s="380">
        <f>IF('Daily Load'!P146="Yes",'Daily Load'!P144,IF('Daily Load'!V146="Yes",'Daily Load'!V144,'Daily Load'!AB144))</f>
        <v>0</v>
      </c>
      <c r="H438" s="21" t="str">
        <f>H437</f>
        <v>bbl</v>
      </c>
      <c r="I438" s="2167" t="s">
        <v>677</v>
      </c>
      <c r="J438" s="2168"/>
      <c r="K438" s="2169"/>
      <c r="L438" s="2167" t="s">
        <v>826</v>
      </c>
      <c r="M438" s="2172"/>
    </row>
    <row r="439" spans="2:13">
      <c r="B439" s="50"/>
      <c r="C439" s="50"/>
      <c r="D439" s="50"/>
      <c r="E439" s="1185"/>
      <c r="F439" s="1185"/>
      <c r="G439" s="1185"/>
      <c r="H439" s="50"/>
      <c r="I439" s="1186"/>
      <c r="J439" s="1186"/>
      <c r="K439" s="1186"/>
      <c r="L439" s="1186"/>
      <c r="M439" s="1186"/>
    </row>
    <row r="440" spans="2:13" ht="13.5" thickBot="1">
      <c r="B440" s="21"/>
      <c r="C440" s="21"/>
      <c r="D440" s="21"/>
      <c r="E440" s="21"/>
      <c r="F440" s="21"/>
      <c r="G440" s="21"/>
      <c r="H440" s="21"/>
      <c r="I440" s="21"/>
      <c r="J440" s="21"/>
      <c r="K440" s="21"/>
      <c r="L440" s="21"/>
      <c r="M440" s="21"/>
    </row>
    <row r="441" spans="2:13">
      <c r="B441" s="44"/>
      <c r="M441" s="45"/>
    </row>
    <row r="442" spans="2:13">
      <c r="B442" s="44"/>
      <c r="J442" s="2143">
        <f>J387</f>
        <v>0</v>
      </c>
      <c r="K442" s="2143"/>
      <c r="L442" s="2143"/>
      <c r="M442" s="45"/>
    </row>
    <row r="443" spans="2:13">
      <c r="B443" s="44"/>
      <c r="M443" s="45"/>
    </row>
    <row r="444" spans="2:13" ht="13.1">
      <c r="B444" s="137" t="s">
        <v>634</v>
      </c>
      <c r="C444">
        <f>Summary!$C$6</f>
        <v>0</v>
      </c>
      <c r="H444" s="22" t="s">
        <v>636</v>
      </c>
      <c r="I444" s="22"/>
      <c r="K444" s="2158">
        <f>'Cost Control'!M5</f>
        <v>8</v>
      </c>
      <c r="L444" s="2158"/>
      <c r="M444" s="2159"/>
    </row>
    <row r="445" spans="2:13" ht="13.1">
      <c r="B445" s="44"/>
      <c r="H445" s="22"/>
      <c r="I445" s="22"/>
      <c r="M445" s="45"/>
    </row>
    <row r="446" spans="2:13" ht="13.1">
      <c r="B446" s="137" t="s">
        <v>635</v>
      </c>
      <c r="D446" s="2136">
        <f>D391</f>
        <v>0</v>
      </c>
      <c r="E446" s="2136"/>
      <c r="F446" s="2136"/>
      <c r="G446" s="2136"/>
      <c r="H446" s="2136"/>
      <c r="I446" s="22" t="s">
        <v>637</v>
      </c>
      <c r="J446" s="3">
        <f>J391+1</f>
        <v>9</v>
      </c>
      <c r="M446" s="45"/>
    </row>
    <row r="447" spans="2:13" ht="13.1">
      <c r="B447" s="137"/>
      <c r="D447" s="2136"/>
      <c r="E447" s="2136"/>
      <c r="F447" s="2136"/>
      <c r="G447" s="2136"/>
      <c r="H447" s="2136"/>
      <c r="I447" t="s">
        <v>63</v>
      </c>
      <c r="J447" s="2142">
        <f>J392</f>
        <v>0</v>
      </c>
      <c r="K447" s="2143"/>
      <c r="M447" s="45"/>
    </row>
    <row r="448" spans="2:13" ht="13.1">
      <c r="B448" s="137" t="s">
        <v>146</v>
      </c>
      <c r="D448">
        <f>Summary!$C$32</f>
        <v>0</v>
      </c>
      <c r="F448" s="1819" t="str">
        <f>F393</f>
        <v>OPEN HOLE INTERVAL:</v>
      </c>
      <c r="G448" s="1819"/>
      <c r="H448" s="2147">
        <f>H393</f>
        <v>0</v>
      </c>
      <c r="I448" s="2147"/>
      <c r="J448" s="2147">
        <f>J393</f>
        <v>0</v>
      </c>
      <c r="K448" s="2147"/>
      <c r="L448" s="2147">
        <f>L393</f>
        <v>0</v>
      </c>
      <c r="M448" s="2154"/>
    </row>
    <row r="449" spans="2:13">
      <c r="B449" s="44"/>
      <c r="H449" s="2153"/>
      <c r="I449" s="2153"/>
      <c r="J449" s="1145"/>
      <c r="K449" s="1145"/>
      <c r="L449" s="1145"/>
      <c r="M449" s="1146"/>
    </row>
    <row r="450" spans="2:13" ht="13.1">
      <c r="B450" s="44"/>
      <c r="D450">
        <f>Summary!$F$32</f>
        <v>0</v>
      </c>
      <c r="F450" s="1819" t="str">
        <f>F395</f>
        <v xml:space="preserve"> </v>
      </c>
      <c r="G450" s="1819"/>
      <c r="H450" s="2137">
        <f>H395</f>
        <v>0</v>
      </c>
      <c r="I450" s="2137"/>
      <c r="J450" s="2137">
        <f>J395</f>
        <v>0</v>
      </c>
      <c r="K450" s="2137"/>
      <c r="L450" s="2137">
        <f>L395</f>
        <v>0</v>
      </c>
      <c r="M450" s="2155"/>
    </row>
    <row r="451" spans="2:13" ht="13.1">
      <c r="B451" s="44"/>
      <c r="D451">
        <f>D396</f>
        <v>0</v>
      </c>
      <c r="F451" s="1819" t="str">
        <f>F396</f>
        <v xml:space="preserve"> </v>
      </c>
      <c r="G451" s="1819"/>
      <c r="H451" s="1737">
        <f>H396</f>
        <v>0</v>
      </c>
      <c r="I451" s="1737"/>
      <c r="J451" s="1737">
        <f>J396</f>
        <v>0</v>
      </c>
      <c r="K451" s="1737"/>
      <c r="L451" s="1737">
        <f>L396</f>
        <v>0</v>
      </c>
      <c r="M451" s="1791"/>
    </row>
    <row r="452" spans="2:13">
      <c r="B452" s="44"/>
      <c r="M452" s="45"/>
    </row>
    <row r="453" spans="2:13" ht="13.75" thickBot="1">
      <c r="B453" s="46"/>
      <c r="C453" s="21"/>
      <c r="D453" s="21"/>
      <c r="E453" s="1664" t="s">
        <v>638</v>
      </c>
      <c r="F453" s="1664"/>
      <c r="G453" s="1664"/>
      <c r="H453" s="1664"/>
      <c r="I453" s="1664"/>
      <c r="J453" s="21"/>
      <c r="K453" s="21"/>
      <c r="L453" s="21"/>
      <c r="M453" s="47"/>
    </row>
    <row r="454" spans="2:13" s="518" customFormat="1" ht="16.100000000000001" thickBot="1">
      <c r="B454" s="651"/>
      <c r="C454" s="484"/>
      <c r="D454" s="484"/>
      <c r="E454" s="484"/>
      <c r="F454" s="484"/>
      <c r="G454" s="484"/>
      <c r="H454" s="484"/>
      <c r="I454" s="2138" t="s">
        <v>61</v>
      </c>
      <c r="J454" s="2139"/>
      <c r="K454" s="2139"/>
      <c r="L454" s="2139"/>
      <c r="M454" s="2140"/>
    </row>
    <row r="455" spans="2:13" s="518" customFormat="1" ht="16.100000000000001" thickBot="1">
      <c r="B455" s="652"/>
      <c r="C455" s="484"/>
      <c r="D455" s="484"/>
      <c r="E455" s="484"/>
      <c r="F455" s="484"/>
      <c r="G455" s="484"/>
      <c r="H455" s="484"/>
      <c r="I455" s="2141" t="str">
        <f>I400</f>
        <v>Service</v>
      </c>
      <c r="J455" s="2141"/>
      <c r="K455" s="1159" t="s">
        <v>62</v>
      </c>
      <c r="L455" s="2144" t="s">
        <v>1454</v>
      </c>
      <c r="M455" s="2144"/>
    </row>
    <row r="456" spans="2:13" s="518" customFormat="1" ht="16.100000000000001" thickBot="1">
      <c r="B456" s="652"/>
      <c r="C456" s="484"/>
      <c r="D456" s="484"/>
      <c r="E456" s="484"/>
      <c r="F456" s="484"/>
      <c r="G456" s="484"/>
      <c r="H456" s="484"/>
      <c r="I456" s="2145" t="s">
        <v>1538</v>
      </c>
      <c r="J456" s="2146"/>
      <c r="K456" s="1160">
        <f>IF(L456&lt;&gt;0," ",0)</f>
        <v>0</v>
      </c>
      <c r="L456" s="2156">
        <f>SUM('Cost Control'!M7:M16)</f>
        <v>0</v>
      </c>
      <c r="M456" s="2157"/>
    </row>
    <row r="457" spans="2:13" s="518" customFormat="1" ht="16.100000000000001" thickBot="1">
      <c r="B457" s="652"/>
      <c r="C457" s="484"/>
      <c r="D457" s="484"/>
      <c r="E457" s="484"/>
      <c r="F457" s="484"/>
      <c r="G457" s="484"/>
      <c r="H457" s="484"/>
      <c r="I457" s="2145" t="s">
        <v>1539</v>
      </c>
      <c r="J457" s="2146"/>
      <c r="K457" s="1161">
        <f>IF(L457&lt;&gt;0,'Cost Control'!A53,0)</f>
        <v>0</v>
      </c>
      <c r="L457" s="2151">
        <f>SUM('Cost Control'!M53:M58)</f>
        <v>0</v>
      </c>
      <c r="M457" s="2152"/>
    </row>
    <row r="458" spans="2:13" s="518" customFormat="1" ht="16.100000000000001" thickBot="1">
      <c r="B458" s="652"/>
      <c r="C458" s="484"/>
      <c r="D458" s="484"/>
      <c r="E458" s="484"/>
      <c r="F458" s="484"/>
      <c r="G458" s="484"/>
      <c r="H458" s="484"/>
      <c r="I458" s="2145" t="s">
        <v>903</v>
      </c>
      <c r="J458" s="2146"/>
      <c r="K458" s="1161">
        <f>IF(L458&lt;&gt;0,'Cost Control'!A40,0)</f>
        <v>0</v>
      </c>
      <c r="L458" s="2151">
        <f>SUM('Cost Control'!M40:M51)</f>
        <v>0</v>
      </c>
      <c r="M458" s="2152"/>
    </row>
    <row r="459" spans="2:13" s="518" customFormat="1" ht="16.100000000000001" thickBot="1">
      <c r="B459" s="652"/>
      <c r="C459" s="484"/>
      <c r="D459" s="484"/>
      <c r="E459" s="484"/>
      <c r="F459" s="484"/>
      <c r="G459" s="484"/>
      <c r="H459" s="484"/>
      <c r="I459" s="2145" t="s">
        <v>1540</v>
      </c>
      <c r="J459" s="2146"/>
      <c r="K459" s="1161" t="str">
        <f>IF(L459&lt;&gt;0,'Cost Control'!A60," ")</f>
        <v xml:space="preserve"> </v>
      </c>
      <c r="L459" s="2151">
        <f>SUM('Cost Control'!M60:M66)</f>
        <v>0</v>
      </c>
      <c r="M459" s="2152"/>
    </row>
    <row r="460" spans="2:13" s="518" customFormat="1" ht="15.45">
      <c r="B460" s="652"/>
      <c r="C460" s="484"/>
      <c r="D460" s="484"/>
      <c r="E460" s="484"/>
      <c r="F460" s="484"/>
      <c r="G460" s="484"/>
      <c r="H460" s="484"/>
      <c r="I460" s="2145" t="s">
        <v>1451</v>
      </c>
      <c r="J460" s="2146"/>
      <c r="K460" s="1161">
        <f>IF(L460&lt;&gt;0,'Cost Control'!A68,0)</f>
        <v>0</v>
      </c>
      <c r="L460" s="2151">
        <f>SUM('Cost Control'!M68:M73)</f>
        <v>0</v>
      </c>
      <c r="M460" s="2152"/>
    </row>
    <row r="461" spans="2:13" s="518" customFormat="1" ht="15.45">
      <c r="B461" s="652"/>
      <c r="C461" s="484"/>
      <c r="D461" s="484"/>
      <c r="E461" s="484"/>
      <c r="F461" s="484"/>
      <c r="G461" s="484"/>
      <c r="H461" s="484"/>
      <c r="I461" s="2148" t="str">
        <f>IF(L461&lt;&gt;0,'Cost Control'!B18," ")</f>
        <v xml:space="preserve"> </v>
      </c>
      <c r="J461" s="2149"/>
      <c r="K461" s="1161">
        <f>IF(L461&lt;&gt;0,'Cost Control'!A18,0)</f>
        <v>0</v>
      </c>
      <c r="L461" s="2151">
        <f>'Cost Control'!M18</f>
        <v>0</v>
      </c>
      <c r="M461" s="2152"/>
    </row>
    <row r="462" spans="2:13" s="518" customFormat="1" ht="15.45">
      <c r="B462" s="652"/>
      <c r="C462" s="484"/>
      <c r="D462" s="484"/>
      <c r="E462" s="484"/>
      <c r="F462" s="484"/>
      <c r="G462" s="484"/>
      <c r="H462" s="484"/>
      <c r="I462" s="2148" t="str">
        <f>IF(L462&lt;&gt;0,'Cost Control'!B19," ")</f>
        <v xml:space="preserve"> </v>
      </c>
      <c r="J462" s="2149"/>
      <c r="K462" s="1161">
        <f>IF(L462&lt;&gt;0,'Cost Control'!A19,0)</f>
        <v>0</v>
      </c>
      <c r="L462" s="2151">
        <f>'Cost Control'!M19</f>
        <v>0</v>
      </c>
      <c r="M462" s="2152"/>
    </row>
    <row r="463" spans="2:13" s="518" customFormat="1" ht="15.45">
      <c r="B463" s="652"/>
      <c r="C463" s="484"/>
      <c r="D463" s="484"/>
      <c r="E463" s="484"/>
      <c r="F463" s="484"/>
      <c r="G463" s="484"/>
      <c r="H463" s="484"/>
      <c r="I463" s="2148" t="str">
        <f>IF(L463&lt;&gt;0,'Cost Control'!B20," ")</f>
        <v xml:space="preserve"> </v>
      </c>
      <c r="J463" s="2149"/>
      <c r="K463" s="1161">
        <f>IF(L463&lt;&gt;0,'Cost Control'!A20,0)</f>
        <v>0</v>
      </c>
      <c r="L463" s="2151">
        <f>'Cost Control'!M20</f>
        <v>0</v>
      </c>
      <c r="M463" s="2152"/>
    </row>
    <row r="464" spans="2:13" s="518" customFormat="1" ht="15.45">
      <c r="B464" s="652"/>
      <c r="C464" s="484"/>
      <c r="D464" s="484"/>
      <c r="E464" s="484"/>
      <c r="F464" s="484"/>
      <c r="G464" s="484"/>
      <c r="H464" s="484"/>
      <c r="I464" s="2148" t="str">
        <f>IF(L464&lt;&gt;0,'Cost Control'!B21," ")</f>
        <v xml:space="preserve"> </v>
      </c>
      <c r="J464" s="2149"/>
      <c r="K464" s="1161">
        <f>IF(L464&lt;&gt;0,'Cost Control'!A21,0)</f>
        <v>0</v>
      </c>
      <c r="L464" s="2151">
        <f>'Cost Control'!M21</f>
        <v>0</v>
      </c>
      <c r="M464" s="2152"/>
    </row>
    <row r="465" spans="2:13" s="518" customFormat="1" ht="15.45">
      <c r="B465" s="652"/>
      <c r="C465" s="484"/>
      <c r="D465" s="484"/>
      <c r="E465" s="484"/>
      <c r="F465" s="484"/>
      <c r="G465" s="484"/>
      <c r="H465" s="484"/>
      <c r="I465" s="2148" t="str">
        <f>IF(L465&lt;&gt;0,'Cost Control'!B22," ")</f>
        <v xml:space="preserve"> </v>
      </c>
      <c r="J465" s="2149"/>
      <c r="K465" s="1161">
        <f>IF(L465&lt;&gt;0,'Cost Control'!A22,0)</f>
        <v>0</v>
      </c>
      <c r="L465" s="2151">
        <f>'Cost Control'!M22</f>
        <v>0</v>
      </c>
      <c r="M465" s="2152"/>
    </row>
    <row r="466" spans="2:13" s="518" customFormat="1" ht="15.45">
      <c r="B466" s="652"/>
      <c r="C466" s="484"/>
      <c r="D466" s="484"/>
      <c r="E466" s="484"/>
      <c r="F466" s="484"/>
      <c r="G466" s="484"/>
      <c r="H466" s="484"/>
      <c r="I466" s="2148" t="str">
        <f>IF(L466&lt;&gt;0,'Cost Control'!B23," ")</f>
        <v xml:space="preserve"> </v>
      </c>
      <c r="J466" s="2149"/>
      <c r="K466" s="1161">
        <f>IF(L466&lt;&gt;0,'Cost Control'!A23,0)</f>
        <v>0</v>
      </c>
      <c r="L466" s="2151">
        <f>'Cost Control'!M23</f>
        <v>0</v>
      </c>
      <c r="M466" s="2152"/>
    </row>
    <row r="467" spans="2:13" s="518" customFormat="1" ht="15.45">
      <c r="B467" s="652"/>
      <c r="C467" s="484"/>
      <c r="D467" s="484"/>
      <c r="E467" s="484"/>
      <c r="F467" s="484"/>
      <c r="G467" s="484"/>
      <c r="H467" s="484"/>
      <c r="I467" s="2148" t="str">
        <f>IF(L467&lt;&gt;0,'Cost Control'!B24," ")</f>
        <v xml:space="preserve"> </v>
      </c>
      <c r="J467" s="2149"/>
      <c r="K467" s="1161">
        <f>IF(L467&lt;&gt;0,'Cost Control'!A24,0)</f>
        <v>0</v>
      </c>
      <c r="L467" s="2151">
        <f>'Cost Control'!M24</f>
        <v>0</v>
      </c>
      <c r="M467" s="2152"/>
    </row>
    <row r="468" spans="2:13" s="518" customFormat="1" ht="15.45">
      <c r="B468" s="652"/>
      <c r="C468" s="484"/>
      <c r="D468" s="484"/>
      <c r="E468" s="484"/>
      <c r="F468" s="484"/>
      <c r="G468" s="484"/>
      <c r="H468" s="484"/>
      <c r="I468" s="2148" t="str">
        <f>IF(L468&lt;&gt;0,'Cost Control'!B25," ")</f>
        <v xml:space="preserve"> </v>
      </c>
      <c r="J468" s="2149"/>
      <c r="K468" s="1161">
        <f>IF(L468&lt;&gt;0,'Cost Control'!A25,0)</f>
        <v>0</v>
      </c>
      <c r="L468" s="2151">
        <f>'Cost Control'!M25</f>
        <v>0</v>
      </c>
      <c r="M468" s="2152"/>
    </row>
    <row r="469" spans="2:13" s="518" customFormat="1" ht="15.45">
      <c r="B469" s="652"/>
      <c r="C469" s="484"/>
      <c r="D469" s="484"/>
      <c r="E469" s="484"/>
      <c r="F469" s="484"/>
      <c r="G469" s="484"/>
      <c r="H469" s="484"/>
      <c r="I469" s="2148" t="str">
        <f>IF(L469&lt;&gt;0,'Cost Control'!B26," ")</f>
        <v xml:space="preserve"> </v>
      </c>
      <c r="J469" s="2149"/>
      <c r="K469" s="1161">
        <f>IF(L469&lt;&gt;0,'Cost Control'!A26,0)</f>
        <v>0</v>
      </c>
      <c r="L469" s="2151">
        <f>'Cost Control'!M26</f>
        <v>0</v>
      </c>
      <c r="M469" s="2152"/>
    </row>
    <row r="470" spans="2:13" s="518" customFormat="1" ht="15.45">
      <c r="B470" s="652"/>
      <c r="C470" s="484"/>
      <c r="D470" s="484"/>
      <c r="E470" s="484"/>
      <c r="F470" s="484"/>
      <c r="G470" s="484"/>
      <c r="H470" s="484"/>
      <c r="I470" s="2148" t="str">
        <f>IF(L470&lt;&gt;0,'Cost Control'!B27," ")</f>
        <v xml:space="preserve"> </v>
      </c>
      <c r="J470" s="2149"/>
      <c r="K470" s="1161">
        <f>IF(L470&lt;&gt;0,'Cost Control'!A27,0)</f>
        <v>0</v>
      </c>
      <c r="L470" s="2151">
        <f>'Cost Control'!M27</f>
        <v>0</v>
      </c>
      <c r="M470" s="2152"/>
    </row>
    <row r="471" spans="2:13" s="518" customFormat="1" ht="15.45">
      <c r="B471" s="652"/>
      <c r="C471" s="484"/>
      <c r="D471" s="484"/>
      <c r="E471" s="484"/>
      <c r="F471" s="484"/>
      <c r="G471" s="484"/>
      <c r="H471" s="484"/>
      <c r="I471" s="2148" t="str">
        <f>IF(L471&lt;&gt;0,'Cost Control'!B28," ")</f>
        <v xml:space="preserve"> </v>
      </c>
      <c r="J471" s="2149"/>
      <c r="K471" s="1161">
        <f>IF(L471&lt;&gt;0,'Cost Control'!A28,0)</f>
        <v>0</v>
      </c>
      <c r="L471" s="2151">
        <f>'Cost Control'!M28</f>
        <v>0</v>
      </c>
      <c r="M471" s="2152"/>
    </row>
    <row r="472" spans="2:13" s="518" customFormat="1" ht="15.45">
      <c r="B472" s="652"/>
      <c r="C472" s="484"/>
      <c r="D472" s="484"/>
      <c r="E472" s="484"/>
      <c r="F472" s="484"/>
      <c r="G472" s="484"/>
      <c r="H472" s="484"/>
      <c r="I472" s="2148" t="str">
        <f>IF(L472&lt;&gt;0,'Cost Control'!B29," ")</f>
        <v xml:space="preserve"> </v>
      </c>
      <c r="J472" s="2149"/>
      <c r="K472" s="1161">
        <f>IF(L472&lt;&gt;0,'Cost Control'!A29,0)</f>
        <v>0</v>
      </c>
      <c r="L472" s="2151">
        <f>'Cost Control'!M29</f>
        <v>0</v>
      </c>
      <c r="M472" s="2152"/>
    </row>
    <row r="473" spans="2:13" s="518" customFormat="1" ht="15.45">
      <c r="B473" s="652"/>
      <c r="C473" s="484"/>
      <c r="D473" s="484"/>
      <c r="E473" s="484"/>
      <c r="F473" s="484"/>
      <c r="G473" s="484"/>
      <c r="H473" s="484"/>
      <c r="I473" s="2148" t="str">
        <f>IF(L473&lt;&gt;0,'Cost Control'!B30," ")</f>
        <v xml:space="preserve"> </v>
      </c>
      <c r="J473" s="2149"/>
      <c r="K473" s="1161">
        <f>IF(L473&lt;&gt;0,'Cost Control'!A30,0)</f>
        <v>0</v>
      </c>
      <c r="L473" s="2151">
        <f>'Cost Control'!M30</f>
        <v>0</v>
      </c>
      <c r="M473" s="2152"/>
    </row>
    <row r="474" spans="2:13" s="518" customFormat="1" ht="15.45">
      <c r="B474" s="652"/>
      <c r="C474" s="484"/>
      <c r="D474" s="484"/>
      <c r="E474" s="484"/>
      <c r="F474" s="484"/>
      <c r="G474" s="484"/>
      <c r="H474" s="484"/>
      <c r="I474" s="2148" t="str">
        <f>IF(L474&lt;&gt;0,'Cost Control'!B31," ")</f>
        <v xml:space="preserve"> </v>
      </c>
      <c r="J474" s="2149"/>
      <c r="K474" s="1161">
        <f>IF(L474&lt;&gt;0,'Cost Control'!A31,0)</f>
        <v>0</v>
      </c>
      <c r="L474" s="2151">
        <f>'Cost Control'!M31</f>
        <v>0</v>
      </c>
      <c r="M474" s="2152"/>
    </row>
    <row r="475" spans="2:13" s="518" customFormat="1" ht="15.45">
      <c r="B475" s="652"/>
      <c r="C475" s="484"/>
      <c r="D475" s="484"/>
      <c r="E475" s="484"/>
      <c r="F475" s="484"/>
      <c r="G475" s="484"/>
      <c r="H475" s="484"/>
      <c r="I475" s="2148" t="str">
        <f>IF(L475&lt;&gt;0,'Cost Control'!B32," ")</f>
        <v xml:space="preserve"> </v>
      </c>
      <c r="J475" s="2149"/>
      <c r="K475" s="1161">
        <f>IF(L475&lt;&gt;0,'Cost Control'!A32,0)</f>
        <v>0</v>
      </c>
      <c r="L475" s="2151">
        <f>'Cost Control'!M32</f>
        <v>0</v>
      </c>
      <c r="M475" s="2152"/>
    </row>
    <row r="476" spans="2:13" s="518" customFormat="1" ht="15.45">
      <c r="B476" s="652"/>
      <c r="C476" s="484"/>
      <c r="D476" s="484"/>
      <c r="E476" s="484"/>
      <c r="F476" s="484"/>
      <c r="G476" s="484"/>
      <c r="H476" s="484"/>
      <c r="I476" s="2148" t="str">
        <f>IF(L476&lt;&gt;0,'Cost Control'!B33," ")</f>
        <v xml:space="preserve"> </v>
      </c>
      <c r="J476" s="2149"/>
      <c r="K476" s="1161">
        <f>IF(L476&lt;&gt;0,'Cost Control'!A33,0)</f>
        <v>0</v>
      </c>
      <c r="L476" s="2151">
        <f>'Cost Control'!M33</f>
        <v>0</v>
      </c>
      <c r="M476" s="2152"/>
    </row>
    <row r="477" spans="2:13" s="518" customFormat="1" ht="15.45">
      <c r="B477" s="652"/>
      <c r="C477" s="484"/>
      <c r="D477" s="484"/>
      <c r="E477" s="484"/>
      <c r="F477" s="484"/>
      <c r="G477" s="484"/>
      <c r="H477" s="484"/>
      <c r="I477" s="2148" t="str">
        <f>IF(L477&lt;&gt;0,'Cost Control'!B34," ")</f>
        <v xml:space="preserve"> </v>
      </c>
      <c r="J477" s="2149"/>
      <c r="K477" s="1161">
        <f>IF(L477&lt;&gt;0,'Cost Control'!A34,0)</f>
        <v>0</v>
      </c>
      <c r="L477" s="2151">
        <f>'Cost Control'!M34</f>
        <v>0</v>
      </c>
      <c r="M477" s="2152"/>
    </row>
    <row r="478" spans="2:13" s="518" customFormat="1" ht="15.45">
      <c r="B478" s="652"/>
      <c r="C478" s="484"/>
      <c r="D478" s="484"/>
      <c r="E478" s="484"/>
      <c r="F478" s="484"/>
      <c r="G478" s="484"/>
      <c r="H478" s="484"/>
      <c r="I478" s="2148" t="str">
        <f>IF(L478&lt;&gt;0,'Cost Control'!B35," ")</f>
        <v xml:space="preserve"> </v>
      </c>
      <c r="J478" s="2149"/>
      <c r="K478" s="1161">
        <f>IF(L478&lt;&gt;0,'Cost Control'!A35,0)</f>
        <v>0</v>
      </c>
      <c r="L478" s="2151">
        <f>'Cost Control'!M35</f>
        <v>0</v>
      </c>
      <c r="M478" s="2152"/>
    </row>
    <row r="479" spans="2:13" s="518" customFormat="1" ht="15.45">
      <c r="B479" s="652"/>
      <c r="C479" s="484"/>
      <c r="D479" s="484"/>
      <c r="E479" s="484"/>
      <c r="F479" s="484"/>
      <c r="G479" s="484"/>
      <c r="H479" s="484"/>
      <c r="I479" s="2148" t="str">
        <f>IF(L479&lt;&gt;0,'Cost Control'!B36," ")</f>
        <v xml:space="preserve"> </v>
      </c>
      <c r="J479" s="2149"/>
      <c r="K479" s="1161">
        <f>IF(L479&lt;&gt;0,'Cost Control'!A36,0)</f>
        <v>0</v>
      </c>
      <c r="L479" s="2151">
        <f>'Cost Control'!M36</f>
        <v>0</v>
      </c>
      <c r="M479" s="2152"/>
    </row>
    <row r="480" spans="2:13" s="518" customFormat="1" ht="15.45">
      <c r="B480" s="652"/>
      <c r="C480" s="484"/>
      <c r="D480" s="484"/>
      <c r="E480" s="484"/>
      <c r="F480" s="484"/>
      <c r="G480" s="484"/>
      <c r="H480" s="484"/>
      <c r="I480" s="2148" t="str">
        <f>IF(L480&lt;&gt;0,'Cost Control'!B37," ")</f>
        <v xml:space="preserve"> </v>
      </c>
      <c r="J480" s="2149"/>
      <c r="K480" s="1161">
        <f>IF(L480&lt;&gt;0,'Cost Control'!A37,0)</f>
        <v>0</v>
      </c>
      <c r="L480" s="2151">
        <f>'Cost Control'!M37</f>
        <v>0</v>
      </c>
      <c r="M480" s="2152"/>
    </row>
    <row r="481" spans="2:13" s="518" customFormat="1" ht="15.45">
      <c r="B481" s="652"/>
      <c r="C481" s="484"/>
      <c r="D481" s="484"/>
      <c r="E481" s="484"/>
      <c r="F481" s="484"/>
      <c r="G481" s="484"/>
      <c r="H481" s="484"/>
      <c r="I481" s="2148" t="str">
        <f>IF(L481&lt;&gt;0,'Cost Control'!B38," ")</f>
        <v xml:space="preserve"> </v>
      </c>
      <c r="J481" s="2149"/>
      <c r="K481" s="1161">
        <f>IF(L481&lt;&gt;0,'Cost Control'!A38,0)</f>
        <v>0</v>
      </c>
      <c r="L481" s="2151">
        <f>'Cost Control'!M38</f>
        <v>0</v>
      </c>
      <c r="M481" s="2152"/>
    </row>
    <row r="482" spans="2:13" s="518" customFormat="1" ht="16.100000000000001" thickBot="1">
      <c r="B482" s="652"/>
      <c r="C482" s="484"/>
      <c r="D482" s="484"/>
      <c r="E482" s="484"/>
      <c r="F482" s="484"/>
      <c r="G482" s="484"/>
      <c r="H482" s="484"/>
      <c r="I482" s="2148" t="str">
        <f>IF(L482&lt;&gt;0,'Cost Control'!B39," ")</f>
        <v xml:space="preserve"> </v>
      </c>
      <c r="J482" s="2149"/>
      <c r="K482" s="1161">
        <f>IF(L482&lt;&gt;0,'Cost Control'!A39,0)</f>
        <v>0</v>
      </c>
      <c r="L482" s="2151">
        <f>'Cost Control'!M39</f>
        <v>0</v>
      </c>
      <c r="M482" s="2152"/>
    </row>
    <row r="483" spans="2:13" ht="13.1">
      <c r="B483" s="141" t="s">
        <v>695</v>
      </c>
      <c r="C483" s="50"/>
      <c r="D483" s="50"/>
      <c r="E483" s="2150">
        <f>K499</f>
        <v>9</v>
      </c>
      <c r="F483" s="2150"/>
      <c r="G483" s="50"/>
      <c r="H483" s="50"/>
      <c r="I483" s="50"/>
      <c r="J483" s="50"/>
      <c r="K483" s="50"/>
      <c r="L483" s="50"/>
      <c r="M483" s="43"/>
    </row>
    <row r="484" spans="2:13">
      <c r="B484" s="1628"/>
      <c r="C484" s="1629"/>
      <c r="D484" s="1629"/>
      <c r="E484" s="1629"/>
      <c r="F484" s="1629"/>
      <c r="G484" s="1629"/>
      <c r="H484" s="1629"/>
      <c r="I484" s="1629"/>
      <c r="J484" s="1629"/>
      <c r="K484" s="1629"/>
      <c r="L484" s="1629"/>
      <c r="M484" s="1630"/>
    </row>
    <row r="485" spans="2:13" ht="13.5" thickBot="1">
      <c r="B485" s="1480"/>
      <c r="C485" s="1479"/>
      <c r="D485" s="1479"/>
      <c r="E485" s="1479"/>
      <c r="F485" s="1479"/>
      <c r="G485" s="1479"/>
      <c r="H485" s="1631"/>
      <c r="I485" s="1631"/>
      <c r="J485" s="1631"/>
      <c r="K485" s="1631"/>
      <c r="L485" s="1631"/>
      <c r="M485" s="1555"/>
    </row>
    <row r="486" spans="2:13" ht="15.45">
      <c r="B486" s="307" t="s">
        <v>645</v>
      </c>
      <c r="C486" s="308"/>
      <c r="D486" s="2135">
        <f>D431</f>
        <v>0</v>
      </c>
      <c r="E486" s="2135"/>
      <c r="F486" s="309" t="s">
        <v>647</v>
      </c>
      <c r="G486" s="310">
        <f>G431</f>
        <v>0</v>
      </c>
      <c r="H486" s="172" t="s">
        <v>648</v>
      </c>
      <c r="I486" s="472">
        <v>0</v>
      </c>
      <c r="J486" s="2173" t="s">
        <v>650</v>
      </c>
      <c r="K486" s="2173"/>
      <c r="L486" s="1378"/>
      <c r="M486" s="486" t="str">
        <f>M431</f>
        <v>° F</v>
      </c>
    </row>
    <row r="487" spans="2:13">
      <c r="B487" s="44" t="s">
        <v>644</v>
      </c>
      <c r="E487" t="s">
        <v>655</v>
      </c>
      <c r="G487">
        <f>IF('Daily Load'!P164="Yes",Operations!D448,IF('Daily Load'!V164="Yes",Operations!D450,Operations!D451))</f>
        <v>0</v>
      </c>
      <c r="I487" s="195" t="s">
        <v>651</v>
      </c>
      <c r="L487" s="2170">
        <f>'Cost Control'!M74</f>
        <v>0</v>
      </c>
      <c r="M487" s="2171"/>
    </row>
    <row r="488" spans="2:13">
      <c r="B488" s="44"/>
      <c r="E488" s="223" t="s">
        <v>193</v>
      </c>
      <c r="F488" s="223" t="s">
        <v>194</v>
      </c>
      <c r="G488" s="223" t="str">
        <f>G433</f>
        <v>Other</v>
      </c>
      <c r="H488" s="1627" t="s">
        <v>587</v>
      </c>
      <c r="I488" s="31" t="s">
        <v>652</v>
      </c>
      <c r="L488" s="2170">
        <f>L434</f>
        <v>0</v>
      </c>
      <c r="M488" s="2171"/>
    </row>
    <row r="489" spans="2:13" ht="13.5" thickBot="1">
      <c r="B489" s="44" t="s">
        <v>643</v>
      </c>
      <c r="E489" s="361">
        <f>IF(E493&gt;0,E491-E493,E491+E492+E490)</f>
        <v>0</v>
      </c>
      <c r="F489" s="361">
        <f>IF(F493&gt;0,F491-F493,F491+F492+F490)</f>
        <v>0</v>
      </c>
      <c r="G489" s="361">
        <f>IF(G493&gt;0,G491-G493,G491+G492+G490)</f>
        <v>0</v>
      </c>
      <c r="H489" t="str">
        <f>H438</f>
        <v>bbl</v>
      </c>
      <c r="I489" s="31" t="s">
        <v>653</v>
      </c>
      <c r="L489" s="2163">
        <f>L487+L488</f>
        <v>0</v>
      </c>
      <c r="M489" s="2164"/>
    </row>
    <row r="490" spans="2:13" ht="13.5" thickTop="1">
      <c r="B490" s="311" t="s">
        <v>642</v>
      </c>
      <c r="E490" s="361">
        <f>IF('Daily Load'!P164="Yes",'Daily Load'!L159,IF('Daily Load'!V164="Yes",'Daily Load'!R159,'Daily Load'!X159))</f>
        <v>0</v>
      </c>
      <c r="F490" s="361">
        <f>IF('Daily Load'!P164="Yes",'Daily Load'!N159,IF('Daily Load'!V164="Yes",'Daily Load'!T159,'Daily Load'!Z159))</f>
        <v>0</v>
      </c>
      <c r="G490" s="361">
        <f>IF('Daily Load'!P164="Yes",'Daily Load'!P159,IF('Daily Load'!V164="Yes",'Daily Load'!V159,'Daily Load'!AB159))</f>
        <v>0</v>
      </c>
      <c r="H490" t="str">
        <f>H489</f>
        <v>bbl</v>
      </c>
      <c r="I490" s="31"/>
      <c r="L490" s="521"/>
      <c r="M490" s="522"/>
    </row>
    <row r="491" spans="2:13">
      <c r="B491" s="44" t="s">
        <v>641</v>
      </c>
      <c r="E491" s="361">
        <f>IF(G487=D9,'Daily Load'!F163+E436,IF(G487=G432,'Daily Load'!F163+E436,'Daily Load'!F163))</f>
        <v>0</v>
      </c>
      <c r="F491" s="361">
        <f>IF(G487=D9,'Daily Load'!H163+F436,IF(G487=G432,'Daily Load'!H163+F436,'Daily Load'!H163))</f>
        <v>0</v>
      </c>
      <c r="G491" s="361">
        <f>IF(G487=D9,'Daily Load'!J163+G436,IF(G487=G432,'Daily Load'!J163+G436,'Daily Load'!J163))</f>
        <v>0</v>
      </c>
      <c r="H491" t="str">
        <f>H490</f>
        <v>bbl</v>
      </c>
      <c r="I491" s="33" t="s">
        <v>654</v>
      </c>
      <c r="J491" s="19"/>
      <c r="K491" s="19"/>
      <c r="L491" s="2165">
        <f>L436</f>
        <v>0</v>
      </c>
      <c r="M491" s="2166"/>
    </row>
    <row r="492" spans="2:13">
      <c r="B492" s="44" t="s">
        <v>640</v>
      </c>
      <c r="E492" s="361">
        <f>IF('Daily Load'!P164="Yes",'Daily Load'!L161,IF('Daily Load'!V164="Yes",'Daily Load'!R161,'Daily Load'!X161))</f>
        <v>0</v>
      </c>
      <c r="F492" s="361">
        <f>IF('Daily Load'!P164="Yes",'Daily Load'!N161,IF('Daily Load'!V164="Yes",'Daily Load'!T161,'Daily Load'!Z161))</f>
        <v>0</v>
      </c>
      <c r="G492" s="361">
        <f>IF('Daily Load'!P164="Yes",'Daily Load'!P161,IF('Daily Load'!V164="Yes",'Daily Load'!V161,'Daily Load'!AB161))</f>
        <v>0</v>
      </c>
      <c r="H492" t="str">
        <f>H491</f>
        <v>bbl</v>
      </c>
      <c r="I492" s="2160" t="str">
        <f>I437</f>
        <v xml:space="preserve"> </v>
      </c>
      <c r="J492" s="2059"/>
      <c r="K492" s="2161"/>
      <c r="L492" s="2162" t="str">
        <f>L437</f>
        <v xml:space="preserve">0 </v>
      </c>
      <c r="M492" s="2155"/>
    </row>
    <row r="493" spans="2:13" ht="13.5" thickBot="1">
      <c r="B493" s="46" t="s">
        <v>639</v>
      </c>
      <c r="C493" s="21"/>
      <c r="D493" s="21"/>
      <c r="E493" s="380">
        <f>IF('Daily Load'!P164="Yes",'Daily Load'!L162,IF('Daily Load'!V164="Yes",'Daily Load'!R162,'Daily Load'!X162))</f>
        <v>0</v>
      </c>
      <c r="F493" s="380">
        <f>IF('Daily Load'!P164="Yes",'Daily Load'!N162,IF('Daily Load'!V164="Yes",'Daily Load'!T162,'Daily Load'!Z162))</f>
        <v>0</v>
      </c>
      <c r="G493" s="380">
        <f>IF('Daily Load'!P164="Yes",'Daily Load'!P162,IF('Daily Load'!V164="Yes",'Daily Load'!V162,'Daily Load'!AB162))</f>
        <v>0</v>
      </c>
      <c r="H493" s="21" t="str">
        <f>H492</f>
        <v>bbl</v>
      </c>
      <c r="I493" s="2167" t="s">
        <v>677</v>
      </c>
      <c r="J493" s="2168"/>
      <c r="K493" s="2169"/>
      <c r="L493" s="2167" t="s">
        <v>826</v>
      </c>
      <c r="M493" s="2172"/>
    </row>
    <row r="494" spans="2:13">
      <c r="B494" s="50"/>
      <c r="C494" s="50"/>
      <c r="D494" s="50"/>
      <c r="E494" s="1185"/>
      <c r="F494" s="1185"/>
      <c r="G494" s="1185"/>
      <c r="H494" s="50"/>
      <c r="I494" s="1186"/>
      <c r="J494" s="1186"/>
      <c r="K494" s="1186"/>
      <c r="L494" s="1186"/>
      <c r="M494" s="1186"/>
    </row>
    <row r="495" spans="2:13" ht="13.5" thickBot="1">
      <c r="B495" s="21"/>
      <c r="C495" s="21"/>
      <c r="D495" s="21"/>
      <c r="E495" s="21"/>
      <c r="F495" s="21"/>
      <c r="G495" s="21"/>
      <c r="H495" s="21"/>
      <c r="I495" s="21"/>
      <c r="J495" s="21"/>
      <c r="K495" s="21"/>
      <c r="L495" s="21"/>
      <c r="M495" s="21"/>
    </row>
    <row r="496" spans="2:13">
      <c r="B496" s="44"/>
      <c r="M496" s="45"/>
    </row>
    <row r="497" spans="2:13">
      <c r="B497" s="44"/>
      <c r="J497" s="2143">
        <f>J442</f>
        <v>0</v>
      </c>
      <c r="K497" s="2143"/>
      <c r="L497" s="2143"/>
      <c r="M497" s="45"/>
    </row>
    <row r="498" spans="2:13">
      <c r="B498" s="44"/>
      <c r="M498" s="45"/>
    </row>
    <row r="499" spans="2:13" ht="13.1">
      <c r="B499" s="137" t="s">
        <v>634</v>
      </c>
      <c r="C499">
        <f>Summary!$C$6</f>
        <v>0</v>
      </c>
      <c r="H499" s="22" t="s">
        <v>636</v>
      </c>
      <c r="I499" s="22"/>
      <c r="K499" s="2158">
        <f>'Cost Control'!N5</f>
        <v>9</v>
      </c>
      <c r="L499" s="2158"/>
      <c r="M499" s="2159"/>
    </row>
    <row r="500" spans="2:13" ht="13.1">
      <c r="B500" s="44"/>
      <c r="H500" s="22"/>
      <c r="I500" s="22"/>
      <c r="M500" s="45"/>
    </row>
    <row r="501" spans="2:13" ht="13.1">
      <c r="B501" s="137" t="s">
        <v>635</v>
      </c>
      <c r="D501" s="2136">
        <f>D446</f>
        <v>0</v>
      </c>
      <c r="E501" s="2136"/>
      <c r="F501" s="2136"/>
      <c r="G501" s="2136"/>
      <c r="H501" s="2136"/>
      <c r="I501" s="22" t="s">
        <v>637</v>
      </c>
      <c r="J501" s="3">
        <f>J446+1</f>
        <v>10</v>
      </c>
      <c r="M501" s="45"/>
    </row>
    <row r="502" spans="2:13" ht="13.1">
      <c r="B502" s="137"/>
      <c r="D502" s="2136"/>
      <c r="E502" s="2136"/>
      <c r="F502" s="2136"/>
      <c r="G502" s="2136"/>
      <c r="H502" s="2136"/>
      <c r="I502" t="s">
        <v>63</v>
      </c>
      <c r="J502" s="2142">
        <f>J447</f>
        <v>0</v>
      </c>
      <c r="K502" s="2143"/>
      <c r="M502" s="45"/>
    </row>
    <row r="503" spans="2:13" ht="13.1">
      <c r="B503" s="137" t="s">
        <v>146</v>
      </c>
      <c r="D503">
        <f>Summary!$C$32</f>
        <v>0</v>
      </c>
      <c r="F503" s="1819" t="str">
        <f>F448</f>
        <v>OPEN HOLE INTERVAL:</v>
      </c>
      <c r="G503" s="1819"/>
      <c r="H503" s="2147">
        <f>H448</f>
        <v>0</v>
      </c>
      <c r="I503" s="2147"/>
      <c r="J503" s="2147">
        <f>J448</f>
        <v>0</v>
      </c>
      <c r="K503" s="2147"/>
      <c r="L503" s="2147">
        <f>L448</f>
        <v>0</v>
      </c>
      <c r="M503" s="2154"/>
    </row>
    <row r="504" spans="2:13">
      <c r="B504" s="44"/>
      <c r="H504" s="2153"/>
      <c r="I504" s="2153"/>
      <c r="J504" s="1145"/>
      <c r="K504" s="1145"/>
      <c r="L504" s="1145"/>
      <c r="M504" s="1146"/>
    </row>
    <row r="505" spans="2:13" ht="13.1">
      <c r="B505" s="44"/>
      <c r="D505">
        <f>Summary!$F$32</f>
        <v>0</v>
      </c>
      <c r="F505" s="1819" t="str">
        <f>F450</f>
        <v xml:space="preserve"> </v>
      </c>
      <c r="G505" s="1819"/>
      <c r="H505" s="2137">
        <f>H450</f>
        <v>0</v>
      </c>
      <c r="I505" s="2137"/>
      <c r="J505" s="2137">
        <f>J450</f>
        <v>0</v>
      </c>
      <c r="K505" s="2137"/>
      <c r="L505" s="2137">
        <f>L450</f>
        <v>0</v>
      </c>
      <c r="M505" s="2155"/>
    </row>
    <row r="506" spans="2:13" ht="13.1">
      <c r="B506" s="44"/>
      <c r="D506">
        <f>D451</f>
        <v>0</v>
      </c>
      <c r="F506" s="1819" t="str">
        <f>F451</f>
        <v xml:space="preserve"> </v>
      </c>
      <c r="G506" s="1819"/>
      <c r="H506" s="1737">
        <f>H451</f>
        <v>0</v>
      </c>
      <c r="I506" s="1737"/>
      <c r="J506" s="1737">
        <f>J451</f>
        <v>0</v>
      </c>
      <c r="K506" s="1737"/>
      <c r="L506" s="1737">
        <f>L451</f>
        <v>0</v>
      </c>
      <c r="M506" s="1791"/>
    </row>
    <row r="507" spans="2:13">
      <c r="B507" s="44"/>
      <c r="M507" s="45"/>
    </row>
    <row r="508" spans="2:13" ht="13.75" thickBot="1">
      <c r="B508" s="46"/>
      <c r="C508" s="21"/>
      <c r="D508" s="21"/>
      <c r="E508" s="1664" t="s">
        <v>638</v>
      </c>
      <c r="F508" s="1664"/>
      <c r="G508" s="1664"/>
      <c r="H508" s="1664"/>
      <c r="I508" s="1664"/>
      <c r="J508" s="21"/>
      <c r="K508" s="21"/>
      <c r="L508" s="21"/>
      <c r="M508" s="47"/>
    </row>
    <row r="509" spans="2:13" s="518" customFormat="1" ht="16.100000000000001" thickBot="1">
      <c r="B509" s="651"/>
      <c r="C509" s="484"/>
      <c r="D509" s="484"/>
      <c r="E509" s="484"/>
      <c r="F509" s="484"/>
      <c r="G509" s="484"/>
      <c r="H509" s="484"/>
      <c r="I509" s="2138" t="s">
        <v>61</v>
      </c>
      <c r="J509" s="2139"/>
      <c r="K509" s="2139"/>
      <c r="L509" s="2139"/>
      <c r="M509" s="2140"/>
    </row>
    <row r="510" spans="2:13" s="518" customFormat="1" ht="16.100000000000001" thickBot="1">
      <c r="B510" s="652"/>
      <c r="C510" s="484"/>
      <c r="D510" s="484"/>
      <c r="E510" s="484"/>
      <c r="F510" s="484"/>
      <c r="G510" s="484"/>
      <c r="H510" s="484"/>
      <c r="I510" s="2141" t="str">
        <f>I455</f>
        <v>Service</v>
      </c>
      <c r="J510" s="2141"/>
      <c r="K510" s="1159" t="s">
        <v>62</v>
      </c>
      <c r="L510" s="2144" t="s">
        <v>1454</v>
      </c>
      <c r="M510" s="2144"/>
    </row>
    <row r="511" spans="2:13" s="518" customFormat="1" ht="16.100000000000001" thickBot="1">
      <c r="B511" s="652"/>
      <c r="C511" s="484"/>
      <c r="D511" s="484"/>
      <c r="E511" s="484"/>
      <c r="F511" s="484"/>
      <c r="G511" s="484"/>
      <c r="H511" s="484"/>
      <c r="I511" s="2145" t="s">
        <v>1538</v>
      </c>
      <c r="J511" s="2146"/>
      <c r="K511" s="1160">
        <f>IF(L511&lt;&gt;0," ",0)</f>
        <v>0</v>
      </c>
      <c r="L511" s="2156">
        <f>SUM('Cost Control'!N7:N16)</f>
        <v>0</v>
      </c>
      <c r="M511" s="2157"/>
    </row>
    <row r="512" spans="2:13" s="518" customFormat="1" ht="16.100000000000001" thickBot="1">
      <c r="B512" s="652"/>
      <c r="C512" s="484"/>
      <c r="D512" s="484"/>
      <c r="E512" s="484"/>
      <c r="F512" s="484"/>
      <c r="G512" s="484"/>
      <c r="H512" s="484"/>
      <c r="I512" s="2145" t="s">
        <v>1539</v>
      </c>
      <c r="J512" s="2146"/>
      <c r="K512" s="1161">
        <f>IF(L512&lt;&gt;0,'Cost Control'!A53,0)</f>
        <v>0</v>
      </c>
      <c r="L512" s="2151">
        <f>SUM('Cost Control'!N53:N58)</f>
        <v>0</v>
      </c>
      <c r="M512" s="2152"/>
    </row>
    <row r="513" spans="2:13" s="518" customFormat="1" ht="16.100000000000001" thickBot="1">
      <c r="B513" s="652"/>
      <c r="C513" s="484"/>
      <c r="D513" s="484"/>
      <c r="E513" s="484"/>
      <c r="F513" s="484"/>
      <c r="G513" s="484"/>
      <c r="H513" s="484"/>
      <c r="I513" s="2145" t="s">
        <v>903</v>
      </c>
      <c r="J513" s="2146"/>
      <c r="K513" s="1161">
        <f>IF(L513&lt;&gt;0,'Cost Control'!A40,0)</f>
        <v>0</v>
      </c>
      <c r="L513" s="2151">
        <f>SUM('Cost Control'!N40:N51)</f>
        <v>0</v>
      </c>
      <c r="M513" s="2152"/>
    </row>
    <row r="514" spans="2:13" s="518" customFormat="1" ht="16.100000000000001" thickBot="1">
      <c r="B514" s="652"/>
      <c r="C514" s="484"/>
      <c r="D514" s="484"/>
      <c r="E514" s="484"/>
      <c r="F514" s="484"/>
      <c r="G514" s="484"/>
      <c r="H514" s="484"/>
      <c r="I514" s="2145" t="s">
        <v>1540</v>
      </c>
      <c r="J514" s="2146"/>
      <c r="K514" s="1161" t="str">
        <f>IF(L514&lt;&gt;0,'Cost Control'!A60," ")</f>
        <v xml:space="preserve"> </v>
      </c>
      <c r="L514" s="2151">
        <f>SUM('Cost Control'!N60:N66)</f>
        <v>0</v>
      </c>
      <c r="M514" s="2152"/>
    </row>
    <row r="515" spans="2:13" s="518" customFormat="1" ht="15.45">
      <c r="B515" s="652"/>
      <c r="C515" s="484"/>
      <c r="D515" s="484"/>
      <c r="E515" s="484"/>
      <c r="F515" s="484"/>
      <c r="G515" s="484"/>
      <c r="H515" s="484"/>
      <c r="I515" s="2145" t="s">
        <v>1451</v>
      </c>
      <c r="J515" s="2146"/>
      <c r="K515" s="1161">
        <f>IF(L515&lt;&gt;0,'Cost Control'!A68,0)</f>
        <v>0</v>
      </c>
      <c r="L515" s="2151">
        <f>SUM('Cost Control'!N68:N73)</f>
        <v>0</v>
      </c>
      <c r="M515" s="2152"/>
    </row>
    <row r="516" spans="2:13" s="518" customFormat="1" ht="15.45">
      <c r="B516" s="652"/>
      <c r="C516" s="484"/>
      <c r="D516" s="484"/>
      <c r="E516" s="484"/>
      <c r="F516" s="484"/>
      <c r="G516" s="484"/>
      <c r="H516" s="484"/>
      <c r="I516" s="2148" t="str">
        <f>IF(L516&lt;&gt;0,'Cost Control'!B18," ")</f>
        <v xml:space="preserve"> </v>
      </c>
      <c r="J516" s="2149"/>
      <c r="K516" s="1161">
        <f>IF(L516&lt;&gt;0,'Cost Control'!A18,0)</f>
        <v>0</v>
      </c>
      <c r="L516" s="2151">
        <f>'Cost Control'!N18</f>
        <v>0</v>
      </c>
      <c r="M516" s="2152"/>
    </row>
    <row r="517" spans="2:13" s="518" customFormat="1" ht="15.45">
      <c r="B517" s="652"/>
      <c r="C517" s="484"/>
      <c r="D517" s="484"/>
      <c r="E517" s="484"/>
      <c r="F517" s="484"/>
      <c r="G517" s="484"/>
      <c r="H517" s="484"/>
      <c r="I517" s="2148" t="str">
        <f>IF(L517&lt;&gt;0,'Cost Control'!B19," ")</f>
        <v xml:space="preserve"> </v>
      </c>
      <c r="J517" s="2149"/>
      <c r="K517" s="1161">
        <f>IF(L517&lt;&gt;0,'Cost Control'!A19,0)</f>
        <v>0</v>
      </c>
      <c r="L517" s="2151">
        <f>'Cost Control'!N19</f>
        <v>0</v>
      </c>
      <c r="M517" s="2152"/>
    </row>
    <row r="518" spans="2:13" s="518" customFormat="1" ht="15.45">
      <c r="B518" s="652"/>
      <c r="C518" s="484"/>
      <c r="D518" s="484"/>
      <c r="E518" s="484"/>
      <c r="F518" s="484"/>
      <c r="G518" s="484"/>
      <c r="H518" s="484"/>
      <c r="I518" s="2148" t="str">
        <f>IF(L518&lt;&gt;0,'Cost Control'!B20," ")</f>
        <v xml:space="preserve"> </v>
      </c>
      <c r="J518" s="2149"/>
      <c r="K518" s="1161">
        <f>IF(L518&lt;&gt;0,'Cost Control'!A20,0)</f>
        <v>0</v>
      </c>
      <c r="L518" s="2151">
        <f>'Cost Control'!N20</f>
        <v>0</v>
      </c>
      <c r="M518" s="2152"/>
    </row>
    <row r="519" spans="2:13" s="518" customFormat="1" ht="15.45">
      <c r="B519" s="652"/>
      <c r="C519" s="484"/>
      <c r="D519" s="484"/>
      <c r="E519" s="484"/>
      <c r="F519" s="484"/>
      <c r="G519" s="484"/>
      <c r="H519" s="484"/>
      <c r="I519" s="2148" t="str">
        <f>IF(L519&lt;&gt;0,'Cost Control'!B21," ")</f>
        <v xml:space="preserve"> </v>
      </c>
      <c r="J519" s="2149"/>
      <c r="K519" s="1161">
        <f>IF(L519&lt;&gt;0,'Cost Control'!A21,0)</f>
        <v>0</v>
      </c>
      <c r="L519" s="2151">
        <f>'Cost Control'!N21</f>
        <v>0</v>
      </c>
      <c r="M519" s="2152"/>
    </row>
    <row r="520" spans="2:13" s="518" customFormat="1" ht="15.45">
      <c r="B520" s="652"/>
      <c r="C520" s="484"/>
      <c r="D520" s="484"/>
      <c r="E520" s="484"/>
      <c r="F520" s="484"/>
      <c r="G520" s="484"/>
      <c r="H520" s="484"/>
      <c r="I520" s="2148" t="str">
        <f>IF(L520&lt;&gt;0,'Cost Control'!B22," ")</f>
        <v xml:space="preserve"> </v>
      </c>
      <c r="J520" s="2149"/>
      <c r="K520" s="1161">
        <f>IF(L520&lt;&gt;0,'Cost Control'!A22,0)</f>
        <v>0</v>
      </c>
      <c r="L520" s="2151">
        <f>'Cost Control'!N22</f>
        <v>0</v>
      </c>
      <c r="M520" s="2152"/>
    </row>
    <row r="521" spans="2:13" s="518" customFormat="1" ht="15.45">
      <c r="B521" s="652"/>
      <c r="C521" s="484"/>
      <c r="D521" s="484"/>
      <c r="E521" s="484"/>
      <c r="F521" s="484"/>
      <c r="G521" s="484"/>
      <c r="H521" s="484"/>
      <c r="I521" s="2148" t="str">
        <f>IF(L521&lt;&gt;0,'Cost Control'!B23," ")</f>
        <v xml:space="preserve"> </v>
      </c>
      <c r="J521" s="2149"/>
      <c r="K521" s="1161">
        <f>IF(L521&lt;&gt;0,'Cost Control'!A23,0)</f>
        <v>0</v>
      </c>
      <c r="L521" s="2151">
        <f>'Cost Control'!N23</f>
        <v>0</v>
      </c>
      <c r="M521" s="2152"/>
    </row>
    <row r="522" spans="2:13" s="518" customFormat="1" ht="15.45">
      <c r="B522" s="652"/>
      <c r="C522" s="484"/>
      <c r="D522" s="484"/>
      <c r="E522" s="484"/>
      <c r="F522" s="484"/>
      <c r="G522" s="484"/>
      <c r="H522" s="484"/>
      <c r="I522" s="2148" t="str">
        <f>IF(L522&lt;&gt;0,'Cost Control'!B24," ")</f>
        <v xml:space="preserve"> </v>
      </c>
      <c r="J522" s="2149"/>
      <c r="K522" s="1161">
        <f>IF(L522&lt;&gt;0,'Cost Control'!A24,0)</f>
        <v>0</v>
      </c>
      <c r="L522" s="2151">
        <f>'Cost Control'!N24</f>
        <v>0</v>
      </c>
      <c r="M522" s="2152"/>
    </row>
    <row r="523" spans="2:13" s="518" customFormat="1" ht="15.45">
      <c r="B523" s="652"/>
      <c r="C523" s="484"/>
      <c r="D523" s="484"/>
      <c r="E523" s="484"/>
      <c r="F523" s="484"/>
      <c r="G523" s="484"/>
      <c r="H523" s="484"/>
      <c r="I523" s="2148" t="str">
        <f>IF(L523&lt;&gt;0,'Cost Control'!B25," ")</f>
        <v xml:space="preserve"> </v>
      </c>
      <c r="J523" s="2149"/>
      <c r="K523" s="1161">
        <f>IF(L523&lt;&gt;0,'Cost Control'!A25,0)</f>
        <v>0</v>
      </c>
      <c r="L523" s="2151">
        <f>'Cost Control'!N25</f>
        <v>0</v>
      </c>
      <c r="M523" s="2152"/>
    </row>
    <row r="524" spans="2:13" s="518" customFormat="1" ht="15.45">
      <c r="B524" s="652"/>
      <c r="C524" s="484"/>
      <c r="D524" s="484"/>
      <c r="E524" s="484"/>
      <c r="F524" s="484"/>
      <c r="G524" s="484"/>
      <c r="H524" s="484"/>
      <c r="I524" s="2148" t="str">
        <f>IF(L524&lt;&gt;0,'Cost Control'!B26," ")</f>
        <v xml:space="preserve"> </v>
      </c>
      <c r="J524" s="2149"/>
      <c r="K524" s="1161">
        <f>IF(L524&lt;&gt;0,'Cost Control'!A26,0)</f>
        <v>0</v>
      </c>
      <c r="L524" s="2151">
        <f>'Cost Control'!N26</f>
        <v>0</v>
      </c>
      <c r="M524" s="2152"/>
    </row>
    <row r="525" spans="2:13" s="518" customFormat="1" ht="15.45">
      <c r="B525" s="652"/>
      <c r="C525" s="484"/>
      <c r="D525" s="484"/>
      <c r="E525" s="484"/>
      <c r="F525" s="484"/>
      <c r="G525" s="484"/>
      <c r="H525" s="484"/>
      <c r="I525" s="2148" t="str">
        <f>IF(L525&lt;&gt;0,'Cost Control'!B27," ")</f>
        <v xml:space="preserve"> </v>
      </c>
      <c r="J525" s="2149"/>
      <c r="K525" s="1161">
        <f>IF(L525&lt;&gt;0,'Cost Control'!A27,0)</f>
        <v>0</v>
      </c>
      <c r="L525" s="2151">
        <f>'Cost Control'!N27</f>
        <v>0</v>
      </c>
      <c r="M525" s="2152"/>
    </row>
    <row r="526" spans="2:13" s="518" customFormat="1" ht="15.45">
      <c r="B526" s="652"/>
      <c r="C526" s="484"/>
      <c r="D526" s="484"/>
      <c r="E526" s="484"/>
      <c r="F526" s="484"/>
      <c r="G526" s="484"/>
      <c r="H526" s="484"/>
      <c r="I526" s="2148" t="str">
        <f>IF(L526&lt;&gt;0,'Cost Control'!B28," ")</f>
        <v xml:space="preserve"> </v>
      </c>
      <c r="J526" s="2149"/>
      <c r="K526" s="1161">
        <f>IF(L526&lt;&gt;0,'Cost Control'!A28,0)</f>
        <v>0</v>
      </c>
      <c r="L526" s="2151">
        <f>'Cost Control'!N28</f>
        <v>0</v>
      </c>
      <c r="M526" s="2152"/>
    </row>
    <row r="527" spans="2:13" s="518" customFormat="1" ht="15.45">
      <c r="B527" s="652"/>
      <c r="C527" s="484"/>
      <c r="D527" s="484"/>
      <c r="E527" s="484"/>
      <c r="F527" s="484"/>
      <c r="G527" s="484"/>
      <c r="H527" s="484"/>
      <c r="I527" s="2148" t="str">
        <f>IF(L527&lt;&gt;0,'Cost Control'!B29," ")</f>
        <v xml:space="preserve"> </v>
      </c>
      <c r="J527" s="2149"/>
      <c r="K527" s="1161">
        <f>IF(L527&lt;&gt;0,'Cost Control'!A29,0)</f>
        <v>0</v>
      </c>
      <c r="L527" s="2151">
        <f>'Cost Control'!N29</f>
        <v>0</v>
      </c>
      <c r="M527" s="2152"/>
    </row>
    <row r="528" spans="2:13" s="518" customFormat="1" ht="15.45">
      <c r="B528" s="652"/>
      <c r="C528" s="484"/>
      <c r="D528" s="484"/>
      <c r="E528" s="484"/>
      <c r="F528" s="484"/>
      <c r="G528" s="484"/>
      <c r="H528" s="484"/>
      <c r="I528" s="2148" t="str">
        <f>IF(L528&lt;&gt;0,'Cost Control'!B30," ")</f>
        <v xml:space="preserve"> </v>
      </c>
      <c r="J528" s="2149"/>
      <c r="K528" s="1161">
        <f>IF(L528&lt;&gt;0,'Cost Control'!A30,0)</f>
        <v>0</v>
      </c>
      <c r="L528" s="2151">
        <f>'Cost Control'!N30</f>
        <v>0</v>
      </c>
      <c r="M528" s="2152"/>
    </row>
    <row r="529" spans="2:13" s="518" customFormat="1" ht="15.45">
      <c r="B529" s="652"/>
      <c r="C529" s="484"/>
      <c r="D529" s="484"/>
      <c r="E529" s="484"/>
      <c r="F529" s="484"/>
      <c r="G529" s="484"/>
      <c r="H529" s="484"/>
      <c r="I529" s="2148" t="str">
        <f>IF(L529&lt;&gt;0,'Cost Control'!B31," ")</f>
        <v xml:space="preserve"> </v>
      </c>
      <c r="J529" s="2149"/>
      <c r="K529" s="1161">
        <f>IF(L529&lt;&gt;0,'Cost Control'!A31,0)</f>
        <v>0</v>
      </c>
      <c r="L529" s="2151">
        <f>'Cost Control'!N31</f>
        <v>0</v>
      </c>
      <c r="M529" s="2152"/>
    </row>
    <row r="530" spans="2:13" s="518" customFormat="1" ht="15.45">
      <c r="B530" s="652"/>
      <c r="C530" s="484"/>
      <c r="D530" s="484"/>
      <c r="E530" s="484"/>
      <c r="F530" s="484"/>
      <c r="G530" s="484"/>
      <c r="H530" s="484"/>
      <c r="I530" s="2148" t="str">
        <f>IF(L530&lt;&gt;0,'Cost Control'!B32," ")</f>
        <v xml:space="preserve"> </v>
      </c>
      <c r="J530" s="2149"/>
      <c r="K530" s="1161">
        <f>IF(L530&lt;&gt;0,'Cost Control'!A32,0)</f>
        <v>0</v>
      </c>
      <c r="L530" s="2151">
        <f>'Cost Control'!N32</f>
        <v>0</v>
      </c>
      <c r="M530" s="2152"/>
    </row>
    <row r="531" spans="2:13" s="518" customFormat="1" ht="15.45">
      <c r="B531" s="652"/>
      <c r="C531" s="484"/>
      <c r="D531" s="484"/>
      <c r="E531" s="484"/>
      <c r="F531" s="484"/>
      <c r="G531" s="484"/>
      <c r="H531" s="484"/>
      <c r="I531" s="2148" t="str">
        <f>IF(L531&lt;&gt;0,'Cost Control'!B33," ")</f>
        <v xml:space="preserve"> </v>
      </c>
      <c r="J531" s="2149"/>
      <c r="K531" s="1161">
        <f>IF(L531&lt;&gt;0,'Cost Control'!A33,0)</f>
        <v>0</v>
      </c>
      <c r="L531" s="2151">
        <f>'Cost Control'!N33</f>
        <v>0</v>
      </c>
      <c r="M531" s="2152"/>
    </row>
    <row r="532" spans="2:13" s="518" customFormat="1" ht="15.45">
      <c r="B532" s="652"/>
      <c r="C532" s="484"/>
      <c r="D532" s="484"/>
      <c r="E532" s="484"/>
      <c r="F532" s="484"/>
      <c r="G532" s="484"/>
      <c r="H532" s="484"/>
      <c r="I532" s="2148" t="str">
        <f>IF(L532&lt;&gt;0,'Cost Control'!B34," ")</f>
        <v xml:space="preserve"> </v>
      </c>
      <c r="J532" s="2149"/>
      <c r="K532" s="1161">
        <f>IF(L532&lt;&gt;0,'Cost Control'!A34,0)</f>
        <v>0</v>
      </c>
      <c r="L532" s="2151">
        <f>'Cost Control'!N34</f>
        <v>0</v>
      </c>
      <c r="M532" s="2152"/>
    </row>
    <row r="533" spans="2:13" s="518" customFormat="1" ht="15.45">
      <c r="B533" s="652"/>
      <c r="C533" s="484"/>
      <c r="D533" s="484"/>
      <c r="E533" s="484"/>
      <c r="F533" s="484"/>
      <c r="G533" s="484"/>
      <c r="H533" s="484"/>
      <c r="I533" s="2148" t="str">
        <f>IF(L533&lt;&gt;0,'Cost Control'!B35," ")</f>
        <v xml:space="preserve"> </v>
      </c>
      <c r="J533" s="2149"/>
      <c r="K533" s="1161">
        <f>IF(L533&lt;&gt;0,'Cost Control'!A35,0)</f>
        <v>0</v>
      </c>
      <c r="L533" s="2151">
        <f>'Cost Control'!N35</f>
        <v>0</v>
      </c>
      <c r="M533" s="2152"/>
    </row>
    <row r="534" spans="2:13" s="518" customFormat="1" ht="15.45">
      <c r="B534" s="652"/>
      <c r="C534" s="484"/>
      <c r="D534" s="484"/>
      <c r="E534" s="484"/>
      <c r="F534" s="484"/>
      <c r="G534" s="484"/>
      <c r="H534" s="484"/>
      <c r="I534" s="2148" t="str">
        <f>IF(L534&lt;&gt;0,'Cost Control'!B36," ")</f>
        <v xml:space="preserve"> </v>
      </c>
      <c r="J534" s="2149"/>
      <c r="K534" s="1161">
        <f>IF(L534&lt;&gt;0,'Cost Control'!A36,0)</f>
        <v>0</v>
      </c>
      <c r="L534" s="2151">
        <f>'Cost Control'!N36</f>
        <v>0</v>
      </c>
      <c r="M534" s="2152"/>
    </row>
    <row r="535" spans="2:13" s="518" customFormat="1" ht="15.45">
      <c r="B535" s="652"/>
      <c r="C535" s="484"/>
      <c r="D535" s="484"/>
      <c r="E535" s="484"/>
      <c r="F535" s="484"/>
      <c r="G535" s="484"/>
      <c r="H535" s="484"/>
      <c r="I535" s="2148" t="str">
        <f>IF(L535&lt;&gt;0,'Cost Control'!B37," ")</f>
        <v xml:space="preserve"> </v>
      </c>
      <c r="J535" s="2149"/>
      <c r="K535" s="1161">
        <f>IF(L535&lt;&gt;0,'Cost Control'!A37,0)</f>
        <v>0</v>
      </c>
      <c r="L535" s="2151">
        <f>'Cost Control'!N37</f>
        <v>0</v>
      </c>
      <c r="M535" s="2152"/>
    </row>
    <row r="536" spans="2:13" s="518" customFormat="1" ht="15.45">
      <c r="B536" s="652"/>
      <c r="C536" s="484"/>
      <c r="D536" s="484"/>
      <c r="E536" s="484"/>
      <c r="F536" s="484"/>
      <c r="G536" s="484"/>
      <c r="H536" s="484"/>
      <c r="I536" s="2148" t="str">
        <f>IF(L536&lt;&gt;0,'Cost Control'!B38," ")</f>
        <v xml:space="preserve"> </v>
      </c>
      <c r="J536" s="2149"/>
      <c r="K536" s="1161">
        <f>IF(L536&lt;&gt;0,'Cost Control'!A38,0)</f>
        <v>0</v>
      </c>
      <c r="L536" s="2151">
        <f>'Cost Control'!N38</f>
        <v>0</v>
      </c>
      <c r="M536" s="2152"/>
    </row>
    <row r="537" spans="2:13" s="518" customFormat="1" ht="16.100000000000001" thickBot="1">
      <c r="B537" s="652"/>
      <c r="C537" s="484"/>
      <c r="D537" s="484"/>
      <c r="E537" s="484"/>
      <c r="F537" s="484"/>
      <c r="G537" s="484"/>
      <c r="H537" s="484"/>
      <c r="I537" s="2148" t="str">
        <f>IF(L537&lt;&gt;0,'Cost Control'!B39," ")</f>
        <v xml:space="preserve"> </v>
      </c>
      <c r="J537" s="2149"/>
      <c r="K537" s="1161">
        <f>IF(L537&lt;&gt;0,'Cost Control'!A39,0)</f>
        <v>0</v>
      </c>
      <c r="L537" s="2151">
        <f>'Cost Control'!N39</f>
        <v>0</v>
      </c>
      <c r="M537" s="2152"/>
    </row>
    <row r="538" spans="2:13" ht="13.1">
      <c r="B538" s="141" t="s">
        <v>695</v>
      </c>
      <c r="C538" s="50"/>
      <c r="D538" s="50"/>
      <c r="E538" s="2150">
        <f>K554</f>
        <v>10</v>
      </c>
      <c r="F538" s="2150"/>
      <c r="G538" s="50"/>
      <c r="H538" s="50"/>
      <c r="I538" s="50"/>
      <c r="J538" s="50"/>
      <c r="K538" s="50"/>
      <c r="L538" s="50"/>
      <c r="M538" s="43"/>
    </row>
    <row r="539" spans="2:13">
      <c r="B539" s="1628"/>
      <c r="C539" s="1629"/>
      <c r="D539" s="1629"/>
      <c r="E539" s="1629"/>
      <c r="F539" s="1629"/>
      <c r="G539" s="1629"/>
      <c r="H539" s="1629"/>
      <c r="I539" s="1629"/>
      <c r="J539" s="1629"/>
      <c r="K539" s="1629"/>
      <c r="L539" s="1629"/>
      <c r="M539" s="1630"/>
    </row>
    <row r="540" spans="2:13" ht="13.5" thickBot="1">
      <c r="B540" s="1480"/>
      <c r="C540" s="1479"/>
      <c r="D540" s="1479"/>
      <c r="E540" s="1479"/>
      <c r="F540" s="1479"/>
      <c r="G540" s="1479"/>
      <c r="H540" s="1631"/>
      <c r="I540" s="1631"/>
      <c r="J540" s="1631"/>
      <c r="K540" s="1631"/>
      <c r="L540" s="1631"/>
      <c r="M540" s="1555"/>
    </row>
    <row r="541" spans="2:13" ht="15.45">
      <c r="B541" s="307" t="s">
        <v>645</v>
      </c>
      <c r="C541" s="308"/>
      <c r="D541" s="2135">
        <f>D486</f>
        <v>0</v>
      </c>
      <c r="E541" s="2135"/>
      <c r="F541" s="309" t="s">
        <v>647</v>
      </c>
      <c r="G541" s="310">
        <f>G486</f>
        <v>0</v>
      </c>
      <c r="H541" s="172" t="s">
        <v>648</v>
      </c>
      <c r="I541" s="472">
        <v>0</v>
      </c>
      <c r="J541" s="2173" t="s">
        <v>650</v>
      </c>
      <c r="K541" s="2173"/>
      <c r="L541" s="1378"/>
      <c r="M541" s="486" t="str">
        <f>M486</f>
        <v>° F</v>
      </c>
    </row>
    <row r="542" spans="2:13">
      <c r="B542" s="44" t="s">
        <v>644</v>
      </c>
      <c r="E542" t="s">
        <v>655</v>
      </c>
      <c r="G542">
        <f>IF('Daily Load'!P182="Yes",Operations!D503,IF('Daily Load'!V182="Yes",Operations!D505,Operations!D506))</f>
        <v>0</v>
      </c>
      <c r="I542" s="195" t="s">
        <v>651</v>
      </c>
      <c r="L542" s="2170">
        <f>'Cost Control'!N74</f>
        <v>0</v>
      </c>
      <c r="M542" s="2171"/>
    </row>
    <row r="543" spans="2:13">
      <c r="B543" s="44"/>
      <c r="E543" s="223" t="s">
        <v>193</v>
      </c>
      <c r="F543" s="223" t="s">
        <v>194</v>
      </c>
      <c r="G543" s="223" t="str">
        <f>G488</f>
        <v>Other</v>
      </c>
      <c r="H543" s="1627" t="s">
        <v>587</v>
      </c>
      <c r="I543" s="31" t="s">
        <v>652</v>
      </c>
      <c r="L543" s="2170">
        <f>L489</f>
        <v>0</v>
      </c>
      <c r="M543" s="2171"/>
    </row>
    <row r="544" spans="2:13" ht="13.5" thickBot="1">
      <c r="B544" s="44" t="s">
        <v>643</v>
      </c>
      <c r="E544" s="361">
        <f>IF(E548&gt;0,E546-E548,E546+E547+E545)</f>
        <v>0</v>
      </c>
      <c r="F544" s="361">
        <f>IF(F548&gt;0,F546-F548,F546+F547+F545)</f>
        <v>0</v>
      </c>
      <c r="G544" s="361">
        <f>IF(G548&gt;0,G546-G548,G546+G547+G545)</f>
        <v>0</v>
      </c>
      <c r="H544" t="str">
        <f>H493</f>
        <v>bbl</v>
      </c>
      <c r="I544" s="31" t="s">
        <v>653</v>
      </c>
      <c r="L544" s="2163">
        <f>L542+L543</f>
        <v>0</v>
      </c>
      <c r="M544" s="2164"/>
    </row>
    <row r="545" spans="2:13" ht="13.5" thickTop="1">
      <c r="B545" s="311" t="s">
        <v>642</v>
      </c>
      <c r="E545" s="361">
        <f>IF('Daily Load'!P182="Yes",'Daily Load'!L177,IF('Daily Load'!V182="Yes",'Daily Load'!R177,'Daily Load'!X177))</f>
        <v>0</v>
      </c>
      <c r="F545" s="361">
        <f>IF('Daily Load'!P182="Yes",'Daily Load'!N177,IF('Daily Load'!V182="Yes",'Daily Load'!T177,'Daily Load'!Z177))</f>
        <v>0</v>
      </c>
      <c r="G545" s="361">
        <f>IF('Daily Load'!P182="Yes",'Daily Load'!P177,IF('Daily Load'!V182="Yes",'Daily Load'!V177,'Daily Load'!AB177))</f>
        <v>0</v>
      </c>
      <c r="H545" t="str">
        <f>H544</f>
        <v>bbl</v>
      </c>
      <c r="I545" s="31"/>
      <c r="L545" s="521"/>
      <c r="M545" s="522"/>
    </row>
    <row r="546" spans="2:13">
      <c r="B546" s="44" t="s">
        <v>641</v>
      </c>
      <c r="E546" s="361">
        <f>IF(G542=D9,'Daily Load'!F181+E491,IF(G542=G487,'Daily Load'!F181+E491,'Daily Load'!F181))</f>
        <v>0</v>
      </c>
      <c r="F546" s="361">
        <f>IF(G542=D9,'Daily Load'!H181+F491,IF(G542=G487,'Daily Load'!H181+F491,'Daily Load'!H181))</f>
        <v>0</v>
      </c>
      <c r="G546" s="361">
        <f>IF(G542=D9,'Daily Load'!J181+G491,IF(G542=G487,'Daily Load'!J181+G491,'Daily Load'!J181))</f>
        <v>0</v>
      </c>
      <c r="H546" t="str">
        <f>H545</f>
        <v>bbl</v>
      </c>
      <c r="I546" s="33" t="s">
        <v>654</v>
      </c>
      <c r="J546" s="19"/>
      <c r="K546" s="19"/>
      <c r="L546" s="2165">
        <f>L491</f>
        <v>0</v>
      </c>
      <c r="M546" s="2166"/>
    </row>
    <row r="547" spans="2:13">
      <c r="B547" s="44" t="s">
        <v>640</v>
      </c>
      <c r="E547" s="361">
        <f>IF('Daily Load'!P182="Yes",'Daily Load'!L179,IF('Daily Load'!V182="Yes",'Daily Load'!R179,'Daily Load'!X179))</f>
        <v>0</v>
      </c>
      <c r="F547" s="361">
        <f>IF('Daily Load'!P182="Yes",'Daily Load'!N179,IF('Daily Load'!V182="Yes",'Daily Load'!T179,'Daily Load'!Z179))</f>
        <v>0</v>
      </c>
      <c r="G547" s="361">
        <f>IF('Daily Load'!P182="Yes",'Daily Load'!P179,IF('Daily Load'!V182="Yes",'Daily Load'!V179,'Daily Load'!AB179))</f>
        <v>0</v>
      </c>
      <c r="H547" t="str">
        <f>H546</f>
        <v>bbl</v>
      </c>
      <c r="I547" s="2160" t="str">
        <f>I492</f>
        <v xml:space="preserve"> </v>
      </c>
      <c r="J547" s="2059"/>
      <c r="K547" s="2161"/>
      <c r="L547" s="2162" t="str">
        <f>L492</f>
        <v xml:space="preserve">0 </v>
      </c>
      <c r="M547" s="2155"/>
    </row>
    <row r="548" spans="2:13" ht="13.5" thickBot="1">
      <c r="B548" s="46" t="s">
        <v>639</v>
      </c>
      <c r="C548" s="21"/>
      <c r="D548" s="21"/>
      <c r="E548" s="380">
        <f>IF('Daily Load'!P182="Yes",'Daily Load'!L180,IF('Daily Load'!V182="Yes",'Daily Load'!R180,'Daily Load'!X180))</f>
        <v>0</v>
      </c>
      <c r="F548" s="380">
        <f>IF('Daily Load'!P182="Yes",'Daily Load'!N180,IF('Daily Load'!V182="Yes",'Daily Load'!T180,'Daily Load'!Z180))</f>
        <v>0</v>
      </c>
      <c r="G548" s="380">
        <f>IF('Daily Load'!P182="Yes",'Daily Load'!P180,IF('Daily Load'!V182="Yes",'Daily Load'!V180,'Daily Load'!AB180))</f>
        <v>0</v>
      </c>
      <c r="H548" s="21" t="str">
        <f>H547</f>
        <v>bbl</v>
      </c>
      <c r="I548" s="2167" t="s">
        <v>677</v>
      </c>
      <c r="J548" s="2168"/>
      <c r="K548" s="2169"/>
      <c r="L548" s="2167" t="s">
        <v>826</v>
      </c>
      <c r="M548" s="2172"/>
    </row>
    <row r="549" spans="2:13">
      <c r="B549" s="50"/>
      <c r="C549" s="50"/>
      <c r="D549" s="50"/>
      <c r="E549" s="1185"/>
      <c r="F549" s="1185"/>
      <c r="G549" s="1185"/>
      <c r="H549" s="50"/>
      <c r="I549" s="1186"/>
      <c r="J549" s="1186"/>
      <c r="K549" s="1186"/>
      <c r="L549" s="1186"/>
      <c r="M549" s="1186"/>
    </row>
    <row r="550" spans="2:13" ht="13.5" thickBot="1">
      <c r="B550" s="21"/>
      <c r="C550" s="21"/>
      <c r="D550" s="21"/>
      <c r="E550" s="21"/>
      <c r="F550" s="21"/>
      <c r="G550" s="21"/>
      <c r="H550" s="21"/>
      <c r="I550" s="21"/>
      <c r="J550" s="21"/>
      <c r="K550" s="21"/>
      <c r="L550" s="21"/>
      <c r="M550" s="21"/>
    </row>
    <row r="551" spans="2:13">
      <c r="B551" s="44"/>
      <c r="M551" s="45"/>
    </row>
    <row r="552" spans="2:13">
      <c r="B552" s="44"/>
      <c r="J552" s="2143">
        <f>J497</f>
        <v>0</v>
      </c>
      <c r="K552" s="2143"/>
      <c r="L552" s="2143"/>
      <c r="M552" s="45"/>
    </row>
    <row r="553" spans="2:13">
      <c r="B553" s="44"/>
      <c r="M553" s="45"/>
    </row>
    <row r="554" spans="2:13" ht="13.1">
      <c r="B554" s="137" t="s">
        <v>634</v>
      </c>
      <c r="C554">
        <f>Summary!$C$6</f>
        <v>0</v>
      </c>
      <c r="H554" s="22" t="s">
        <v>636</v>
      </c>
      <c r="I554" s="22"/>
      <c r="K554" s="2158">
        <f>'Cost Control'!E83</f>
        <v>10</v>
      </c>
      <c r="L554" s="2158"/>
      <c r="M554" s="2159"/>
    </row>
    <row r="555" spans="2:13" ht="13.1">
      <c r="B555" s="44"/>
      <c r="H555" s="22"/>
      <c r="I555" s="22"/>
      <c r="M555" s="45"/>
    </row>
    <row r="556" spans="2:13" ht="13.1">
      <c r="B556" s="137" t="s">
        <v>635</v>
      </c>
      <c r="D556" s="2136">
        <f>D501</f>
        <v>0</v>
      </c>
      <c r="E556" s="2136"/>
      <c r="F556" s="2136"/>
      <c r="G556" s="2136"/>
      <c r="H556" s="2136"/>
      <c r="I556" s="22" t="s">
        <v>637</v>
      </c>
      <c r="J556" s="3">
        <f>J501+1</f>
        <v>11</v>
      </c>
      <c r="M556" s="45"/>
    </row>
    <row r="557" spans="2:13" ht="13.1">
      <c r="B557" s="137"/>
      <c r="D557" s="2136"/>
      <c r="E557" s="2136"/>
      <c r="F557" s="2136"/>
      <c r="G557" s="2136"/>
      <c r="H557" s="2136"/>
      <c r="I557" t="s">
        <v>63</v>
      </c>
      <c r="J557" s="2142">
        <f>J502</f>
        <v>0</v>
      </c>
      <c r="K557" s="2143"/>
      <c r="M557" s="45"/>
    </row>
    <row r="558" spans="2:13" ht="13.1">
      <c r="B558" s="137" t="s">
        <v>146</v>
      </c>
      <c r="D558">
        <f>Summary!$C$32</f>
        <v>0</v>
      </c>
      <c r="F558" s="1819" t="str">
        <f>F503</f>
        <v>OPEN HOLE INTERVAL:</v>
      </c>
      <c r="G558" s="1819"/>
      <c r="H558" s="2147">
        <f>H503</f>
        <v>0</v>
      </c>
      <c r="I558" s="2147"/>
      <c r="J558" s="2147">
        <f>J503</f>
        <v>0</v>
      </c>
      <c r="K558" s="2147"/>
      <c r="L558" s="2147">
        <f>L503</f>
        <v>0</v>
      </c>
      <c r="M558" s="2154"/>
    </row>
    <row r="559" spans="2:13">
      <c r="B559" s="44"/>
      <c r="H559" s="2153"/>
      <c r="I559" s="2153"/>
      <c r="J559" s="1145"/>
      <c r="K559" s="1145"/>
      <c r="L559" s="1145"/>
      <c r="M559" s="1146"/>
    </row>
    <row r="560" spans="2:13" ht="13.1">
      <c r="B560" s="44"/>
      <c r="D560">
        <f>Summary!$F$32</f>
        <v>0</v>
      </c>
      <c r="F560" s="1819" t="str">
        <f>F505</f>
        <v xml:space="preserve"> </v>
      </c>
      <c r="G560" s="1819"/>
      <c r="H560" s="2137">
        <f>H505</f>
        <v>0</v>
      </c>
      <c r="I560" s="2137"/>
      <c r="J560" s="2137">
        <f>J505</f>
        <v>0</v>
      </c>
      <c r="K560" s="2137"/>
      <c r="L560" s="2137">
        <f>L505</f>
        <v>0</v>
      </c>
      <c r="M560" s="2155"/>
    </row>
    <row r="561" spans="2:13" ht="13.1">
      <c r="B561" s="44"/>
      <c r="D561">
        <f>D506</f>
        <v>0</v>
      </c>
      <c r="F561" s="1819" t="str">
        <f>F506</f>
        <v xml:space="preserve"> </v>
      </c>
      <c r="G561" s="1819"/>
      <c r="H561" s="1737">
        <f>H506</f>
        <v>0</v>
      </c>
      <c r="I561" s="1737"/>
      <c r="J561" s="1737">
        <f>J506</f>
        <v>0</v>
      </c>
      <c r="K561" s="1737"/>
      <c r="L561" s="1737">
        <f>L506</f>
        <v>0</v>
      </c>
      <c r="M561" s="1791"/>
    </row>
    <row r="562" spans="2:13">
      <c r="B562" s="44"/>
      <c r="M562" s="45"/>
    </row>
    <row r="563" spans="2:13" ht="13.75" thickBot="1">
      <c r="B563" s="46"/>
      <c r="C563" s="21"/>
      <c r="D563" s="21"/>
      <c r="E563" s="1664" t="s">
        <v>638</v>
      </c>
      <c r="F563" s="1664"/>
      <c r="G563" s="1664"/>
      <c r="H563" s="1664"/>
      <c r="I563" s="1664"/>
      <c r="J563" s="21"/>
      <c r="K563" s="21"/>
      <c r="L563" s="21"/>
      <c r="M563" s="47"/>
    </row>
    <row r="564" spans="2:13" s="518" customFormat="1" ht="16.100000000000001" thickBot="1">
      <c r="B564" s="651"/>
      <c r="C564" s="484"/>
      <c r="D564" s="484"/>
      <c r="E564" s="484"/>
      <c r="F564" s="484"/>
      <c r="G564" s="484"/>
      <c r="H564" s="484"/>
      <c r="I564" s="2138" t="s">
        <v>61</v>
      </c>
      <c r="J564" s="2139"/>
      <c r="K564" s="2139"/>
      <c r="L564" s="2139"/>
      <c r="M564" s="2140"/>
    </row>
    <row r="565" spans="2:13" s="518" customFormat="1" ht="16.100000000000001" thickBot="1">
      <c r="B565" s="652"/>
      <c r="C565" s="484"/>
      <c r="D565" s="484"/>
      <c r="E565" s="484"/>
      <c r="F565" s="484"/>
      <c r="G565" s="484"/>
      <c r="H565" s="484"/>
      <c r="I565" s="2141" t="str">
        <f>I510</f>
        <v>Service</v>
      </c>
      <c r="J565" s="2141"/>
      <c r="K565" s="1159" t="s">
        <v>62</v>
      </c>
      <c r="L565" s="2144" t="s">
        <v>1454</v>
      </c>
      <c r="M565" s="2144"/>
    </row>
    <row r="566" spans="2:13" s="518" customFormat="1" ht="16.100000000000001" thickBot="1">
      <c r="B566" s="652"/>
      <c r="C566" s="484"/>
      <c r="D566" s="484"/>
      <c r="E566" s="484"/>
      <c r="F566" s="484"/>
      <c r="G566" s="484"/>
      <c r="H566" s="484"/>
      <c r="I566" s="2145" t="s">
        <v>1538</v>
      </c>
      <c r="J566" s="2146"/>
      <c r="K566" s="1160">
        <f>IF(L566&lt;&gt;0," ",0)</f>
        <v>0</v>
      </c>
      <c r="L566" s="2156">
        <f>SUM('Cost Control'!E85:E94)</f>
        <v>0</v>
      </c>
      <c r="M566" s="2157"/>
    </row>
    <row r="567" spans="2:13" s="518" customFormat="1" ht="16.100000000000001" thickBot="1">
      <c r="B567" s="652"/>
      <c r="C567" s="484"/>
      <c r="D567" s="484"/>
      <c r="E567" s="484"/>
      <c r="F567" s="484"/>
      <c r="G567" s="484"/>
      <c r="H567" s="484"/>
      <c r="I567" s="2145" t="s">
        <v>1539</v>
      </c>
      <c r="J567" s="2146"/>
      <c r="K567" s="1161">
        <f>IF(L567&lt;&gt;0,'Cost Control'!A131,0)</f>
        <v>0</v>
      </c>
      <c r="L567" s="2151">
        <f>SUM('Cost Control'!E131:E136)</f>
        <v>0</v>
      </c>
      <c r="M567" s="2152"/>
    </row>
    <row r="568" spans="2:13" s="518" customFormat="1" ht="16.100000000000001" thickBot="1">
      <c r="B568" s="652"/>
      <c r="C568" s="484"/>
      <c r="D568" s="484"/>
      <c r="E568" s="484"/>
      <c r="F568" s="484"/>
      <c r="G568" s="484"/>
      <c r="H568" s="484"/>
      <c r="I568" s="2145" t="s">
        <v>903</v>
      </c>
      <c r="J568" s="2146"/>
      <c r="K568" s="1161">
        <f>IF(L568&lt;&gt;0,'Cost Control'!A118,0)</f>
        <v>0</v>
      </c>
      <c r="L568" s="2151">
        <f>SUM('Cost Control'!E118:E129)</f>
        <v>0</v>
      </c>
      <c r="M568" s="2152"/>
    </row>
    <row r="569" spans="2:13" s="518" customFormat="1" ht="16.100000000000001" thickBot="1">
      <c r="B569" s="652"/>
      <c r="C569" s="484"/>
      <c r="D569" s="484"/>
      <c r="E569" s="484"/>
      <c r="F569" s="484"/>
      <c r="G569" s="484"/>
      <c r="H569" s="484"/>
      <c r="I569" s="2145" t="s">
        <v>1540</v>
      </c>
      <c r="J569" s="2146"/>
      <c r="K569" s="1161" t="str">
        <f>IF(L569&lt;&gt;0,'Cost Control'!A138," ")</f>
        <v xml:space="preserve"> </v>
      </c>
      <c r="L569" s="2151">
        <f>SUM('Cost Control'!E138:E144)</f>
        <v>0</v>
      </c>
      <c r="M569" s="2152"/>
    </row>
    <row r="570" spans="2:13" s="518" customFormat="1" ht="15.45">
      <c r="B570" s="652"/>
      <c r="C570" s="484"/>
      <c r="D570" s="484"/>
      <c r="E570" s="484"/>
      <c r="F570" s="484"/>
      <c r="G570" s="484"/>
      <c r="H570" s="484"/>
      <c r="I570" s="2145" t="s">
        <v>1451</v>
      </c>
      <c r="J570" s="2146"/>
      <c r="K570" s="1161">
        <f>IF(L570&lt;&gt;0,'Cost Control'!A146,0)</f>
        <v>0</v>
      </c>
      <c r="L570" s="2151">
        <f>SUM('Cost Control'!E146:E151)</f>
        <v>0</v>
      </c>
      <c r="M570" s="2152"/>
    </row>
    <row r="571" spans="2:13" s="518" customFormat="1" ht="15.45">
      <c r="B571" s="652"/>
      <c r="C571" s="484"/>
      <c r="D571" s="484"/>
      <c r="E571" s="484"/>
      <c r="F571" s="484"/>
      <c r="G571" s="484"/>
      <c r="H571" s="484"/>
      <c r="I571" s="2148" t="str">
        <f>IF(L571&lt;&gt;0,'Cost Control'!B96," ")</f>
        <v xml:space="preserve"> </v>
      </c>
      <c r="J571" s="2149"/>
      <c r="K571" s="1161">
        <f>IF(L571&lt;&gt;0,'Cost Control'!A96,0)</f>
        <v>0</v>
      </c>
      <c r="L571" s="2151">
        <f>'Cost Control'!E96</f>
        <v>0</v>
      </c>
      <c r="M571" s="2152"/>
    </row>
    <row r="572" spans="2:13" s="518" customFormat="1" ht="15.45">
      <c r="B572" s="652"/>
      <c r="C572" s="484"/>
      <c r="D572" s="484"/>
      <c r="E572" s="484"/>
      <c r="F572" s="484"/>
      <c r="G572" s="484"/>
      <c r="H572" s="484"/>
      <c r="I572" s="2148" t="str">
        <f>IF(L572&lt;&gt;0,'Cost Control'!B97," ")</f>
        <v xml:space="preserve"> </v>
      </c>
      <c r="J572" s="2149"/>
      <c r="K572" s="1161">
        <f>IF(L572&lt;&gt;0,'Cost Control'!A97,0)</f>
        <v>0</v>
      </c>
      <c r="L572" s="2151">
        <f>'Cost Control'!E97</f>
        <v>0</v>
      </c>
      <c r="M572" s="2152"/>
    </row>
    <row r="573" spans="2:13" s="518" customFormat="1" ht="15.45">
      <c r="B573" s="652"/>
      <c r="C573" s="484"/>
      <c r="D573" s="484"/>
      <c r="E573" s="484"/>
      <c r="F573" s="484"/>
      <c r="G573" s="484"/>
      <c r="H573" s="484"/>
      <c r="I573" s="2148" t="str">
        <f>IF(L573&lt;&gt;0,'Cost Control'!B98," ")</f>
        <v xml:space="preserve"> </v>
      </c>
      <c r="J573" s="2149"/>
      <c r="K573" s="1161">
        <f>IF(L573&lt;&gt;0,'Cost Control'!A98,0)</f>
        <v>0</v>
      </c>
      <c r="L573" s="2151">
        <f>'Cost Control'!E98</f>
        <v>0</v>
      </c>
      <c r="M573" s="2152"/>
    </row>
    <row r="574" spans="2:13" s="518" customFormat="1" ht="15.45">
      <c r="B574" s="652"/>
      <c r="C574" s="484"/>
      <c r="D574" s="484"/>
      <c r="E574" s="484"/>
      <c r="F574" s="484"/>
      <c r="G574" s="484"/>
      <c r="H574" s="484"/>
      <c r="I574" s="2148" t="str">
        <f>IF(L574&lt;&gt;0,'Cost Control'!B99," ")</f>
        <v xml:space="preserve"> </v>
      </c>
      <c r="J574" s="2149"/>
      <c r="K574" s="1161">
        <f>IF(L574&lt;&gt;0,'Cost Control'!A99,0)</f>
        <v>0</v>
      </c>
      <c r="L574" s="2151">
        <f>'Cost Control'!E99</f>
        <v>0</v>
      </c>
      <c r="M574" s="2152"/>
    </row>
    <row r="575" spans="2:13" s="518" customFormat="1" ht="15.45">
      <c r="B575" s="652"/>
      <c r="C575" s="484"/>
      <c r="D575" s="484"/>
      <c r="E575" s="484"/>
      <c r="F575" s="484"/>
      <c r="G575" s="484"/>
      <c r="H575" s="484"/>
      <c r="I575" s="2148" t="str">
        <f>IF(L575&lt;&gt;0,'Cost Control'!B100," ")</f>
        <v xml:space="preserve"> </v>
      </c>
      <c r="J575" s="2149"/>
      <c r="K575" s="1161">
        <f>IF(L575&lt;&gt;0,'Cost Control'!A100,0)</f>
        <v>0</v>
      </c>
      <c r="L575" s="2151">
        <f>'Cost Control'!E100</f>
        <v>0</v>
      </c>
      <c r="M575" s="2152"/>
    </row>
    <row r="576" spans="2:13" s="518" customFormat="1" ht="15.45">
      <c r="B576" s="652"/>
      <c r="C576" s="484"/>
      <c r="D576" s="484"/>
      <c r="E576" s="484"/>
      <c r="F576" s="484"/>
      <c r="G576" s="484"/>
      <c r="H576" s="484"/>
      <c r="I576" s="2148" t="str">
        <f>IF(L576&lt;&gt;0,'Cost Control'!B101," ")</f>
        <v xml:space="preserve"> </v>
      </c>
      <c r="J576" s="2149"/>
      <c r="K576" s="1161">
        <f>IF(L576&lt;&gt;0,'Cost Control'!A101,0)</f>
        <v>0</v>
      </c>
      <c r="L576" s="2151">
        <f>'Cost Control'!E101</f>
        <v>0</v>
      </c>
      <c r="M576" s="2152"/>
    </row>
    <row r="577" spans="2:13" s="518" customFormat="1" ht="15.45">
      <c r="B577" s="652"/>
      <c r="C577" s="484"/>
      <c r="D577" s="484"/>
      <c r="E577" s="484"/>
      <c r="F577" s="484"/>
      <c r="G577" s="484"/>
      <c r="H577" s="484"/>
      <c r="I577" s="2148" t="str">
        <f>IF(L577&lt;&gt;0,'Cost Control'!B102," ")</f>
        <v xml:space="preserve"> </v>
      </c>
      <c r="J577" s="2149"/>
      <c r="K577" s="1161">
        <f>IF(L577&lt;&gt;0,'Cost Control'!A102,0)</f>
        <v>0</v>
      </c>
      <c r="L577" s="2151">
        <f>'Cost Control'!E102</f>
        <v>0</v>
      </c>
      <c r="M577" s="2152"/>
    </row>
    <row r="578" spans="2:13" s="518" customFormat="1" ht="15.45">
      <c r="B578" s="652"/>
      <c r="C578" s="484"/>
      <c r="D578" s="484"/>
      <c r="E578" s="484"/>
      <c r="F578" s="484"/>
      <c r="G578" s="484"/>
      <c r="H578" s="484"/>
      <c r="I578" s="2148" t="str">
        <f>IF(L578&lt;&gt;0,'Cost Control'!B103," ")</f>
        <v xml:space="preserve"> </v>
      </c>
      <c r="J578" s="2149"/>
      <c r="K578" s="1161">
        <f>IF(L578&lt;&gt;0,'Cost Control'!A103,0)</f>
        <v>0</v>
      </c>
      <c r="L578" s="2151">
        <f>'Cost Control'!E103</f>
        <v>0</v>
      </c>
      <c r="M578" s="2152"/>
    </row>
    <row r="579" spans="2:13" s="518" customFormat="1" ht="15.45">
      <c r="B579" s="652"/>
      <c r="C579" s="484"/>
      <c r="D579" s="484"/>
      <c r="E579" s="484"/>
      <c r="F579" s="484"/>
      <c r="G579" s="484"/>
      <c r="H579" s="484"/>
      <c r="I579" s="2148" t="str">
        <f>IF(L579&lt;&gt;0,'Cost Control'!B104," ")</f>
        <v xml:space="preserve"> </v>
      </c>
      <c r="J579" s="2149"/>
      <c r="K579" s="1161">
        <f>IF(L579&lt;&gt;0,'Cost Control'!A104,0)</f>
        <v>0</v>
      </c>
      <c r="L579" s="2151">
        <f>'Cost Control'!E104</f>
        <v>0</v>
      </c>
      <c r="M579" s="2152"/>
    </row>
    <row r="580" spans="2:13" s="518" customFormat="1" ht="15.45">
      <c r="B580" s="652"/>
      <c r="C580" s="484"/>
      <c r="D580" s="484"/>
      <c r="E580" s="484"/>
      <c r="F580" s="484"/>
      <c r="G580" s="484"/>
      <c r="H580" s="484"/>
      <c r="I580" s="2148" t="str">
        <f>IF(L580&lt;&gt;0,'Cost Control'!B105," ")</f>
        <v xml:space="preserve"> </v>
      </c>
      <c r="J580" s="2149"/>
      <c r="K580" s="1161">
        <f>IF(L580&lt;&gt;0,'Cost Control'!A105,0)</f>
        <v>0</v>
      </c>
      <c r="L580" s="2151">
        <f>'Cost Control'!E105</f>
        <v>0</v>
      </c>
      <c r="M580" s="2152"/>
    </row>
    <row r="581" spans="2:13" s="518" customFormat="1" ht="15.45">
      <c r="B581" s="652"/>
      <c r="C581" s="484"/>
      <c r="D581" s="484"/>
      <c r="E581" s="484"/>
      <c r="F581" s="484"/>
      <c r="G581" s="484"/>
      <c r="H581" s="484"/>
      <c r="I581" s="2148" t="str">
        <f>IF(L581&lt;&gt;0,'Cost Control'!B106," ")</f>
        <v xml:space="preserve"> </v>
      </c>
      <c r="J581" s="2149"/>
      <c r="K581" s="1161">
        <f>IF(L581&lt;&gt;0,'Cost Control'!A106,0)</f>
        <v>0</v>
      </c>
      <c r="L581" s="2151">
        <f>'Cost Control'!E106</f>
        <v>0</v>
      </c>
      <c r="M581" s="2152"/>
    </row>
    <row r="582" spans="2:13" s="518" customFormat="1" ht="15.45">
      <c r="B582" s="652"/>
      <c r="C582" s="484"/>
      <c r="D582" s="484"/>
      <c r="E582" s="484"/>
      <c r="F582" s="484"/>
      <c r="G582" s="484"/>
      <c r="H582" s="484"/>
      <c r="I582" s="2148" t="str">
        <f>IF(L582&lt;&gt;0,'Cost Control'!B107," ")</f>
        <v xml:space="preserve"> </v>
      </c>
      <c r="J582" s="2149"/>
      <c r="K582" s="1161">
        <f>IF(L582&lt;&gt;0,'Cost Control'!A107,0)</f>
        <v>0</v>
      </c>
      <c r="L582" s="2151">
        <f>'Cost Control'!E107</f>
        <v>0</v>
      </c>
      <c r="M582" s="2152"/>
    </row>
    <row r="583" spans="2:13" s="518" customFormat="1" ht="15.45">
      <c r="B583" s="652"/>
      <c r="C583" s="484"/>
      <c r="D583" s="484"/>
      <c r="E583" s="484"/>
      <c r="F583" s="484"/>
      <c r="G583" s="484"/>
      <c r="H583" s="484"/>
      <c r="I583" s="2148" t="str">
        <f>IF(L583&lt;&gt;0,'Cost Control'!B108," ")</f>
        <v xml:space="preserve"> </v>
      </c>
      <c r="J583" s="2149"/>
      <c r="K583" s="1161">
        <f>IF(L583&lt;&gt;0,'Cost Control'!A108,0)</f>
        <v>0</v>
      </c>
      <c r="L583" s="2151">
        <f>'Cost Control'!E108</f>
        <v>0</v>
      </c>
      <c r="M583" s="2152"/>
    </row>
    <row r="584" spans="2:13" s="518" customFormat="1" ht="15.45">
      <c r="B584" s="652"/>
      <c r="C584" s="484"/>
      <c r="D584" s="484"/>
      <c r="E584" s="484"/>
      <c r="F584" s="484"/>
      <c r="G584" s="484"/>
      <c r="H584" s="484"/>
      <c r="I584" s="2148" t="str">
        <f>IF(L584&lt;&gt;0,'Cost Control'!B109," ")</f>
        <v xml:space="preserve"> </v>
      </c>
      <c r="J584" s="2149"/>
      <c r="K584" s="1161">
        <f>IF(L584&lt;&gt;0,'Cost Control'!A109,0)</f>
        <v>0</v>
      </c>
      <c r="L584" s="2151">
        <f>'Cost Control'!E109</f>
        <v>0</v>
      </c>
      <c r="M584" s="2152"/>
    </row>
    <row r="585" spans="2:13" s="518" customFormat="1" ht="15.45">
      <c r="B585" s="652"/>
      <c r="C585" s="484"/>
      <c r="D585" s="484"/>
      <c r="E585" s="484"/>
      <c r="F585" s="484"/>
      <c r="G585" s="484"/>
      <c r="H585" s="484"/>
      <c r="I585" s="2148" t="str">
        <f>IF(L585&lt;&gt;0,'Cost Control'!B110," ")</f>
        <v xml:space="preserve"> </v>
      </c>
      <c r="J585" s="2149"/>
      <c r="K585" s="1161">
        <f>IF(L585&lt;&gt;0,'Cost Control'!A110,0)</f>
        <v>0</v>
      </c>
      <c r="L585" s="2151">
        <f>'Cost Control'!E110</f>
        <v>0</v>
      </c>
      <c r="M585" s="2152"/>
    </row>
    <row r="586" spans="2:13" s="518" customFormat="1" ht="15.45">
      <c r="B586" s="652"/>
      <c r="C586" s="484"/>
      <c r="D586" s="484"/>
      <c r="E586" s="484"/>
      <c r="F586" s="484"/>
      <c r="G586" s="484"/>
      <c r="H586" s="484"/>
      <c r="I586" s="2148" t="str">
        <f>IF(L586&lt;&gt;0,'Cost Control'!B111," ")</f>
        <v xml:space="preserve"> </v>
      </c>
      <c r="J586" s="2149"/>
      <c r="K586" s="1161">
        <f>IF(L586&lt;&gt;0,'Cost Control'!A111,0)</f>
        <v>0</v>
      </c>
      <c r="L586" s="2151">
        <f>'Cost Control'!E111</f>
        <v>0</v>
      </c>
      <c r="M586" s="2152"/>
    </row>
    <row r="587" spans="2:13" s="518" customFormat="1" ht="15.45">
      <c r="B587" s="652"/>
      <c r="C587" s="484"/>
      <c r="D587" s="484"/>
      <c r="E587" s="484"/>
      <c r="F587" s="484"/>
      <c r="G587" s="484"/>
      <c r="H587" s="484"/>
      <c r="I587" s="2148" t="str">
        <f>IF(L587&lt;&gt;0,'Cost Control'!B112," ")</f>
        <v xml:space="preserve"> </v>
      </c>
      <c r="J587" s="2149"/>
      <c r="K587" s="1161">
        <f>IF(L587&lt;&gt;0,'Cost Control'!A112,0)</f>
        <v>0</v>
      </c>
      <c r="L587" s="2151">
        <f>'Cost Control'!E112</f>
        <v>0</v>
      </c>
      <c r="M587" s="2152"/>
    </row>
    <row r="588" spans="2:13" s="518" customFormat="1" ht="15.45">
      <c r="B588" s="652"/>
      <c r="C588" s="484"/>
      <c r="D588" s="484"/>
      <c r="E588" s="484"/>
      <c r="F588" s="484"/>
      <c r="G588" s="484"/>
      <c r="H588" s="484"/>
      <c r="I588" s="2148" t="str">
        <f>IF(L588&lt;&gt;0,'Cost Control'!B113," ")</f>
        <v xml:space="preserve"> </v>
      </c>
      <c r="J588" s="2149"/>
      <c r="K588" s="1161">
        <f>IF(L588&lt;&gt;0,'Cost Control'!A113,0)</f>
        <v>0</v>
      </c>
      <c r="L588" s="2151">
        <f>'Cost Control'!E113</f>
        <v>0</v>
      </c>
      <c r="M588" s="2152"/>
    </row>
    <row r="589" spans="2:13" s="518" customFormat="1" ht="15.45">
      <c r="B589" s="652"/>
      <c r="C589" s="484"/>
      <c r="D589" s="484"/>
      <c r="E589" s="484"/>
      <c r="F589" s="484"/>
      <c r="G589" s="484"/>
      <c r="H589" s="484"/>
      <c r="I589" s="2148" t="str">
        <f>IF(L589&lt;&gt;0,'Cost Control'!B114," ")</f>
        <v xml:space="preserve"> </v>
      </c>
      <c r="J589" s="2149"/>
      <c r="K589" s="1161">
        <f>IF(L589&lt;&gt;0,'Cost Control'!A114,0)</f>
        <v>0</v>
      </c>
      <c r="L589" s="2151">
        <f>'Cost Control'!E114</f>
        <v>0</v>
      </c>
      <c r="M589" s="2152"/>
    </row>
    <row r="590" spans="2:13" s="518" customFormat="1" ht="15.45">
      <c r="B590" s="652"/>
      <c r="C590" s="484"/>
      <c r="D590" s="484"/>
      <c r="E590" s="484"/>
      <c r="F590" s="484"/>
      <c r="G590" s="484"/>
      <c r="H590" s="484"/>
      <c r="I590" s="2148" t="str">
        <f>IF(L590&lt;&gt;0,'Cost Control'!B115," ")</f>
        <v xml:space="preserve"> </v>
      </c>
      <c r="J590" s="2149"/>
      <c r="K590" s="1161">
        <f>IF(L590&lt;&gt;0,'Cost Control'!A115,0)</f>
        <v>0</v>
      </c>
      <c r="L590" s="2151">
        <f>'Cost Control'!E115</f>
        <v>0</v>
      </c>
      <c r="M590" s="2152"/>
    </row>
    <row r="591" spans="2:13" s="518" customFormat="1" ht="15.45">
      <c r="B591" s="652"/>
      <c r="C591" s="484"/>
      <c r="D591" s="484"/>
      <c r="E591" s="484"/>
      <c r="F591" s="484"/>
      <c r="G591" s="484"/>
      <c r="H591" s="484"/>
      <c r="I591" s="2148" t="str">
        <f>IF(L591&lt;&gt;0,'Cost Control'!B116," ")</f>
        <v xml:space="preserve"> </v>
      </c>
      <c r="J591" s="2149"/>
      <c r="K591" s="1161">
        <f>IF(L591&lt;&gt;0,'Cost Control'!A116,0)</f>
        <v>0</v>
      </c>
      <c r="L591" s="2151">
        <f>'Cost Control'!E116</f>
        <v>0</v>
      </c>
      <c r="M591" s="2152"/>
    </row>
    <row r="592" spans="2:13" s="518" customFormat="1" ht="16.100000000000001" thickBot="1">
      <c r="B592" s="652"/>
      <c r="C592" s="484"/>
      <c r="D592" s="484"/>
      <c r="E592" s="484"/>
      <c r="F592" s="484"/>
      <c r="G592" s="484"/>
      <c r="H592" s="484"/>
      <c r="I592" s="2148" t="str">
        <f>IF(L592&lt;&gt;0,'Cost Control'!B117," ")</f>
        <v xml:space="preserve"> </v>
      </c>
      <c r="J592" s="2149"/>
      <c r="K592" s="1161">
        <f>IF(L592&lt;&gt;0,'Cost Control'!A117,0)</f>
        <v>0</v>
      </c>
      <c r="L592" s="2151">
        <f>'Cost Control'!E117</f>
        <v>0</v>
      </c>
      <c r="M592" s="2152"/>
    </row>
    <row r="593" spans="2:13" ht="13.1">
      <c r="B593" s="141" t="s">
        <v>695</v>
      </c>
      <c r="C593" s="50"/>
      <c r="D593" s="50"/>
      <c r="E593" s="2150">
        <f>K609</f>
        <v>11</v>
      </c>
      <c r="F593" s="2150"/>
      <c r="G593" s="50"/>
      <c r="H593" s="50"/>
      <c r="I593" s="50"/>
      <c r="J593" s="50"/>
      <c r="K593" s="50"/>
      <c r="L593" s="50"/>
      <c r="M593" s="43"/>
    </row>
    <row r="594" spans="2:13">
      <c r="B594" s="1628"/>
      <c r="C594" s="1629"/>
      <c r="D594" s="1629"/>
      <c r="E594" s="1629"/>
      <c r="F594" s="1629"/>
      <c r="G594" s="1629"/>
      <c r="H594" s="1629"/>
      <c r="I594" s="1629"/>
      <c r="J594" s="1629"/>
      <c r="K594" s="1629"/>
      <c r="L594" s="1629"/>
      <c r="M594" s="1630"/>
    </row>
    <row r="595" spans="2:13" ht="13.5" thickBot="1">
      <c r="B595" s="1480"/>
      <c r="C595" s="1479"/>
      <c r="D595" s="1479"/>
      <c r="E595" s="1479"/>
      <c r="F595" s="1479"/>
      <c r="G595" s="1479"/>
      <c r="H595" s="1631"/>
      <c r="I595" s="1631"/>
      <c r="J595" s="1631"/>
      <c r="K595" s="1631"/>
      <c r="L595" s="1631"/>
      <c r="M595" s="1555"/>
    </row>
    <row r="596" spans="2:13" ht="15.45">
      <c r="B596" s="307" t="s">
        <v>645</v>
      </c>
      <c r="C596" s="308"/>
      <c r="D596" s="2135">
        <f>D541</f>
        <v>0</v>
      </c>
      <c r="E596" s="2135"/>
      <c r="F596" s="309" t="s">
        <v>647</v>
      </c>
      <c r="G596" s="310">
        <f>G541</f>
        <v>0</v>
      </c>
      <c r="H596" s="172" t="s">
        <v>648</v>
      </c>
      <c r="I596" s="472">
        <v>0</v>
      </c>
      <c r="J596" s="2173" t="s">
        <v>650</v>
      </c>
      <c r="K596" s="2173"/>
      <c r="L596" s="1378"/>
      <c r="M596" s="486" t="str">
        <f>M541</f>
        <v>° F</v>
      </c>
    </row>
    <row r="597" spans="2:13">
      <c r="B597" s="44" t="s">
        <v>644</v>
      </c>
      <c r="E597" t="s">
        <v>655</v>
      </c>
      <c r="G597">
        <f>IF('Daily Load'!P200="Yes",Operations!D558,IF('Daily Load'!V200="Yes",Operations!D560,Operations!D561))</f>
        <v>0</v>
      </c>
      <c r="I597" s="195" t="s">
        <v>651</v>
      </c>
      <c r="L597" s="2170">
        <f>'Cost Control'!E152</f>
        <v>0</v>
      </c>
      <c r="M597" s="2171"/>
    </row>
    <row r="598" spans="2:13">
      <c r="B598" s="44"/>
      <c r="E598" s="223" t="s">
        <v>193</v>
      </c>
      <c r="F598" s="223" t="s">
        <v>194</v>
      </c>
      <c r="G598" s="223" t="str">
        <f>G543</f>
        <v>Other</v>
      </c>
      <c r="H598" s="1627" t="s">
        <v>587</v>
      </c>
      <c r="I598" s="31" t="s">
        <v>652</v>
      </c>
      <c r="L598" s="2170">
        <f>L544</f>
        <v>0</v>
      </c>
      <c r="M598" s="2171"/>
    </row>
    <row r="599" spans="2:13" ht="13.5" thickBot="1">
      <c r="B599" s="44" t="s">
        <v>643</v>
      </c>
      <c r="E599" s="361">
        <f>IF(E603&gt;0,E601-E603,E601+E602+E600)</f>
        <v>0</v>
      </c>
      <c r="F599" s="361">
        <f>IF(F603&gt;0,F601-F603,F601+F602+F600)</f>
        <v>0</v>
      </c>
      <c r="G599" s="361">
        <f>IF(G603&gt;0,G601-G603,G601+G602+G600)</f>
        <v>0</v>
      </c>
      <c r="H599" t="str">
        <f>H548</f>
        <v>bbl</v>
      </c>
      <c r="I599" s="31" t="s">
        <v>653</v>
      </c>
      <c r="L599" s="2163">
        <f>L597+L598</f>
        <v>0</v>
      </c>
      <c r="M599" s="2164"/>
    </row>
    <row r="600" spans="2:13" ht="13.5" thickTop="1">
      <c r="B600" s="311" t="s">
        <v>642</v>
      </c>
      <c r="E600" s="361">
        <f>IF('Daily Load'!P200="Yes",'Daily Load'!L195,IF('Daily Load'!V200="Yes",'Daily Load'!R195,'Daily Load'!X195))</f>
        <v>0</v>
      </c>
      <c r="F600" s="361">
        <f>IF('Daily Load'!P200="Yes",'Daily Load'!N195,IF('Daily Load'!V200="Yes",'Daily Load'!T195,'Daily Load'!Z195))</f>
        <v>0</v>
      </c>
      <c r="G600" s="361">
        <f>IF('Daily Load'!P200="Yes",'Daily Load'!P195,IF('Daily Load'!V200="Yes",'Daily Load'!V195,'Daily Load'!AB195))</f>
        <v>0</v>
      </c>
      <c r="H600" t="str">
        <f>H599</f>
        <v>bbl</v>
      </c>
      <c r="I600" s="31"/>
      <c r="L600" s="521"/>
      <c r="M600" s="522"/>
    </row>
    <row r="601" spans="2:13">
      <c r="B601" s="44" t="s">
        <v>641</v>
      </c>
      <c r="E601" s="361">
        <f>IF(G597=D64,'Daily Load'!F199+E546,IF(G597=G542,'Daily Load'!F199+E546,'Daily Load'!F199))</f>
        <v>0</v>
      </c>
      <c r="F601" s="361">
        <f>IF(G597=D64,'Daily Load'!H199+F546,IF(G597=G542,'Daily Load'!H199+F546,'Daily Load'!H199))</f>
        <v>0</v>
      </c>
      <c r="G601" s="361">
        <f>IF(G597=D64,'Daily Load'!J199+G546,IF(G597=G542,'Daily Load'!J199+G546,'Daily Load'!J199))</f>
        <v>0</v>
      </c>
      <c r="H601" t="str">
        <f>H600</f>
        <v>bbl</v>
      </c>
      <c r="I601" s="33" t="s">
        <v>654</v>
      </c>
      <c r="J601" s="19"/>
      <c r="K601" s="19"/>
      <c r="L601" s="2165">
        <f>L546</f>
        <v>0</v>
      </c>
      <c r="M601" s="2166"/>
    </row>
    <row r="602" spans="2:13">
      <c r="B602" s="44" t="s">
        <v>640</v>
      </c>
      <c r="E602" s="361">
        <f>IF('Daily Load'!P200="Yes",'Daily Load'!L197,IF('Daily Load'!V200="Yes",'Daily Load'!R197,'Daily Load'!X197))</f>
        <v>0</v>
      </c>
      <c r="F602" s="361">
        <f>IF('Daily Load'!P200="Yes",'Daily Load'!N197,IF('Daily Load'!V200="Yes",'Daily Load'!T197,'Daily Load'!Z197))</f>
        <v>0</v>
      </c>
      <c r="G602" s="361">
        <f>IF('Daily Load'!P200="Yes",'Daily Load'!P197,IF('Daily Load'!V200="Yes",'Daily Load'!V197,'Daily Load'!AB197))</f>
        <v>0</v>
      </c>
      <c r="H602" t="str">
        <f>H601</f>
        <v>bbl</v>
      </c>
      <c r="I602" s="2160" t="str">
        <f>I547</f>
        <v xml:space="preserve"> </v>
      </c>
      <c r="J602" s="2059"/>
      <c r="K602" s="2161"/>
      <c r="L602" s="2162" t="str">
        <f>L547</f>
        <v xml:space="preserve">0 </v>
      </c>
      <c r="M602" s="2155"/>
    </row>
    <row r="603" spans="2:13" ht="13.5" thickBot="1">
      <c r="B603" s="46" t="s">
        <v>639</v>
      </c>
      <c r="C603" s="21"/>
      <c r="D603" s="21"/>
      <c r="E603" s="380">
        <f>IF('Daily Load'!P200="Yes",'Daily Load'!L198,IF('Daily Load'!V200="Yes",'Daily Load'!R198,'Daily Load'!X198))</f>
        <v>0</v>
      </c>
      <c r="F603" s="380">
        <f>IF('Daily Load'!P200="Yes",'Daily Load'!N198,IF('Daily Load'!V200="Yes",'Daily Load'!T198,'Daily Load'!Z198))</f>
        <v>0</v>
      </c>
      <c r="G603" s="380">
        <f>IF('Daily Load'!P200="Yes",'Daily Load'!P198,IF('Daily Load'!V200="Yes",'Daily Load'!V198,'Daily Load'!AB198))</f>
        <v>0</v>
      </c>
      <c r="H603" s="21" t="str">
        <f>H602</f>
        <v>bbl</v>
      </c>
      <c r="I603" s="2167" t="s">
        <v>677</v>
      </c>
      <c r="J603" s="2168"/>
      <c r="K603" s="2169"/>
      <c r="L603" s="2167" t="s">
        <v>826</v>
      </c>
      <c r="M603" s="2172"/>
    </row>
    <row r="604" spans="2:13">
      <c r="B604" s="50"/>
      <c r="C604" s="50"/>
      <c r="D604" s="50"/>
      <c r="E604" s="1185"/>
      <c r="F604" s="1185"/>
      <c r="G604" s="1185"/>
      <c r="H604" s="50"/>
      <c r="I604" s="1186"/>
      <c r="J604" s="1186"/>
      <c r="K604" s="1186"/>
      <c r="L604" s="1186"/>
      <c r="M604" s="1186"/>
    </row>
    <row r="605" spans="2:13" ht="13.5" thickBot="1">
      <c r="B605" s="21"/>
      <c r="C605" s="21"/>
      <c r="D605" s="21"/>
      <c r="E605" s="21"/>
      <c r="F605" s="21"/>
      <c r="G605" s="21"/>
      <c r="H605" s="21"/>
      <c r="I605" s="21"/>
      <c r="J605" s="21"/>
      <c r="K605" s="21"/>
      <c r="L605" s="21"/>
      <c r="M605" s="21"/>
    </row>
    <row r="606" spans="2:13">
      <c r="B606" s="44"/>
      <c r="M606" s="45"/>
    </row>
    <row r="607" spans="2:13">
      <c r="B607" s="44"/>
      <c r="J607" s="2143">
        <f>J552</f>
        <v>0</v>
      </c>
      <c r="K607" s="2143"/>
      <c r="L607" s="2143"/>
      <c r="M607" s="45"/>
    </row>
    <row r="608" spans="2:13">
      <c r="B608" s="44"/>
      <c r="M608" s="45"/>
    </row>
    <row r="609" spans="2:13" ht="13.1">
      <c r="B609" s="137" t="s">
        <v>634</v>
      </c>
      <c r="C609">
        <f>Summary!$C$6</f>
        <v>0</v>
      </c>
      <c r="H609" s="22" t="s">
        <v>636</v>
      </c>
      <c r="I609" s="22"/>
      <c r="K609" s="2158">
        <f>'Cost Control'!F83</f>
        <v>11</v>
      </c>
      <c r="L609" s="2158"/>
      <c r="M609" s="2159"/>
    </row>
    <row r="610" spans="2:13" ht="13.1">
      <c r="B610" s="44"/>
      <c r="H610" s="22"/>
      <c r="I610" s="22"/>
      <c r="M610" s="45"/>
    </row>
    <row r="611" spans="2:13" ht="13.1">
      <c r="B611" s="137" t="s">
        <v>635</v>
      </c>
      <c r="D611" s="2136">
        <f>D556</f>
        <v>0</v>
      </c>
      <c r="E611" s="2136"/>
      <c r="F611" s="2136"/>
      <c r="G611" s="2136"/>
      <c r="H611" s="2136"/>
      <c r="I611" s="22" t="s">
        <v>637</v>
      </c>
      <c r="J611" s="3">
        <f>J556+1</f>
        <v>12</v>
      </c>
      <c r="M611" s="45"/>
    </row>
    <row r="612" spans="2:13" ht="13.1">
      <c r="B612" s="137"/>
      <c r="D612" s="2136"/>
      <c r="E612" s="2136"/>
      <c r="F612" s="2136"/>
      <c r="G612" s="2136"/>
      <c r="H612" s="2136"/>
      <c r="I612" t="s">
        <v>63</v>
      </c>
      <c r="J612" s="2142">
        <f>J557</f>
        <v>0</v>
      </c>
      <c r="K612" s="2143"/>
      <c r="M612" s="45"/>
    </row>
    <row r="613" spans="2:13" ht="13.1">
      <c r="B613" s="137" t="s">
        <v>146</v>
      </c>
      <c r="D613">
        <f>Summary!$C$32</f>
        <v>0</v>
      </c>
      <c r="F613" s="1819" t="str">
        <f>F558</f>
        <v>OPEN HOLE INTERVAL:</v>
      </c>
      <c r="G613" s="1819"/>
      <c r="H613" s="2147">
        <f>H558</f>
        <v>0</v>
      </c>
      <c r="I613" s="2147"/>
      <c r="J613" s="2147">
        <f>J558</f>
        <v>0</v>
      </c>
      <c r="K613" s="2147"/>
      <c r="L613" s="2147">
        <f>L558</f>
        <v>0</v>
      </c>
      <c r="M613" s="2154"/>
    </row>
    <row r="614" spans="2:13">
      <c r="B614" s="44"/>
      <c r="H614" s="2153"/>
      <c r="I614" s="2153"/>
      <c r="J614" s="1145"/>
      <c r="K614" s="1145"/>
      <c r="L614" s="1145"/>
      <c r="M614" s="1146"/>
    </row>
    <row r="615" spans="2:13" ht="13.1">
      <c r="B615" s="44"/>
      <c r="D615">
        <f>Summary!$F$32</f>
        <v>0</v>
      </c>
      <c r="F615" s="1819" t="str">
        <f>F560</f>
        <v xml:space="preserve"> </v>
      </c>
      <c r="G615" s="1819"/>
      <c r="H615" s="2137">
        <f>H560</f>
        <v>0</v>
      </c>
      <c r="I615" s="2137"/>
      <c r="J615" s="2137">
        <f>J560</f>
        <v>0</v>
      </c>
      <c r="K615" s="2137"/>
      <c r="L615" s="2137">
        <f>L560</f>
        <v>0</v>
      </c>
      <c r="M615" s="2155"/>
    </row>
    <row r="616" spans="2:13" ht="13.1">
      <c r="B616" s="44"/>
      <c r="D616">
        <f>D561</f>
        <v>0</v>
      </c>
      <c r="F616" s="1819" t="str">
        <f>F561</f>
        <v xml:space="preserve"> </v>
      </c>
      <c r="G616" s="1819"/>
      <c r="H616" s="1737">
        <f>H561</f>
        <v>0</v>
      </c>
      <c r="I616" s="1737"/>
      <c r="J616" s="1737">
        <f>J561</f>
        <v>0</v>
      </c>
      <c r="K616" s="1737"/>
      <c r="L616" s="1737">
        <f>L561</f>
        <v>0</v>
      </c>
      <c r="M616" s="1791"/>
    </row>
    <row r="617" spans="2:13">
      <c r="B617" s="44"/>
      <c r="M617" s="45"/>
    </row>
    <row r="618" spans="2:13" ht="13.75" thickBot="1">
      <c r="B618" s="46"/>
      <c r="C618" s="21"/>
      <c r="D618" s="21"/>
      <c r="E618" s="1664" t="s">
        <v>638</v>
      </c>
      <c r="F618" s="1664"/>
      <c r="G618" s="1664"/>
      <c r="H618" s="1664"/>
      <c r="I618" s="1664"/>
      <c r="J618" s="21"/>
      <c r="K618" s="21"/>
      <c r="L618" s="21"/>
      <c r="M618" s="47"/>
    </row>
    <row r="619" spans="2:13" s="518" customFormat="1" ht="16.100000000000001" thickBot="1">
      <c r="B619" s="651"/>
      <c r="C619" s="484"/>
      <c r="D619" s="484"/>
      <c r="E619" s="484"/>
      <c r="F619" s="484"/>
      <c r="G619" s="484"/>
      <c r="H619" s="484"/>
      <c r="I619" s="2138" t="s">
        <v>61</v>
      </c>
      <c r="J619" s="2139"/>
      <c r="K619" s="2139"/>
      <c r="L619" s="2139"/>
      <c r="M619" s="2140"/>
    </row>
    <row r="620" spans="2:13" s="518" customFormat="1" ht="16.100000000000001" thickBot="1">
      <c r="B620" s="652"/>
      <c r="C620" s="484"/>
      <c r="D620" s="484"/>
      <c r="E620" s="484"/>
      <c r="F620" s="484"/>
      <c r="G620" s="484"/>
      <c r="H620" s="484"/>
      <c r="I620" s="2141" t="str">
        <f>I565</f>
        <v>Service</v>
      </c>
      <c r="J620" s="2141"/>
      <c r="K620" s="1159" t="s">
        <v>62</v>
      </c>
      <c r="L620" s="2144" t="s">
        <v>1454</v>
      </c>
      <c r="M620" s="2144"/>
    </row>
    <row r="621" spans="2:13" s="518" customFormat="1" ht="16.100000000000001" thickBot="1">
      <c r="B621" s="652"/>
      <c r="C621" s="484"/>
      <c r="D621" s="484"/>
      <c r="E621" s="484"/>
      <c r="F621" s="484"/>
      <c r="G621" s="484"/>
      <c r="H621" s="484"/>
      <c r="I621" s="2145" t="s">
        <v>1538</v>
      </c>
      <c r="J621" s="2146"/>
      <c r="K621" s="1160">
        <f>IF(L621&lt;&gt;0," ",0)</f>
        <v>0</v>
      </c>
      <c r="L621" s="2156">
        <f>SUM('Cost Control'!F85:F94)</f>
        <v>0</v>
      </c>
      <c r="M621" s="2157"/>
    </row>
    <row r="622" spans="2:13" s="518" customFormat="1" ht="16.100000000000001" thickBot="1">
      <c r="B622" s="652"/>
      <c r="C622" s="484"/>
      <c r="D622" s="484"/>
      <c r="E622" s="484"/>
      <c r="F622" s="484"/>
      <c r="G622" s="484"/>
      <c r="H622" s="484"/>
      <c r="I622" s="2145" t="s">
        <v>1539</v>
      </c>
      <c r="J622" s="2146"/>
      <c r="K622" s="1161">
        <f>IF(L622&lt;&gt;0,'Cost Control'!A131,0)</f>
        <v>0</v>
      </c>
      <c r="L622" s="2151">
        <f>SUM('Cost Control'!F131:F136)</f>
        <v>0</v>
      </c>
      <c r="M622" s="2152"/>
    </row>
    <row r="623" spans="2:13" s="518" customFormat="1" ht="16.100000000000001" thickBot="1">
      <c r="B623" s="652"/>
      <c r="C623" s="484"/>
      <c r="D623" s="484"/>
      <c r="E623" s="484"/>
      <c r="F623" s="484"/>
      <c r="G623" s="484"/>
      <c r="H623" s="484"/>
      <c r="I623" s="2145" t="s">
        <v>903</v>
      </c>
      <c r="J623" s="2146"/>
      <c r="K623" s="1161">
        <f>IF(L623&lt;&gt;0,'Cost Control'!A118,0)</f>
        <v>0</v>
      </c>
      <c r="L623" s="2151">
        <f>SUM('Cost Control'!F118:F129)</f>
        <v>0</v>
      </c>
      <c r="M623" s="2152"/>
    </row>
    <row r="624" spans="2:13" s="518" customFormat="1" ht="16.100000000000001" thickBot="1">
      <c r="B624" s="652"/>
      <c r="C624" s="484"/>
      <c r="D624" s="484"/>
      <c r="E624" s="484"/>
      <c r="F624" s="484"/>
      <c r="G624" s="484"/>
      <c r="H624" s="484"/>
      <c r="I624" s="2145" t="s">
        <v>1540</v>
      </c>
      <c r="J624" s="2146"/>
      <c r="K624" s="1161" t="str">
        <f>IF(L624&lt;&gt;0,'Cost Control'!A138," ")</f>
        <v xml:space="preserve"> </v>
      </c>
      <c r="L624" s="2151">
        <f>SUM('Cost Control'!F138:F144)</f>
        <v>0</v>
      </c>
      <c r="M624" s="2152"/>
    </row>
    <row r="625" spans="2:13" s="518" customFormat="1" ht="15.45">
      <c r="B625" s="652"/>
      <c r="C625" s="484"/>
      <c r="D625" s="484"/>
      <c r="E625" s="484"/>
      <c r="F625" s="484"/>
      <c r="G625" s="484"/>
      <c r="H625" s="484"/>
      <c r="I625" s="2145" t="s">
        <v>1451</v>
      </c>
      <c r="J625" s="2146"/>
      <c r="K625" s="1161">
        <f>IF(L625&lt;&gt;0,'Cost Control'!A146,0)</f>
        <v>0</v>
      </c>
      <c r="L625" s="2151">
        <f>SUM('Cost Control'!F146:F151)</f>
        <v>0</v>
      </c>
      <c r="M625" s="2152"/>
    </row>
    <row r="626" spans="2:13" s="518" customFormat="1" ht="15.45">
      <c r="B626" s="652"/>
      <c r="C626" s="484"/>
      <c r="D626" s="484"/>
      <c r="E626" s="484"/>
      <c r="F626" s="484"/>
      <c r="G626" s="484"/>
      <c r="H626" s="484"/>
      <c r="I626" s="2148" t="str">
        <f>IF(L626&lt;&gt;0,'Cost Control'!B96," ")</f>
        <v xml:space="preserve"> </v>
      </c>
      <c r="J626" s="2149"/>
      <c r="K626" s="1161">
        <f>IF(L626&lt;&gt;0,'Cost Control'!A96,0)</f>
        <v>0</v>
      </c>
      <c r="L626" s="2151">
        <f>'Cost Control'!F96</f>
        <v>0</v>
      </c>
      <c r="M626" s="2152"/>
    </row>
    <row r="627" spans="2:13" s="518" customFormat="1" ht="15.45">
      <c r="B627" s="652"/>
      <c r="C627" s="484"/>
      <c r="D627" s="484"/>
      <c r="E627" s="484"/>
      <c r="F627" s="484"/>
      <c r="G627" s="484"/>
      <c r="H627" s="484"/>
      <c r="I627" s="2148" t="str">
        <f>IF(L627&lt;&gt;0,'Cost Control'!B97," ")</f>
        <v xml:space="preserve"> </v>
      </c>
      <c r="J627" s="2149"/>
      <c r="K627" s="1161">
        <f>IF(L627&lt;&gt;0,'Cost Control'!A97,0)</f>
        <v>0</v>
      </c>
      <c r="L627" s="2151">
        <f>'Cost Control'!F97</f>
        <v>0</v>
      </c>
      <c r="M627" s="2152"/>
    </row>
    <row r="628" spans="2:13" s="518" customFormat="1" ht="15.45">
      <c r="B628" s="652"/>
      <c r="C628" s="484"/>
      <c r="D628" s="484"/>
      <c r="E628" s="484"/>
      <c r="F628" s="484"/>
      <c r="G628" s="484"/>
      <c r="H628" s="484"/>
      <c r="I628" s="2148" t="str">
        <f>IF(L628&lt;&gt;0,'Cost Control'!B98," ")</f>
        <v xml:space="preserve"> </v>
      </c>
      <c r="J628" s="2149"/>
      <c r="K628" s="1161">
        <f>IF(L628&lt;&gt;0,'Cost Control'!A98,0)</f>
        <v>0</v>
      </c>
      <c r="L628" s="2151">
        <f>'Cost Control'!F98</f>
        <v>0</v>
      </c>
      <c r="M628" s="2152"/>
    </row>
    <row r="629" spans="2:13" s="518" customFormat="1" ht="15.45">
      <c r="B629" s="652"/>
      <c r="C629" s="484"/>
      <c r="D629" s="484"/>
      <c r="E629" s="484"/>
      <c r="F629" s="484"/>
      <c r="G629" s="484"/>
      <c r="H629" s="484"/>
      <c r="I629" s="2148" t="str">
        <f>IF(L629&lt;&gt;0,'Cost Control'!B99," ")</f>
        <v xml:space="preserve"> </v>
      </c>
      <c r="J629" s="2149"/>
      <c r="K629" s="1161">
        <f>IF(L629&lt;&gt;0,'Cost Control'!A99,0)</f>
        <v>0</v>
      </c>
      <c r="L629" s="2151">
        <f>'Cost Control'!F99</f>
        <v>0</v>
      </c>
      <c r="M629" s="2152"/>
    </row>
    <row r="630" spans="2:13" s="518" customFormat="1" ht="15.45">
      <c r="B630" s="652"/>
      <c r="C630" s="484"/>
      <c r="D630" s="484"/>
      <c r="E630" s="484"/>
      <c r="F630" s="484"/>
      <c r="G630" s="484"/>
      <c r="H630" s="484"/>
      <c r="I630" s="2148" t="str">
        <f>IF(L630&lt;&gt;0,'Cost Control'!B100," ")</f>
        <v xml:space="preserve"> </v>
      </c>
      <c r="J630" s="2149"/>
      <c r="K630" s="1161">
        <f>IF(L630&lt;&gt;0,'Cost Control'!A100,0)</f>
        <v>0</v>
      </c>
      <c r="L630" s="2151">
        <f>'Cost Control'!F100</f>
        <v>0</v>
      </c>
      <c r="M630" s="2152"/>
    </row>
    <row r="631" spans="2:13" s="518" customFormat="1" ht="15.45">
      <c r="B631" s="652"/>
      <c r="C631" s="484"/>
      <c r="D631" s="484"/>
      <c r="E631" s="484"/>
      <c r="F631" s="484"/>
      <c r="G631" s="484"/>
      <c r="H631" s="484"/>
      <c r="I631" s="2148" t="str">
        <f>IF(L631&lt;&gt;0,'Cost Control'!B101," ")</f>
        <v xml:space="preserve"> </v>
      </c>
      <c r="J631" s="2149"/>
      <c r="K631" s="1161">
        <f>IF(L631&lt;&gt;0,'Cost Control'!A101,0)</f>
        <v>0</v>
      </c>
      <c r="L631" s="2151">
        <f>'Cost Control'!F101</f>
        <v>0</v>
      </c>
      <c r="M631" s="2152"/>
    </row>
    <row r="632" spans="2:13" s="518" customFormat="1" ht="15.45">
      <c r="B632" s="652"/>
      <c r="C632" s="484"/>
      <c r="D632" s="484"/>
      <c r="E632" s="484"/>
      <c r="F632" s="484"/>
      <c r="G632" s="484"/>
      <c r="H632" s="484"/>
      <c r="I632" s="2148" t="str">
        <f>IF(L632&lt;&gt;0,'Cost Control'!B102," ")</f>
        <v xml:space="preserve"> </v>
      </c>
      <c r="J632" s="2149"/>
      <c r="K632" s="1161">
        <f>IF(L632&lt;&gt;0,'Cost Control'!A102,0)</f>
        <v>0</v>
      </c>
      <c r="L632" s="2151">
        <f>'Cost Control'!F102</f>
        <v>0</v>
      </c>
      <c r="M632" s="2152"/>
    </row>
    <row r="633" spans="2:13" s="518" customFormat="1" ht="15.45">
      <c r="B633" s="652"/>
      <c r="C633" s="484"/>
      <c r="D633" s="484"/>
      <c r="E633" s="484"/>
      <c r="F633" s="484"/>
      <c r="G633" s="484"/>
      <c r="H633" s="484"/>
      <c r="I633" s="2148" t="str">
        <f>IF(L633&lt;&gt;0,'Cost Control'!B103," ")</f>
        <v xml:space="preserve"> </v>
      </c>
      <c r="J633" s="2149"/>
      <c r="K633" s="1161">
        <f>IF(L633&lt;&gt;0,'Cost Control'!A103,0)</f>
        <v>0</v>
      </c>
      <c r="L633" s="2151">
        <f>'Cost Control'!F103</f>
        <v>0</v>
      </c>
      <c r="M633" s="2152"/>
    </row>
    <row r="634" spans="2:13" s="518" customFormat="1" ht="15.45">
      <c r="B634" s="652"/>
      <c r="C634" s="484"/>
      <c r="D634" s="484"/>
      <c r="E634" s="484"/>
      <c r="F634" s="484"/>
      <c r="G634" s="484"/>
      <c r="H634" s="484"/>
      <c r="I634" s="2148" t="str">
        <f>IF(L634&lt;&gt;0,'Cost Control'!B104," ")</f>
        <v xml:space="preserve"> </v>
      </c>
      <c r="J634" s="2149"/>
      <c r="K634" s="1161">
        <f>IF(L634&lt;&gt;0,'Cost Control'!A104,0)</f>
        <v>0</v>
      </c>
      <c r="L634" s="2151">
        <f>'Cost Control'!F104</f>
        <v>0</v>
      </c>
      <c r="M634" s="2152"/>
    </row>
    <row r="635" spans="2:13" s="518" customFormat="1" ht="15.45">
      <c r="B635" s="652"/>
      <c r="C635" s="484"/>
      <c r="D635" s="484"/>
      <c r="E635" s="484"/>
      <c r="F635" s="484"/>
      <c r="G635" s="484"/>
      <c r="H635" s="484"/>
      <c r="I635" s="2148" t="str">
        <f>IF(L635&lt;&gt;0,'Cost Control'!B105," ")</f>
        <v xml:space="preserve"> </v>
      </c>
      <c r="J635" s="2149"/>
      <c r="K635" s="1161">
        <f>IF(L635&lt;&gt;0,'Cost Control'!A105,0)</f>
        <v>0</v>
      </c>
      <c r="L635" s="2151">
        <f>'Cost Control'!F105</f>
        <v>0</v>
      </c>
      <c r="M635" s="2152"/>
    </row>
    <row r="636" spans="2:13" s="518" customFormat="1" ht="15.45">
      <c r="B636" s="652"/>
      <c r="C636" s="484"/>
      <c r="D636" s="484"/>
      <c r="E636" s="484"/>
      <c r="F636" s="484"/>
      <c r="G636" s="484"/>
      <c r="H636" s="484"/>
      <c r="I636" s="2148" t="str">
        <f>IF(L636&lt;&gt;0,'Cost Control'!B106," ")</f>
        <v xml:space="preserve"> </v>
      </c>
      <c r="J636" s="2149"/>
      <c r="K636" s="1161">
        <f>IF(L636&lt;&gt;0,'Cost Control'!A106,0)</f>
        <v>0</v>
      </c>
      <c r="L636" s="2151">
        <f>'Cost Control'!F106</f>
        <v>0</v>
      </c>
      <c r="M636" s="2152"/>
    </row>
    <row r="637" spans="2:13" s="518" customFormat="1" ht="15.45">
      <c r="B637" s="652"/>
      <c r="C637" s="484"/>
      <c r="D637" s="484"/>
      <c r="E637" s="484"/>
      <c r="F637" s="484"/>
      <c r="G637" s="484"/>
      <c r="H637" s="484"/>
      <c r="I637" s="2148" t="str">
        <f>IF(L637&lt;&gt;0,'Cost Control'!B107," ")</f>
        <v xml:space="preserve"> </v>
      </c>
      <c r="J637" s="2149"/>
      <c r="K637" s="1161">
        <f>IF(L637&lt;&gt;0,'Cost Control'!A107,0)</f>
        <v>0</v>
      </c>
      <c r="L637" s="2151">
        <f>'Cost Control'!F107</f>
        <v>0</v>
      </c>
      <c r="M637" s="2152"/>
    </row>
    <row r="638" spans="2:13" s="518" customFormat="1" ht="15.45">
      <c r="B638" s="652"/>
      <c r="C638" s="484"/>
      <c r="D638" s="484"/>
      <c r="E638" s="484"/>
      <c r="F638" s="484"/>
      <c r="G638" s="484"/>
      <c r="H638" s="484"/>
      <c r="I638" s="2148" t="str">
        <f>IF(L638&lt;&gt;0,'Cost Control'!B108," ")</f>
        <v xml:space="preserve"> </v>
      </c>
      <c r="J638" s="2149"/>
      <c r="K638" s="1161">
        <f>IF(L638&lt;&gt;0,'Cost Control'!A108,0)</f>
        <v>0</v>
      </c>
      <c r="L638" s="2151">
        <f>'Cost Control'!F108</f>
        <v>0</v>
      </c>
      <c r="M638" s="2152"/>
    </row>
    <row r="639" spans="2:13" s="518" customFormat="1" ht="15.45">
      <c r="B639" s="652"/>
      <c r="C639" s="484"/>
      <c r="D639" s="484"/>
      <c r="E639" s="484"/>
      <c r="F639" s="484"/>
      <c r="G639" s="484"/>
      <c r="H639" s="484"/>
      <c r="I639" s="2148" t="str">
        <f>IF(L639&lt;&gt;0,'Cost Control'!B109," ")</f>
        <v xml:space="preserve"> </v>
      </c>
      <c r="J639" s="2149"/>
      <c r="K639" s="1161">
        <f>IF(L639&lt;&gt;0,'Cost Control'!A109,0)</f>
        <v>0</v>
      </c>
      <c r="L639" s="2151">
        <f>'Cost Control'!F109</f>
        <v>0</v>
      </c>
      <c r="M639" s="2152"/>
    </row>
    <row r="640" spans="2:13" s="518" customFormat="1" ht="15.45">
      <c r="B640" s="652"/>
      <c r="C640" s="484"/>
      <c r="D640" s="484"/>
      <c r="E640" s="484"/>
      <c r="F640" s="484"/>
      <c r="G640" s="484"/>
      <c r="H640" s="484"/>
      <c r="I640" s="2148" t="str">
        <f>IF(L640&lt;&gt;0,'Cost Control'!B110," ")</f>
        <v xml:space="preserve"> </v>
      </c>
      <c r="J640" s="2149"/>
      <c r="K640" s="1161">
        <f>IF(L640&lt;&gt;0,'Cost Control'!A110,0)</f>
        <v>0</v>
      </c>
      <c r="L640" s="2151">
        <f>'Cost Control'!F110</f>
        <v>0</v>
      </c>
      <c r="M640" s="2152"/>
    </row>
    <row r="641" spans="2:13" s="518" customFormat="1" ht="15.45">
      <c r="B641" s="652"/>
      <c r="C641" s="484"/>
      <c r="D641" s="484"/>
      <c r="E641" s="484"/>
      <c r="F641" s="484"/>
      <c r="G641" s="484"/>
      <c r="H641" s="484"/>
      <c r="I641" s="2148" t="str">
        <f>IF(L641&lt;&gt;0,'Cost Control'!B111," ")</f>
        <v xml:space="preserve"> </v>
      </c>
      <c r="J641" s="2149"/>
      <c r="K641" s="1161">
        <f>IF(L641&lt;&gt;0,'Cost Control'!A111,0)</f>
        <v>0</v>
      </c>
      <c r="L641" s="2151">
        <f>'Cost Control'!F111</f>
        <v>0</v>
      </c>
      <c r="M641" s="2152"/>
    </row>
    <row r="642" spans="2:13" s="518" customFormat="1" ht="15.45">
      <c r="B642" s="652"/>
      <c r="C642" s="484"/>
      <c r="D642" s="484"/>
      <c r="E642" s="484"/>
      <c r="F642" s="484"/>
      <c r="G642" s="484"/>
      <c r="H642" s="484"/>
      <c r="I642" s="2148" t="str">
        <f>IF(L642&lt;&gt;0,'Cost Control'!B112," ")</f>
        <v xml:space="preserve"> </v>
      </c>
      <c r="J642" s="2149"/>
      <c r="K642" s="1161">
        <f>IF(L642&lt;&gt;0,'Cost Control'!A112,0)</f>
        <v>0</v>
      </c>
      <c r="L642" s="2151">
        <f>'Cost Control'!F112</f>
        <v>0</v>
      </c>
      <c r="M642" s="2152"/>
    </row>
    <row r="643" spans="2:13" s="518" customFormat="1" ht="15.45">
      <c r="B643" s="652"/>
      <c r="C643" s="484"/>
      <c r="D643" s="484"/>
      <c r="E643" s="484"/>
      <c r="F643" s="484"/>
      <c r="G643" s="484"/>
      <c r="H643" s="484"/>
      <c r="I643" s="2148" t="str">
        <f>IF(L643&lt;&gt;0,'Cost Control'!B113," ")</f>
        <v xml:space="preserve"> </v>
      </c>
      <c r="J643" s="2149"/>
      <c r="K643" s="1161">
        <f>IF(L643&lt;&gt;0,'Cost Control'!A113,0)</f>
        <v>0</v>
      </c>
      <c r="L643" s="2151">
        <f>'Cost Control'!F113</f>
        <v>0</v>
      </c>
      <c r="M643" s="2152"/>
    </row>
    <row r="644" spans="2:13" s="518" customFormat="1" ht="15.45">
      <c r="B644" s="652"/>
      <c r="C644" s="484"/>
      <c r="D644" s="484"/>
      <c r="E644" s="484"/>
      <c r="F644" s="484"/>
      <c r="G644" s="484"/>
      <c r="H644" s="484"/>
      <c r="I644" s="2148" t="str">
        <f>IF(L644&lt;&gt;0,'Cost Control'!B114," ")</f>
        <v xml:space="preserve"> </v>
      </c>
      <c r="J644" s="2149"/>
      <c r="K644" s="1161">
        <f>IF(L644&lt;&gt;0,'Cost Control'!A114,0)</f>
        <v>0</v>
      </c>
      <c r="L644" s="2151">
        <f>'Cost Control'!F114</f>
        <v>0</v>
      </c>
      <c r="M644" s="2152"/>
    </row>
    <row r="645" spans="2:13" s="518" customFormat="1" ht="15.45">
      <c r="B645" s="652"/>
      <c r="C645" s="484"/>
      <c r="D645" s="484"/>
      <c r="E645" s="484"/>
      <c r="F645" s="484"/>
      <c r="G645" s="484"/>
      <c r="H645" s="484"/>
      <c r="I645" s="2148" t="str">
        <f>IF(L645&lt;&gt;0,'Cost Control'!B115," ")</f>
        <v xml:space="preserve"> </v>
      </c>
      <c r="J645" s="2149"/>
      <c r="K645" s="1161">
        <f>IF(L645&lt;&gt;0,'Cost Control'!A115,0)</f>
        <v>0</v>
      </c>
      <c r="L645" s="2151">
        <f>'Cost Control'!F115</f>
        <v>0</v>
      </c>
      <c r="M645" s="2152"/>
    </row>
    <row r="646" spans="2:13" s="518" customFormat="1" ht="15.45">
      <c r="B646" s="652"/>
      <c r="C646" s="484"/>
      <c r="D646" s="484"/>
      <c r="E646" s="484"/>
      <c r="F646" s="484"/>
      <c r="G646" s="484"/>
      <c r="H646" s="484"/>
      <c r="I646" s="2148" t="str">
        <f>IF(L646&lt;&gt;0,'Cost Control'!B116," ")</f>
        <v xml:space="preserve"> </v>
      </c>
      <c r="J646" s="2149"/>
      <c r="K646" s="1161">
        <f>IF(L646&lt;&gt;0,'Cost Control'!A116,0)</f>
        <v>0</v>
      </c>
      <c r="L646" s="2151">
        <f>'Cost Control'!F116</f>
        <v>0</v>
      </c>
      <c r="M646" s="2152"/>
    </row>
    <row r="647" spans="2:13" s="518" customFormat="1" ht="16.100000000000001" thickBot="1">
      <c r="B647" s="652"/>
      <c r="C647" s="484"/>
      <c r="D647" s="484"/>
      <c r="E647" s="484"/>
      <c r="F647" s="484"/>
      <c r="G647" s="484"/>
      <c r="H647" s="484"/>
      <c r="I647" s="2148" t="str">
        <f>IF(L647&lt;&gt;0,'Cost Control'!B117," ")</f>
        <v xml:space="preserve"> </v>
      </c>
      <c r="J647" s="2149"/>
      <c r="K647" s="1161">
        <f>IF(L647&lt;&gt;0,'Cost Control'!A117,0)</f>
        <v>0</v>
      </c>
      <c r="L647" s="2151">
        <f>'Cost Control'!F117</f>
        <v>0</v>
      </c>
      <c r="M647" s="2152"/>
    </row>
    <row r="648" spans="2:13" ht="13.1">
      <c r="B648" s="141" t="s">
        <v>695</v>
      </c>
      <c r="C648" s="50"/>
      <c r="D648" s="50"/>
      <c r="E648" s="2150">
        <f>K664</f>
        <v>12</v>
      </c>
      <c r="F648" s="2150"/>
      <c r="G648" s="50"/>
      <c r="H648" s="50"/>
      <c r="I648" s="50"/>
      <c r="J648" s="50"/>
      <c r="K648" s="50"/>
      <c r="L648" s="50"/>
      <c r="M648" s="43"/>
    </row>
    <row r="649" spans="2:13">
      <c r="B649" s="1628"/>
      <c r="C649" s="1629"/>
      <c r="D649" s="1629"/>
      <c r="E649" s="1629"/>
      <c r="F649" s="1629"/>
      <c r="G649" s="1629"/>
      <c r="H649" s="1629"/>
      <c r="I649" s="1629"/>
      <c r="J649" s="1629"/>
      <c r="K649" s="1629"/>
      <c r="L649" s="1629"/>
      <c r="M649" s="1630"/>
    </row>
    <row r="650" spans="2:13" ht="13.5" thickBot="1">
      <c r="B650" s="1480"/>
      <c r="C650" s="1479"/>
      <c r="D650" s="1479"/>
      <c r="E650" s="1479"/>
      <c r="F650" s="1479"/>
      <c r="G650" s="1479"/>
      <c r="H650" s="1631"/>
      <c r="I650" s="1631"/>
      <c r="J650" s="1631"/>
      <c r="K650" s="1631"/>
      <c r="L650" s="1631"/>
      <c r="M650" s="1555"/>
    </row>
    <row r="651" spans="2:13" ht="15.45">
      <c r="B651" s="307" t="s">
        <v>645</v>
      </c>
      <c r="C651" s="308"/>
      <c r="D651" s="2135">
        <f>D596</f>
        <v>0</v>
      </c>
      <c r="E651" s="2135"/>
      <c r="F651" s="309" t="s">
        <v>647</v>
      </c>
      <c r="G651" s="310">
        <f>G596</f>
        <v>0</v>
      </c>
      <c r="H651" s="172" t="s">
        <v>648</v>
      </c>
      <c r="I651" s="472">
        <v>0</v>
      </c>
      <c r="J651" s="2173" t="s">
        <v>650</v>
      </c>
      <c r="K651" s="2173"/>
      <c r="L651" s="1378"/>
      <c r="M651" s="486" t="str">
        <f>M596</f>
        <v>° F</v>
      </c>
    </row>
    <row r="652" spans="2:13">
      <c r="B652" s="44" t="s">
        <v>644</v>
      </c>
      <c r="E652" t="s">
        <v>655</v>
      </c>
      <c r="G652">
        <f>IF('Daily Load'!P218="Yes",Operations!D613,IF('Daily Load'!V218="Yes",Operations!D615,Operations!D616))</f>
        <v>0</v>
      </c>
      <c r="I652" s="195" t="s">
        <v>651</v>
      </c>
      <c r="L652" s="2170">
        <f>'Cost Control'!F152</f>
        <v>0</v>
      </c>
      <c r="M652" s="2171"/>
    </row>
    <row r="653" spans="2:13">
      <c r="B653" s="44"/>
      <c r="E653" s="223" t="s">
        <v>193</v>
      </c>
      <c r="F653" s="223" t="s">
        <v>194</v>
      </c>
      <c r="G653" s="223" t="str">
        <f>G598</f>
        <v>Other</v>
      </c>
      <c r="H653" s="1627" t="s">
        <v>587</v>
      </c>
      <c r="I653" s="31" t="s">
        <v>652</v>
      </c>
      <c r="L653" s="2170">
        <f>L599</f>
        <v>0</v>
      </c>
      <c r="M653" s="2171"/>
    </row>
    <row r="654" spans="2:13" ht="13.5" thickBot="1">
      <c r="B654" s="44" t="s">
        <v>643</v>
      </c>
      <c r="E654" s="361">
        <f>IF(E658&gt;0,E656-E658,E656+E657+E655)</f>
        <v>0</v>
      </c>
      <c r="F654" s="361">
        <f>IF(F658&gt;0,F656-F658,F656+F657+F655)</f>
        <v>0</v>
      </c>
      <c r="G654" s="361">
        <f>IF(G658&gt;0,G656-G658,G656+G657+G655)</f>
        <v>0</v>
      </c>
      <c r="H654" t="str">
        <f>H603</f>
        <v>bbl</v>
      </c>
      <c r="I654" s="31" t="s">
        <v>653</v>
      </c>
      <c r="L654" s="2163">
        <f>L652+L653</f>
        <v>0</v>
      </c>
      <c r="M654" s="2164"/>
    </row>
    <row r="655" spans="2:13" ht="13.5" thickTop="1">
      <c r="B655" s="311" t="s">
        <v>642</v>
      </c>
      <c r="E655" s="361">
        <f>IF('Daily Load'!P218="Yes",'Daily Load'!L213,IF('Daily Load'!V218="Yes",'Daily Load'!R213,'Daily Load'!X213))</f>
        <v>0</v>
      </c>
      <c r="F655" s="361">
        <f>IF('Daily Load'!P218="Yes",'Daily Load'!N213,IF('Daily Load'!V218="Yes",'Daily Load'!T213,'Daily Load'!Z213))</f>
        <v>0</v>
      </c>
      <c r="G655" s="361">
        <f>IF('Daily Load'!P218="Yes",'Daily Load'!P213,IF('Daily Load'!V218="Yes",'Daily Load'!V213,'Daily Load'!AB213))</f>
        <v>0</v>
      </c>
      <c r="H655" t="str">
        <f>H654</f>
        <v>bbl</v>
      </c>
      <c r="I655" s="31"/>
      <c r="L655" s="521"/>
      <c r="M655" s="522"/>
    </row>
    <row r="656" spans="2:13">
      <c r="B656" s="44" t="s">
        <v>641</v>
      </c>
      <c r="E656" s="361">
        <f>IF(G652=D9,'Daily Load'!F217+E601,IF(G652=G597,'Daily Load'!F217+E601,'Daily Load'!F217))</f>
        <v>0</v>
      </c>
      <c r="F656" s="361">
        <f>IF(G652=D9,'Daily Load'!H217+F601,IF(G652=G597,'Daily Load'!H217+F601,'Daily Load'!H217))</f>
        <v>0</v>
      </c>
      <c r="G656" s="361">
        <f>IF(G652=D9,'Daily Load'!J217+G601,IF(G652=G597,'Daily Load'!J217+G601,'Daily Load'!J217))</f>
        <v>0</v>
      </c>
      <c r="H656" t="str">
        <f>H655</f>
        <v>bbl</v>
      </c>
      <c r="I656" s="33" t="s">
        <v>654</v>
      </c>
      <c r="J656" s="19"/>
      <c r="K656" s="19"/>
      <c r="L656" s="2165">
        <f>L601</f>
        <v>0</v>
      </c>
      <c r="M656" s="2166"/>
    </row>
    <row r="657" spans="2:13">
      <c r="B657" s="44" t="s">
        <v>640</v>
      </c>
      <c r="E657" s="361">
        <f>IF('Daily Load'!P218="Yes",'Daily Load'!L215,IF('Daily Load'!V218="Yes",'Daily Load'!R215,'Daily Load'!X215))</f>
        <v>0</v>
      </c>
      <c r="F657" s="361">
        <f>IF('Daily Load'!P218="Yes",'Daily Load'!N215,IF('Daily Load'!V218="Yes",'Daily Load'!T215,'Daily Load'!Z215))</f>
        <v>0</v>
      </c>
      <c r="G657" s="361">
        <f>IF('Daily Load'!P218="Yes",'Daily Load'!P215,IF('Daily Load'!V218="Yes",'Daily Load'!V215,'Daily Load'!AB215))</f>
        <v>0</v>
      </c>
      <c r="H657" t="str">
        <f>H656</f>
        <v>bbl</v>
      </c>
      <c r="I657" s="2160" t="str">
        <f>I602</f>
        <v xml:space="preserve"> </v>
      </c>
      <c r="J657" s="2059"/>
      <c r="K657" s="2161"/>
      <c r="L657" s="2162" t="str">
        <f>L602</f>
        <v xml:space="preserve">0 </v>
      </c>
      <c r="M657" s="2155"/>
    </row>
    <row r="658" spans="2:13" ht="13.5" thickBot="1">
      <c r="B658" s="46" t="s">
        <v>639</v>
      </c>
      <c r="C658" s="21"/>
      <c r="D658" s="21"/>
      <c r="E658" s="380">
        <f>IF('Daily Load'!P218="Yes",'Daily Load'!L216,IF('Daily Load'!V218="Yes",'Daily Load'!R216,'Daily Load'!X216))</f>
        <v>0</v>
      </c>
      <c r="F658" s="380">
        <f>IF('Daily Load'!P218="Yes",'Daily Load'!N216,IF('Daily Load'!V218="Yes",'Daily Load'!T216,'Daily Load'!Z216))</f>
        <v>0</v>
      </c>
      <c r="G658" s="380">
        <f>IF('Daily Load'!P218="Yes",'Daily Load'!P216,IF('Daily Load'!V218="Yes",'Daily Load'!V216,'Daily Load'!AB216))</f>
        <v>0</v>
      </c>
      <c r="H658" s="21" t="str">
        <f>H657</f>
        <v>bbl</v>
      </c>
      <c r="I658" s="2167" t="s">
        <v>677</v>
      </c>
      <c r="J658" s="2168"/>
      <c r="K658" s="2169"/>
      <c r="L658" s="2167" t="s">
        <v>826</v>
      </c>
      <c r="M658" s="2172"/>
    </row>
    <row r="659" spans="2:13">
      <c r="B659" s="50"/>
      <c r="C659" s="50"/>
      <c r="D659" s="50"/>
      <c r="E659" s="1185"/>
      <c r="F659" s="1185"/>
      <c r="G659" s="1185"/>
      <c r="H659" s="50"/>
      <c r="I659" s="1186"/>
      <c r="J659" s="1186"/>
      <c r="K659" s="1186"/>
      <c r="L659" s="1186"/>
      <c r="M659" s="1186"/>
    </row>
    <row r="660" spans="2:13" ht="13.5" thickBot="1">
      <c r="B660" s="21"/>
      <c r="C660" s="21"/>
      <c r="D660" s="21"/>
      <c r="E660" s="21"/>
      <c r="F660" s="21"/>
      <c r="G660" s="21"/>
      <c r="H660" s="21"/>
      <c r="I660" s="21"/>
      <c r="J660" s="21"/>
      <c r="K660" s="21"/>
      <c r="L660" s="21"/>
      <c r="M660" s="21"/>
    </row>
    <row r="661" spans="2:13">
      <c r="B661" s="44"/>
      <c r="M661" s="45"/>
    </row>
    <row r="662" spans="2:13">
      <c r="B662" s="44"/>
      <c r="J662" s="2143">
        <f>J607</f>
        <v>0</v>
      </c>
      <c r="K662" s="2143"/>
      <c r="L662" s="2143"/>
      <c r="M662" s="45"/>
    </row>
    <row r="663" spans="2:13">
      <c r="B663" s="44"/>
      <c r="M663" s="45"/>
    </row>
    <row r="664" spans="2:13" ht="13.1">
      <c r="B664" s="137" t="s">
        <v>634</v>
      </c>
      <c r="C664">
        <f>Summary!$C$6</f>
        <v>0</v>
      </c>
      <c r="H664" s="22" t="s">
        <v>636</v>
      </c>
      <c r="I664" s="22"/>
      <c r="K664" s="2158">
        <f>'Cost Control'!G83</f>
        <v>12</v>
      </c>
      <c r="L664" s="2158"/>
      <c r="M664" s="2159"/>
    </row>
    <row r="665" spans="2:13" ht="13.1">
      <c r="B665" s="44"/>
      <c r="H665" s="22"/>
      <c r="I665" s="22"/>
      <c r="M665" s="45"/>
    </row>
    <row r="666" spans="2:13" ht="13.1">
      <c r="B666" s="137" t="s">
        <v>635</v>
      </c>
      <c r="D666" s="2136">
        <f>D611</f>
        <v>0</v>
      </c>
      <c r="E666" s="2136"/>
      <c r="F666" s="2136"/>
      <c r="G666" s="2136"/>
      <c r="H666" s="2136"/>
      <c r="I666" s="22" t="s">
        <v>637</v>
      </c>
      <c r="J666" s="3">
        <f>J611+1</f>
        <v>13</v>
      </c>
      <c r="M666" s="45"/>
    </row>
    <row r="667" spans="2:13" ht="13.1">
      <c r="B667" s="137"/>
      <c r="D667" s="2136"/>
      <c r="E667" s="2136"/>
      <c r="F667" s="2136"/>
      <c r="G667" s="2136"/>
      <c r="H667" s="2136"/>
      <c r="I667" t="s">
        <v>63</v>
      </c>
      <c r="J667" s="2142">
        <f>J612</f>
        <v>0</v>
      </c>
      <c r="K667" s="2143"/>
      <c r="M667" s="45"/>
    </row>
    <row r="668" spans="2:13" ht="13.1">
      <c r="B668" s="137" t="s">
        <v>146</v>
      </c>
      <c r="D668">
        <f>Summary!$C$32</f>
        <v>0</v>
      </c>
      <c r="F668" s="1819" t="str">
        <f>F613</f>
        <v>OPEN HOLE INTERVAL:</v>
      </c>
      <c r="G668" s="1819"/>
      <c r="H668" s="2147">
        <f>H613</f>
        <v>0</v>
      </c>
      <c r="I668" s="2147"/>
      <c r="J668" s="2147">
        <f>J613</f>
        <v>0</v>
      </c>
      <c r="K668" s="2147"/>
      <c r="L668" s="2147">
        <f>L613</f>
        <v>0</v>
      </c>
      <c r="M668" s="2154"/>
    </row>
    <row r="669" spans="2:13">
      <c r="B669" s="44"/>
      <c r="H669" s="2153"/>
      <c r="I669" s="2153"/>
      <c r="J669" s="1145"/>
      <c r="K669" s="1145"/>
      <c r="L669" s="1145"/>
      <c r="M669" s="1146"/>
    </row>
    <row r="670" spans="2:13" ht="13.1">
      <c r="B670" s="44"/>
      <c r="D670">
        <f>Summary!$F$32</f>
        <v>0</v>
      </c>
      <c r="F670" s="1819" t="str">
        <f>F615</f>
        <v xml:space="preserve"> </v>
      </c>
      <c r="G670" s="1819"/>
      <c r="H670" s="2137">
        <f>H615</f>
        <v>0</v>
      </c>
      <c r="I670" s="2137"/>
      <c r="J670" s="2137">
        <f>J615</f>
        <v>0</v>
      </c>
      <c r="K670" s="2137"/>
      <c r="L670" s="2137">
        <f>L615</f>
        <v>0</v>
      </c>
      <c r="M670" s="2155"/>
    </row>
    <row r="671" spans="2:13" ht="13.1">
      <c r="B671" s="44"/>
      <c r="D671">
        <f>D616</f>
        <v>0</v>
      </c>
      <c r="F671" s="1819" t="str">
        <f>F616</f>
        <v xml:space="preserve"> </v>
      </c>
      <c r="G671" s="1819"/>
      <c r="H671" s="1737">
        <f>H616</f>
        <v>0</v>
      </c>
      <c r="I671" s="1737"/>
      <c r="J671" s="1737">
        <f>J616</f>
        <v>0</v>
      </c>
      <c r="K671" s="1737"/>
      <c r="L671" s="1737">
        <f>L616</f>
        <v>0</v>
      </c>
      <c r="M671" s="1791"/>
    </row>
    <row r="672" spans="2:13">
      <c r="B672" s="44"/>
      <c r="M672" s="45"/>
    </row>
    <row r="673" spans="2:13" ht="13.75" thickBot="1">
      <c r="B673" s="46"/>
      <c r="C673" s="21"/>
      <c r="D673" s="21"/>
      <c r="E673" s="1664" t="s">
        <v>638</v>
      </c>
      <c r="F673" s="1664"/>
      <c r="G673" s="1664"/>
      <c r="H673" s="1664"/>
      <c r="I673" s="1664"/>
      <c r="J673" s="21"/>
      <c r="K673" s="21"/>
      <c r="L673" s="21"/>
      <c r="M673" s="47"/>
    </row>
    <row r="674" spans="2:13" s="518" customFormat="1" ht="16.100000000000001" thickBot="1">
      <c r="B674" s="651"/>
      <c r="C674" s="484"/>
      <c r="D674" s="484"/>
      <c r="E674" s="484"/>
      <c r="F674" s="484"/>
      <c r="G674" s="484"/>
      <c r="H674" s="484"/>
      <c r="I674" s="2138" t="s">
        <v>61</v>
      </c>
      <c r="J674" s="2139"/>
      <c r="K674" s="2139"/>
      <c r="L674" s="2139"/>
      <c r="M674" s="2140"/>
    </row>
    <row r="675" spans="2:13" s="518" customFormat="1" ht="16.100000000000001" thickBot="1">
      <c r="B675" s="652"/>
      <c r="C675" s="484"/>
      <c r="D675" s="484"/>
      <c r="E675" s="484"/>
      <c r="F675" s="484"/>
      <c r="G675" s="484"/>
      <c r="H675" s="484"/>
      <c r="I675" s="2141" t="str">
        <f>I620</f>
        <v>Service</v>
      </c>
      <c r="J675" s="2141"/>
      <c r="K675" s="1159" t="s">
        <v>62</v>
      </c>
      <c r="L675" s="2144" t="s">
        <v>1454</v>
      </c>
      <c r="M675" s="2144"/>
    </row>
    <row r="676" spans="2:13" s="518" customFormat="1" ht="16.100000000000001" thickBot="1">
      <c r="B676" s="652"/>
      <c r="C676" s="484"/>
      <c r="D676" s="484"/>
      <c r="E676" s="484"/>
      <c r="F676" s="484"/>
      <c r="G676" s="484"/>
      <c r="H676" s="484"/>
      <c r="I676" s="2145" t="s">
        <v>1538</v>
      </c>
      <c r="J676" s="2146"/>
      <c r="K676" s="1160">
        <f>IF(L676&lt;&gt;0," ",0)</f>
        <v>0</v>
      </c>
      <c r="L676" s="2156">
        <f>SUM('Cost Control'!G85:G94)</f>
        <v>0</v>
      </c>
      <c r="M676" s="2157"/>
    </row>
    <row r="677" spans="2:13" s="518" customFormat="1" ht="16.100000000000001" thickBot="1">
      <c r="B677" s="652"/>
      <c r="C677" s="484"/>
      <c r="D677" s="484"/>
      <c r="E677" s="484"/>
      <c r="F677" s="484"/>
      <c r="G677" s="484"/>
      <c r="H677" s="484"/>
      <c r="I677" s="2145" t="s">
        <v>1539</v>
      </c>
      <c r="J677" s="2146"/>
      <c r="K677" s="1161">
        <f>IF(L677&lt;&gt;0,'Cost Control'!A131,0)</f>
        <v>0</v>
      </c>
      <c r="L677" s="2151">
        <f>SUM('Cost Control'!G131:G136)</f>
        <v>0</v>
      </c>
      <c r="M677" s="2152"/>
    </row>
    <row r="678" spans="2:13" s="518" customFormat="1" ht="16.100000000000001" thickBot="1">
      <c r="B678" s="652"/>
      <c r="C678" s="484"/>
      <c r="D678" s="484"/>
      <c r="E678" s="484"/>
      <c r="F678" s="484"/>
      <c r="G678" s="484"/>
      <c r="H678" s="484"/>
      <c r="I678" s="2145" t="s">
        <v>903</v>
      </c>
      <c r="J678" s="2146"/>
      <c r="K678" s="1161">
        <f>IF(L678&lt;&gt;0,'Cost Control'!A118,0)</f>
        <v>0</v>
      </c>
      <c r="L678" s="2151">
        <f>SUM('Cost Control'!G118:G129)</f>
        <v>0</v>
      </c>
      <c r="M678" s="2152"/>
    </row>
    <row r="679" spans="2:13" s="518" customFormat="1" ht="16.100000000000001" thickBot="1">
      <c r="B679" s="652"/>
      <c r="C679" s="484"/>
      <c r="D679" s="484"/>
      <c r="E679" s="484"/>
      <c r="F679" s="484"/>
      <c r="G679" s="484"/>
      <c r="H679" s="484"/>
      <c r="I679" s="2145" t="s">
        <v>1540</v>
      </c>
      <c r="J679" s="2146"/>
      <c r="K679" s="1161" t="str">
        <f>IF(L679&lt;&gt;0,'Cost Control'!A138," ")</f>
        <v xml:space="preserve"> </v>
      </c>
      <c r="L679" s="2151">
        <f>SUM('Cost Control'!G138:G144)</f>
        <v>0</v>
      </c>
      <c r="M679" s="2152"/>
    </row>
    <row r="680" spans="2:13" s="518" customFormat="1" ht="15.45">
      <c r="B680" s="652"/>
      <c r="C680" s="484"/>
      <c r="D680" s="484"/>
      <c r="E680" s="484"/>
      <c r="F680" s="484"/>
      <c r="G680" s="484"/>
      <c r="H680" s="484"/>
      <c r="I680" s="2145" t="s">
        <v>1451</v>
      </c>
      <c r="J680" s="2146"/>
      <c r="K680" s="1161">
        <f>IF(L680&lt;&gt;0,'Cost Control'!A146,0)</f>
        <v>0</v>
      </c>
      <c r="L680" s="2151">
        <f>SUM('Cost Control'!G146:G151)</f>
        <v>0</v>
      </c>
      <c r="M680" s="2152"/>
    </row>
    <row r="681" spans="2:13" s="518" customFormat="1" ht="15.45">
      <c r="B681" s="652"/>
      <c r="C681" s="484"/>
      <c r="D681" s="484"/>
      <c r="E681" s="484"/>
      <c r="F681" s="484"/>
      <c r="G681" s="484"/>
      <c r="H681" s="484"/>
      <c r="I681" s="2148" t="str">
        <f>IF(L681&lt;&gt;0,'Cost Control'!B96," ")</f>
        <v xml:space="preserve"> </v>
      </c>
      <c r="J681" s="2149"/>
      <c r="K681" s="1161">
        <f>IF(L681&lt;&gt;0,'Cost Control'!A96,0)</f>
        <v>0</v>
      </c>
      <c r="L681" s="2151">
        <f>'Cost Control'!G96</f>
        <v>0</v>
      </c>
      <c r="M681" s="2152"/>
    </row>
    <row r="682" spans="2:13" s="518" customFormat="1" ht="15.45">
      <c r="B682" s="652"/>
      <c r="C682" s="484"/>
      <c r="D682" s="484"/>
      <c r="E682" s="484"/>
      <c r="F682" s="484"/>
      <c r="G682" s="484"/>
      <c r="H682" s="484"/>
      <c r="I682" s="2148" t="str">
        <f>IF(L682&lt;&gt;0,'Cost Control'!B97," ")</f>
        <v xml:space="preserve"> </v>
      </c>
      <c r="J682" s="2149"/>
      <c r="K682" s="1161">
        <f>IF(L682&lt;&gt;0,'Cost Control'!A97,0)</f>
        <v>0</v>
      </c>
      <c r="L682" s="2151">
        <f>'Cost Control'!G97</f>
        <v>0</v>
      </c>
      <c r="M682" s="2152"/>
    </row>
    <row r="683" spans="2:13" s="518" customFormat="1" ht="15.45">
      <c r="B683" s="652"/>
      <c r="C683" s="484"/>
      <c r="D683" s="484"/>
      <c r="E683" s="484"/>
      <c r="F683" s="484"/>
      <c r="G683" s="484"/>
      <c r="H683" s="484"/>
      <c r="I683" s="2148" t="str">
        <f>IF(L683&lt;&gt;0,'Cost Control'!B98," ")</f>
        <v xml:space="preserve"> </v>
      </c>
      <c r="J683" s="2149"/>
      <c r="K683" s="1161">
        <f>IF(L683&lt;&gt;0,'Cost Control'!A98,0)</f>
        <v>0</v>
      </c>
      <c r="L683" s="2151">
        <f>'Cost Control'!G98</f>
        <v>0</v>
      </c>
      <c r="M683" s="2152"/>
    </row>
    <row r="684" spans="2:13" s="518" customFormat="1" ht="15.45">
      <c r="B684" s="652"/>
      <c r="C684" s="484"/>
      <c r="D684" s="484"/>
      <c r="E684" s="484"/>
      <c r="F684" s="484"/>
      <c r="G684" s="484"/>
      <c r="H684" s="484"/>
      <c r="I684" s="2148" t="str">
        <f>IF(L684&lt;&gt;0,'Cost Control'!B99," ")</f>
        <v xml:space="preserve"> </v>
      </c>
      <c r="J684" s="2149"/>
      <c r="K684" s="1161">
        <f>IF(L684&lt;&gt;0,'Cost Control'!A99,0)</f>
        <v>0</v>
      </c>
      <c r="L684" s="2151">
        <f>'Cost Control'!G99</f>
        <v>0</v>
      </c>
      <c r="M684" s="2152"/>
    </row>
    <row r="685" spans="2:13" s="518" customFormat="1" ht="15.45">
      <c r="B685" s="652"/>
      <c r="C685" s="484"/>
      <c r="D685" s="484"/>
      <c r="E685" s="484"/>
      <c r="F685" s="484"/>
      <c r="G685" s="484"/>
      <c r="H685" s="484"/>
      <c r="I685" s="2148" t="str">
        <f>IF(L685&lt;&gt;0,'Cost Control'!B100," ")</f>
        <v xml:space="preserve"> </v>
      </c>
      <c r="J685" s="2149"/>
      <c r="K685" s="1161">
        <f>IF(L685&lt;&gt;0,'Cost Control'!A100,0)</f>
        <v>0</v>
      </c>
      <c r="L685" s="2151">
        <f>'Cost Control'!G100</f>
        <v>0</v>
      </c>
      <c r="M685" s="2152"/>
    </row>
    <row r="686" spans="2:13" s="518" customFormat="1" ht="15.45">
      <c r="B686" s="652"/>
      <c r="C686" s="484"/>
      <c r="D686" s="484"/>
      <c r="E686" s="484"/>
      <c r="F686" s="484"/>
      <c r="G686" s="484"/>
      <c r="H686" s="484"/>
      <c r="I686" s="2148" t="str">
        <f>IF(L686&lt;&gt;0,'Cost Control'!B101," ")</f>
        <v xml:space="preserve"> </v>
      </c>
      <c r="J686" s="2149"/>
      <c r="K686" s="1161">
        <f>IF(L686&lt;&gt;0,'Cost Control'!A101,0)</f>
        <v>0</v>
      </c>
      <c r="L686" s="2151">
        <f>'Cost Control'!G101</f>
        <v>0</v>
      </c>
      <c r="M686" s="2152"/>
    </row>
    <row r="687" spans="2:13" s="518" customFormat="1" ht="15.45">
      <c r="B687" s="652"/>
      <c r="C687" s="484"/>
      <c r="D687" s="484"/>
      <c r="E687" s="484"/>
      <c r="F687" s="484"/>
      <c r="G687" s="484"/>
      <c r="H687" s="484"/>
      <c r="I687" s="2148" t="str">
        <f>IF(L687&lt;&gt;0,'Cost Control'!B102," ")</f>
        <v xml:space="preserve"> </v>
      </c>
      <c r="J687" s="2149"/>
      <c r="K687" s="1161">
        <f>IF(L687&lt;&gt;0,'Cost Control'!A102,0)</f>
        <v>0</v>
      </c>
      <c r="L687" s="2151">
        <f>'Cost Control'!G102</f>
        <v>0</v>
      </c>
      <c r="M687" s="2152"/>
    </row>
    <row r="688" spans="2:13" s="518" customFormat="1" ht="15.45">
      <c r="B688" s="652"/>
      <c r="C688" s="484"/>
      <c r="D688" s="484"/>
      <c r="E688" s="484"/>
      <c r="F688" s="484"/>
      <c r="G688" s="484"/>
      <c r="H688" s="484"/>
      <c r="I688" s="2148" t="str">
        <f>IF(L688&lt;&gt;0,'Cost Control'!B103," ")</f>
        <v xml:space="preserve"> </v>
      </c>
      <c r="J688" s="2149"/>
      <c r="K688" s="1161">
        <f>IF(L688&lt;&gt;0,'Cost Control'!A103,0)</f>
        <v>0</v>
      </c>
      <c r="L688" s="2151">
        <f>'Cost Control'!G103</f>
        <v>0</v>
      </c>
      <c r="M688" s="2152"/>
    </row>
    <row r="689" spans="2:13" s="518" customFormat="1" ht="15.45">
      <c r="B689" s="652"/>
      <c r="C689" s="484"/>
      <c r="D689" s="484"/>
      <c r="E689" s="484"/>
      <c r="F689" s="484"/>
      <c r="G689" s="484"/>
      <c r="H689" s="484"/>
      <c r="I689" s="2148" t="str">
        <f>IF(L689&lt;&gt;0,'Cost Control'!B104," ")</f>
        <v xml:space="preserve"> </v>
      </c>
      <c r="J689" s="2149"/>
      <c r="K689" s="1161">
        <f>IF(L689&lt;&gt;0,'Cost Control'!A104,0)</f>
        <v>0</v>
      </c>
      <c r="L689" s="2151">
        <f>'Cost Control'!G104</f>
        <v>0</v>
      </c>
      <c r="M689" s="2152"/>
    </row>
    <row r="690" spans="2:13" s="518" customFormat="1" ht="15.45">
      <c r="B690" s="652"/>
      <c r="C690" s="484"/>
      <c r="D690" s="484"/>
      <c r="E690" s="484"/>
      <c r="F690" s="484"/>
      <c r="G690" s="484"/>
      <c r="H690" s="484"/>
      <c r="I690" s="2148" t="str">
        <f>IF(L690&lt;&gt;0,'Cost Control'!B105," ")</f>
        <v xml:space="preserve"> </v>
      </c>
      <c r="J690" s="2149"/>
      <c r="K690" s="1161">
        <f>IF(L690&lt;&gt;0,'Cost Control'!A105,0)</f>
        <v>0</v>
      </c>
      <c r="L690" s="2151">
        <f>'Cost Control'!G105</f>
        <v>0</v>
      </c>
      <c r="M690" s="2152"/>
    </row>
    <row r="691" spans="2:13" s="518" customFormat="1" ht="15.45">
      <c r="B691" s="652"/>
      <c r="C691" s="484"/>
      <c r="D691" s="484"/>
      <c r="E691" s="484"/>
      <c r="F691" s="484"/>
      <c r="G691" s="484"/>
      <c r="H691" s="484"/>
      <c r="I691" s="2148" t="str">
        <f>IF(L691&lt;&gt;0,'Cost Control'!B106," ")</f>
        <v xml:space="preserve"> </v>
      </c>
      <c r="J691" s="2149"/>
      <c r="K691" s="1161">
        <f>IF(L691&lt;&gt;0,'Cost Control'!A106,0)</f>
        <v>0</v>
      </c>
      <c r="L691" s="2151">
        <f>'Cost Control'!G106</f>
        <v>0</v>
      </c>
      <c r="M691" s="2152"/>
    </row>
    <row r="692" spans="2:13" s="518" customFormat="1" ht="15.45">
      <c r="B692" s="652"/>
      <c r="C692" s="484"/>
      <c r="D692" s="484"/>
      <c r="E692" s="484"/>
      <c r="F692" s="484"/>
      <c r="G692" s="484"/>
      <c r="H692" s="484"/>
      <c r="I692" s="2148" t="str">
        <f>IF(L692&lt;&gt;0,'Cost Control'!B107," ")</f>
        <v xml:space="preserve"> </v>
      </c>
      <c r="J692" s="2149"/>
      <c r="K692" s="1161">
        <f>IF(L692&lt;&gt;0,'Cost Control'!A107,0)</f>
        <v>0</v>
      </c>
      <c r="L692" s="2151">
        <f>'Cost Control'!G107</f>
        <v>0</v>
      </c>
      <c r="M692" s="2152"/>
    </row>
    <row r="693" spans="2:13" s="518" customFormat="1" ht="15.45">
      <c r="B693" s="652"/>
      <c r="C693" s="484"/>
      <c r="D693" s="484"/>
      <c r="E693" s="484"/>
      <c r="F693" s="484"/>
      <c r="G693" s="484"/>
      <c r="H693" s="484"/>
      <c r="I693" s="2148" t="str">
        <f>IF(L693&lt;&gt;0,'Cost Control'!B108," ")</f>
        <v xml:space="preserve"> </v>
      </c>
      <c r="J693" s="2149"/>
      <c r="K693" s="1161">
        <f>IF(L693&lt;&gt;0,'Cost Control'!A108,0)</f>
        <v>0</v>
      </c>
      <c r="L693" s="2151">
        <f>'Cost Control'!G108</f>
        <v>0</v>
      </c>
      <c r="M693" s="2152"/>
    </row>
    <row r="694" spans="2:13" s="518" customFormat="1" ht="15.45">
      <c r="B694" s="652"/>
      <c r="C694" s="484"/>
      <c r="D694" s="484"/>
      <c r="E694" s="484"/>
      <c r="F694" s="484"/>
      <c r="G694" s="484"/>
      <c r="H694" s="484"/>
      <c r="I694" s="2148" t="str">
        <f>IF(L694&lt;&gt;0,'Cost Control'!B109," ")</f>
        <v xml:space="preserve"> </v>
      </c>
      <c r="J694" s="2149"/>
      <c r="K694" s="1161">
        <f>IF(L694&lt;&gt;0,'Cost Control'!A109,0)</f>
        <v>0</v>
      </c>
      <c r="L694" s="2151">
        <f>'Cost Control'!G109</f>
        <v>0</v>
      </c>
      <c r="M694" s="2152"/>
    </row>
    <row r="695" spans="2:13" s="518" customFormat="1" ht="15.45">
      <c r="B695" s="652"/>
      <c r="C695" s="484"/>
      <c r="D695" s="484"/>
      <c r="E695" s="484"/>
      <c r="F695" s="484"/>
      <c r="G695" s="484"/>
      <c r="H695" s="484"/>
      <c r="I695" s="2148" t="str">
        <f>IF(L695&lt;&gt;0,'Cost Control'!B110," ")</f>
        <v xml:space="preserve"> </v>
      </c>
      <c r="J695" s="2149"/>
      <c r="K695" s="1161">
        <f>IF(L695&lt;&gt;0,'Cost Control'!A110,0)</f>
        <v>0</v>
      </c>
      <c r="L695" s="2151">
        <f>'Cost Control'!G110</f>
        <v>0</v>
      </c>
      <c r="M695" s="2152"/>
    </row>
    <row r="696" spans="2:13" s="518" customFormat="1" ht="15.45">
      <c r="B696" s="652"/>
      <c r="C696" s="484"/>
      <c r="D696" s="484"/>
      <c r="E696" s="484"/>
      <c r="F696" s="484"/>
      <c r="G696" s="484"/>
      <c r="H696" s="484"/>
      <c r="I696" s="2148" t="str">
        <f>IF(L696&lt;&gt;0,'Cost Control'!B111," ")</f>
        <v xml:space="preserve"> </v>
      </c>
      <c r="J696" s="2149"/>
      <c r="K696" s="1161">
        <f>IF(L696&lt;&gt;0,'Cost Control'!A111,0)</f>
        <v>0</v>
      </c>
      <c r="L696" s="2151">
        <f>'Cost Control'!G111</f>
        <v>0</v>
      </c>
      <c r="M696" s="2152"/>
    </row>
    <row r="697" spans="2:13" s="518" customFormat="1" ht="15.45">
      <c r="B697" s="652"/>
      <c r="C697" s="484"/>
      <c r="D697" s="484"/>
      <c r="E697" s="484"/>
      <c r="F697" s="484"/>
      <c r="G697" s="484"/>
      <c r="H697" s="484"/>
      <c r="I697" s="2148" t="str">
        <f>IF(L697&lt;&gt;0,'Cost Control'!B112," ")</f>
        <v xml:space="preserve"> </v>
      </c>
      <c r="J697" s="2149"/>
      <c r="K697" s="1161">
        <f>IF(L697&lt;&gt;0,'Cost Control'!A112,0)</f>
        <v>0</v>
      </c>
      <c r="L697" s="2151">
        <f>'Cost Control'!G112</f>
        <v>0</v>
      </c>
      <c r="M697" s="2152"/>
    </row>
    <row r="698" spans="2:13" s="518" customFormat="1" ht="15.45">
      <c r="B698" s="652"/>
      <c r="C698" s="484"/>
      <c r="D698" s="484"/>
      <c r="E698" s="484"/>
      <c r="F698" s="484"/>
      <c r="G698" s="484"/>
      <c r="H698" s="484"/>
      <c r="I698" s="2148" t="str">
        <f>IF(L698&lt;&gt;0,'Cost Control'!B113," ")</f>
        <v xml:space="preserve"> </v>
      </c>
      <c r="J698" s="2149"/>
      <c r="K698" s="1161">
        <f>IF(L698&lt;&gt;0,'Cost Control'!A113,0)</f>
        <v>0</v>
      </c>
      <c r="L698" s="2151">
        <f>'Cost Control'!G113</f>
        <v>0</v>
      </c>
      <c r="M698" s="2152"/>
    </row>
    <row r="699" spans="2:13" s="518" customFormat="1" ht="15.45">
      <c r="B699" s="652"/>
      <c r="C699" s="484"/>
      <c r="D699" s="484"/>
      <c r="E699" s="484"/>
      <c r="F699" s="484"/>
      <c r="G699" s="484"/>
      <c r="H699" s="484"/>
      <c r="I699" s="2148" t="str">
        <f>IF(L699&lt;&gt;0,'Cost Control'!B114," ")</f>
        <v xml:space="preserve"> </v>
      </c>
      <c r="J699" s="2149"/>
      <c r="K699" s="1161">
        <f>IF(L699&lt;&gt;0,'Cost Control'!A114,0)</f>
        <v>0</v>
      </c>
      <c r="L699" s="2151">
        <f>'Cost Control'!G114</f>
        <v>0</v>
      </c>
      <c r="M699" s="2152"/>
    </row>
    <row r="700" spans="2:13" s="518" customFormat="1" ht="15.45">
      <c r="B700" s="652"/>
      <c r="C700" s="484"/>
      <c r="D700" s="484"/>
      <c r="E700" s="484"/>
      <c r="F700" s="484"/>
      <c r="G700" s="484"/>
      <c r="H700" s="484"/>
      <c r="I700" s="2148" t="str">
        <f>IF(L700&lt;&gt;0,'Cost Control'!B115," ")</f>
        <v xml:space="preserve"> </v>
      </c>
      <c r="J700" s="2149"/>
      <c r="K700" s="1161">
        <f>IF(L700&lt;&gt;0,'Cost Control'!A115,0)</f>
        <v>0</v>
      </c>
      <c r="L700" s="2151">
        <f>'Cost Control'!G115</f>
        <v>0</v>
      </c>
      <c r="M700" s="2152"/>
    </row>
    <row r="701" spans="2:13" s="518" customFormat="1" ht="15.45">
      <c r="B701" s="652"/>
      <c r="C701" s="484"/>
      <c r="D701" s="484"/>
      <c r="E701" s="484"/>
      <c r="F701" s="484"/>
      <c r="G701" s="484"/>
      <c r="H701" s="484"/>
      <c r="I701" s="2148" t="str">
        <f>IF(L701&lt;&gt;0,'Cost Control'!B116," ")</f>
        <v xml:space="preserve"> </v>
      </c>
      <c r="J701" s="2149"/>
      <c r="K701" s="1161">
        <f>IF(L701&lt;&gt;0,'Cost Control'!A116,0)</f>
        <v>0</v>
      </c>
      <c r="L701" s="2151">
        <f>'Cost Control'!G116</f>
        <v>0</v>
      </c>
      <c r="M701" s="2152"/>
    </row>
    <row r="702" spans="2:13" s="518" customFormat="1" ht="16.100000000000001" thickBot="1">
      <c r="B702" s="652"/>
      <c r="C702" s="484"/>
      <c r="D702" s="484"/>
      <c r="E702" s="484"/>
      <c r="F702" s="484"/>
      <c r="G702" s="484"/>
      <c r="H702" s="484"/>
      <c r="I702" s="2148" t="str">
        <f>IF(L702&lt;&gt;0,'Cost Control'!B117," ")</f>
        <v xml:space="preserve"> </v>
      </c>
      <c r="J702" s="2149"/>
      <c r="K702" s="1161">
        <f>IF(L702&lt;&gt;0,'Cost Control'!A117,0)</f>
        <v>0</v>
      </c>
      <c r="L702" s="2151">
        <f>'Cost Control'!G117</f>
        <v>0</v>
      </c>
      <c r="M702" s="2152"/>
    </row>
    <row r="703" spans="2:13" ht="13.1">
      <c r="B703" s="141" t="s">
        <v>695</v>
      </c>
      <c r="C703" s="50"/>
      <c r="D703" s="50"/>
      <c r="E703" s="2150">
        <f>K719</f>
        <v>13</v>
      </c>
      <c r="F703" s="2150"/>
      <c r="G703" s="50"/>
      <c r="H703" s="50"/>
      <c r="I703" s="50"/>
      <c r="J703" s="50"/>
      <c r="K703" s="50"/>
      <c r="L703" s="50"/>
      <c r="M703" s="43"/>
    </row>
    <row r="704" spans="2:13">
      <c r="B704" s="1628"/>
      <c r="C704" s="1629"/>
      <c r="D704" s="1629"/>
      <c r="E704" s="1629"/>
      <c r="F704" s="1629"/>
      <c r="G704" s="1629"/>
      <c r="H704" s="1629"/>
      <c r="I704" s="1629"/>
      <c r="J704" s="1629"/>
      <c r="K704" s="1629"/>
      <c r="L704" s="1629"/>
      <c r="M704" s="1630"/>
    </row>
    <row r="705" spans="2:13" ht="13.5" thickBot="1">
      <c r="B705" s="1480"/>
      <c r="C705" s="1479"/>
      <c r="D705" s="1479"/>
      <c r="E705" s="1479"/>
      <c r="F705" s="1479"/>
      <c r="G705" s="1479"/>
      <c r="H705" s="1631"/>
      <c r="I705" s="1631"/>
      <c r="J705" s="1631"/>
      <c r="K705" s="1631"/>
      <c r="L705" s="1631"/>
      <c r="M705" s="1555"/>
    </row>
    <row r="706" spans="2:13" ht="15.45">
      <c r="B706" s="307" t="s">
        <v>645</v>
      </c>
      <c r="C706" s="308"/>
      <c r="D706" s="2135">
        <f>D651</f>
        <v>0</v>
      </c>
      <c r="E706" s="2135"/>
      <c r="F706" s="309" t="s">
        <v>647</v>
      </c>
      <c r="G706" s="310">
        <f>G651</f>
        <v>0</v>
      </c>
      <c r="H706" s="172" t="s">
        <v>648</v>
      </c>
      <c r="I706" s="472">
        <v>0</v>
      </c>
      <c r="J706" s="2173" t="s">
        <v>650</v>
      </c>
      <c r="K706" s="2173"/>
      <c r="L706" s="1378"/>
      <c r="M706" s="486" t="str">
        <f>M651</f>
        <v>° F</v>
      </c>
    </row>
    <row r="707" spans="2:13">
      <c r="B707" s="44" t="s">
        <v>644</v>
      </c>
      <c r="E707" t="s">
        <v>655</v>
      </c>
      <c r="G707">
        <f>IF('Daily Load'!P236="Yes",Operations!D668,IF('Daily Load'!V236="Yes",Operations!D670,Operations!D671))</f>
        <v>0</v>
      </c>
      <c r="I707" s="195" t="s">
        <v>651</v>
      </c>
      <c r="L707" s="2170">
        <f>'Cost Control'!G152</f>
        <v>0</v>
      </c>
      <c r="M707" s="2171"/>
    </row>
    <row r="708" spans="2:13">
      <c r="B708" s="44"/>
      <c r="E708" s="223" t="s">
        <v>193</v>
      </c>
      <c r="F708" s="223" t="s">
        <v>194</v>
      </c>
      <c r="G708" s="223" t="str">
        <f>G653</f>
        <v>Other</v>
      </c>
      <c r="H708" s="1627" t="s">
        <v>587</v>
      </c>
      <c r="I708" s="31" t="s">
        <v>652</v>
      </c>
      <c r="L708" s="2170">
        <f>L654</f>
        <v>0</v>
      </c>
      <c r="M708" s="2171"/>
    </row>
    <row r="709" spans="2:13" ht="13.5" thickBot="1">
      <c r="B709" s="44" t="s">
        <v>643</v>
      </c>
      <c r="E709" s="361">
        <f>IF(E713&gt;0,E711-E713,E711+E712+E710)</f>
        <v>0</v>
      </c>
      <c r="F709" s="361">
        <f>IF(F713&gt;0,F711-F713,F711+F712+F710)</f>
        <v>0</v>
      </c>
      <c r="G709" s="361">
        <f>IF(G713&gt;0,G711-G713,G711+G712+G710)</f>
        <v>0</v>
      </c>
      <c r="H709" t="str">
        <f>H658</f>
        <v>bbl</v>
      </c>
      <c r="I709" s="31" t="s">
        <v>653</v>
      </c>
      <c r="L709" s="2163">
        <f>L707+L708</f>
        <v>0</v>
      </c>
      <c r="M709" s="2164"/>
    </row>
    <row r="710" spans="2:13" ht="13.5" thickTop="1">
      <c r="B710" s="311" t="s">
        <v>642</v>
      </c>
      <c r="E710" s="361">
        <f>IF('Daily Load'!P236="Yes",'Daily Load'!L231,IF('Daily Load'!V236="Yes",'Daily Load'!R231,'Daily Load'!X231))</f>
        <v>0</v>
      </c>
      <c r="F710" s="361">
        <f>IF('Daily Load'!P236="Yes",'Daily Load'!N231,IF('Daily Load'!V236="Yes",'Daily Load'!T231,'Daily Load'!Z231))</f>
        <v>0</v>
      </c>
      <c r="G710" s="361">
        <f>IF('Daily Load'!P236="Yes",'Daily Load'!P231,IF('Daily Load'!V236="Yes",'Daily Load'!V231,'Daily Load'!AB231))</f>
        <v>0</v>
      </c>
      <c r="H710" t="str">
        <f>H709</f>
        <v>bbl</v>
      </c>
      <c r="I710" s="31"/>
      <c r="L710" s="521"/>
      <c r="M710" s="522"/>
    </row>
    <row r="711" spans="2:13">
      <c r="B711" s="44" t="s">
        <v>641</v>
      </c>
      <c r="E711" s="361">
        <f>IF(G707=D9,'Daily Load'!F235+E656,IF(G707=G652,'Daily Load'!F235+E656,'Daily Load'!F235))</f>
        <v>0</v>
      </c>
      <c r="F711" s="361">
        <f>IF(G707=D9,'Daily Load'!H235+F656,IF(G707=G652,'Daily Load'!H235+F656,'Daily Load'!H235))</f>
        <v>0</v>
      </c>
      <c r="G711" s="361">
        <f>IF(G707=D9,'Daily Load'!J235+G656,IF(G707=G652,'Daily Load'!J235+G656,'Daily Load'!J235))</f>
        <v>0</v>
      </c>
      <c r="H711" t="str">
        <f>H710</f>
        <v>bbl</v>
      </c>
      <c r="I711" s="33" t="s">
        <v>654</v>
      </c>
      <c r="J711" s="19"/>
      <c r="K711" s="19"/>
      <c r="L711" s="2165">
        <f>L656</f>
        <v>0</v>
      </c>
      <c r="M711" s="2166"/>
    </row>
    <row r="712" spans="2:13">
      <c r="B712" s="44" t="s">
        <v>640</v>
      </c>
      <c r="E712" s="361">
        <f>IF('Daily Load'!P236="Yes",'Daily Load'!L233,IF('Daily Load'!V236="Yes",'Daily Load'!R233,'Daily Load'!X233))</f>
        <v>0</v>
      </c>
      <c r="F712" s="361">
        <f>IF('Daily Load'!P236="Yes",'Daily Load'!N233,IF('Daily Load'!V236="Yes",'Daily Load'!T233,'Daily Load'!Z233))</f>
        <v>0</v>
      </c>
      <c r="G712" s="361">
        <f>IF('Daily Load'!P236="Yes",'Daily Load'!P233,IF('Daily Load'!V236="Yes",'Daily Load'!V233,'Daily Load'!AB233))</f>
        <v>0</v>
      </c>
      <c r="H712" t="str">
        <f>H711</f>
        <v>bbl</v>
      </c>
      <c r="I712" s="2160" t="str">
        <f>I657</f>
        <v xml:space="preserve"> </v>
      </c>
      <c r="J712" s="2059"/>
      <c r="K712" s="2161"/>
      <c r="L712" s="2162" t="str">
        <f>L657</f>
        <v xml:space="preserve">0 </v>
      </c>
      <c r="M712" s="2155"/>
    </row>
    <row r="713" spans="2:13" ht="13.5" thickBot="1">
      <c r="B713" s="46" t="s">
        <v>639</v>
      </c>
      <c r="C713" s="21"/>
      <c r="D713" s="21"/>
      <c r="E713" s="380">
        <f>IF('Daily Load'!P236="Yes",'Daily Load'!L234,IF('Daily Load'!V236="Yes",'Daily Load'!R234,'Daily Load'!X234))</f>
        <v>0</v>
      </c>
      <c r="F713" s="380">
        <f>IF('Daily Load'!P236="Yes",'Daily Load'!N234,IF('Daily Load'!V236="Yes",'Daily Load'!T234,'Daily Load'!Z234))</f>
        <v>0</v>
      </c>
      <c r="G713" s="380">
        <f>IF('Daily Load'!P236="Yes",'Daily Load'!P234,IF('Daily Load'!V236="Yes",'Daily Load'!V234,'Daily Load'!AB234))</f>
        <v>0</v>
      </c>
      <c r="H713" s="21" t="str">
        <f>H712</f>
        <v>bbl</v>
      </c>
      <c r="I713" s="2167" t="s">
        <v>677</v>
      </c>
      <c r="J713" s="2168"/>
      <c r="K713" s="2169"/>
      <c r="L713" s="2167" t="s">
        <v>826</v>
      </c>
      <c r="M713" s="2172"/>
    </row>
    <row r="714" spans="2:13">
      <c r="B714" s="50"/>
      <c r="C714" s="50"/>
      <c r="D714" s="50"/>
      <c r="E714" s="1185"/>
      <c r="F714" s="1185"/>
      <c r="G714" s="1185"/>
      <c r="H714" s="50"/>
      <c r="I714" s="1186"/>
      <c r="J714" s="1186"/>
      <c r="K714" s="1186"/>
      <c r="L714" s="1186"/>
      <c r="M714" s="1186"/>
    </row>
    <row r="715" spans="2:13" ht="13.5" thickBot="1">
      <c r="B715" s="21"/>
      <c r="C715" s="21"/>
      <c r="D715" s="21"/>
      <c r="E715" s="21"/>
      <c r="F715" s="21"/>
      <c r="G715" s="21"/>
      <c r="H715" s="21"/>
      <c r="I715" s="21"/>
      <c r="J715" s="21"/>
      <c r="K715" s="21"/>
      <c r="L715" s="21"/>
      <c r="M715" s="21"/>
    </row>
    <row r="716" spans="2:13">
      <c r="B716" s="44"/>
      <c r="M716" s="45"/>
    </row>
    <row r="717" spans="2:13">
      <c r="B717" s="44"/>
      <c r="J717" s="2143">
        <f>J662</f>
        <v>0</v>
      </c>
      <c r="K717" s="2143"/>
      <c r="L717" s="2143"/>
      <c r="M717" s="45"/>
    </row>
    <row r="718" spans="2:13">
      <c r="B718" s="44"/>
      <c r="M718" s="45"/>
    </row>
    <row r="719" spans="2:13" ht="13.1">
      <c r="B719" s="137" t="s">
        <v>634</v>
      </c>
      <c r="C719">
        <f>Summary!$C$6</f>
        <v>0</v>
      </c>
      <c r="H719" s="22" t="s">
        <v>636</v>
      </c>
      <c r="I719" s="22"/>
      <c r="K719" s="2158">
        <f>'Cost Control'!H83</f>
        <v>13</v>
      </c>
      <c r="L719" s="2158"/>
      <c r="M719" s="2159"/>
    </row>
    <row r="720" spans="2:13" ht="13.1">
      <c r="B720" s="44"/>
      <c r="H720" s="22"/>
      <c r="I720" s="22"/>
      <c r="M720" s="45"/>
    </row>
    <row r="721" spans="2:13" ht="13.1">
      <c r="B721" s="137" t="s">
        <v>635</v>
      </c>
      <c r="D721" s="2136">
        <f>D666</f>
        <v>0</v>
      </c>
      <c r="E721" s="2136"/>
      <c r="F721" s="2136"/>
      <c r="G721" s="2136"/>
      <c r="H721" s="2136"/>
      <c r="I721" s="22" t="s">
        <v>637</v>
      </c>
      <c r="J721" s="3">
        <f>J666+1</f>
        <v>14</v>
      </c>
      <c r="M721" s="45"/>
    </row>
    <row r="722" spans="2:13" ht="13.1">
      <c r="B722" s="137"/>
      <c r="D722" s="2136"/>
      <c r="E722" s="2136"/>
      <c r="F722" s="2136"/>
      <c r="G722" s="2136"/>
      <c r="H722" s="2136"/>
      <c r="I722" t="s">
        <v>63</v>
      </c>
      <c r="J722" s="2142">
        <f>J667</f>
        <v>0</v>
      </c>
      <c r="K722" s="2143"/>
      <c r="M722" s="45"/>
    </row>
    <row r="723" spans="2:13" ht="13.1">
      <c r="B723" s="137" t="s">
        <v>146</v>
      </c>
      <c r="D723">
        <f>Summary!$C$32</f>
        <v>0</v>
      </c>
      <c r="F723" s="1819" t="str">
        <f>F668</f>
        <v>OPEN HOLE INTERVAL:</v>
      </c>
      <c r="G723" s="1819"/>
      <c r="H723" s="2147">
        <f>H668</f>
        <v>0</v>
      </c>
      <c r="I723" s="2147"/>
      <c r="J723" s="2147">
        <f>J668</f>
        <v>0</v>
      </c>
      <c r="K723" s="2147"/>
      <c r="L723" s="2147">
        <f>L668</f>
        <v>0</v>
      </c>
      <c r="M723" s="2154"/>
    </row>
    <row r="724" spans="2:13">
      <c r="B724" s="44"/>
      <c r="H724" s="2153"/>
      <c r="I724" s="2153"/>
      <c r="J724" s="1145"/>
      <c r="K724" s="1145"/>
      <c r="L724" s="1145"/>
      <c r="M724" s="1146"/>
    </row>
    <row r="725" spans="2:13" ht="13.1">
      <c r="B725" s="44"/>
      <c r="D725">
        <f>Summary!$F$32</f>
        <v>0</v>
      </c>
      <c r="F725" s="1819" t="str">
        <f>F670</f>
        <v xml:space="preserve"> </v>
      </c>
      <c r="G725" s="1819"/>
      <c r="H725" s="2137">
        <f>H670</f>
        <v>0</v>
      </c>
      <c r="I725" s="2137"/>
      <c r="J725" s="2137">
        <f>J670</f>
        <v>0</v>
      </c>
      <c r="K725" s="2137"/>
      <c r="L725" s="2137">
        <f>L670</f>
        <v>0</v>
      </c>
      <c r="M725" s="2155"/>
    </row>
    <row r="726" spans="2:13" ht="13.1">
      <c r="B726" s="44"/>
      <c r="D726">
        <f>D671</f>
        <v>0</v>
      </c>
      <c r="F726" s="1819" t="str">
        <f>F671</f>
        <v xml:space="preserve"> </v>
      </c>
      <c r="G726" s="1819"/>
      <c r="H726" s="1737">
        <f>H671</f>
        <v>0</v>
      </c>
      <c r="I726" s="1737"/>
      <c r="J726" s="1737">
        <f>J671</f>
        <v>0</v>
      </c>
      <c r="K726" s="1737"/>
      <c r="L726" s="1737">
        <f>L671</f>
        <v>0</v>
      </c>
      <c r="M726" s="1791"/>
    </row>
    <row r="727" spans="2:13">
      <c r="B727" s="44"/>
      <c r="M727" s="45"/>
    </row>
    <row r="728" spans="2:13" ht="13.75" thickBot="1">
      <c r="B728" s="46"/>
      <c r="C728" s="21"/>
      <c r="D728" s="21"/>
      <c r="E728" s="1664" t="s">
        <v>638</v>
      </c>
      <c r="F728" s="1664"/>
      <c r="G728" s="1664"/>
      <c r="H728" s="1664"/>
      <c r="I728" s="1664"/>
      <c r="J728" s="21"/>
      <c r="K728" s="21"/>
      <c r="L728" s="21"/>
      <c r="M728" s="47"/>
    </row>
    <row r="729" spans="2:13" s="518" customFormat="1" ht="16.100000000000001" thickBot="1">
      <c r="B729" s="651"/>
      <c r="C729" s="484"/>
      <c r="D729" s="484"/>
      <c r="E729" s="484"/>
      <c r="F729" s="484"/>
      <c r="G729" s="484"/>
      <c r="H729" s="484"/>
      <c r="I729" s="2138" t="s">
        <v>61</v>
      </c>
      <c r="J729" s="2139"/>
      <c r="K729" s="2139"/>
      <c r="L729" s="2139"/>
      <c r="M729" s="2140"/>
    </row>
    <row r="730" spans="2:13" s="518" customFormat="1" ht="16.100000000000001" thickBot="1">
      <c r="B730" s="652"/>
      <c r="C730" s="484"/>
      <c r="D730" s="484"/>
      <c r="E730" s="484"/>
      <c r="F730" s="484"/>
      <c r="G730" s="484"/>
      <c r="H730" s="484"/>
      <c r="I730" s="2141" t="str">
        <f>I675</f>
        <v>Service</v>
      </c>
      <c r="J730" s="2141"/>
      <c r="K730" s="1159" t="s">
        <v>62</v>
      </c>
      <c r="L730" s="2144" t="s">
        <v>1454</v>
      </c>
      <c r="M730" s="2144"/>
    </row>
    <row r="731" spans="2:13" s="518" customFormat="1" ht="16.100000000000001" thickBot="1">
      <c r="B731" s="652"/>
      <c r="C731" s="484"/>
      <c r="D731" s="484"/>
      <c r="E731" s="484"/>
      <c r="F731" s="484"/>
      <c r="G731" s="484"/>
      <c r="H731" s="484"/>
      <c r="I731" s="2145" t="s">
        <v>1538</v>
      </c>
      <c r="J731" s="2146"/>
      <c r="K731" s="1160">
        <f>IF(L731&lt;&gt;0," ",0)</f>
        <v>0</v>
      </c>
      <c r="L731" s="2156">
        <f>SUM('Cost Control'!H85:H94)</f>
        <v>0</v>
      </c>
      <c r="M731" s="2157"/>
    </row>
    <row r="732" spans="2:13" s="518" customFormat="1" ht="16.100000000000001" thickBot="1">
      <c r="B732" s="652"/>
      <c r="C732" s="484"/>
      <c r="D732" s="484"/>
      <c r="E732" s="484"/>
      <c r="F732" s="484"/>
      <c r="G732" s="484"/>
      <c r="H732" s="484"/>
      <c r="I732" s="2145" t="s">
        <v>1539</v>
      </c>
      <c r="J732" s="2146"/>
      <c r="K732" s="1161">
        <f>IF(L732&lt;&gt;0,'Cost Control'!A131,0)</f>
        <v>0</v>
      </c>
      <c r="L732" s="2151">
        <f>SUM('Cost Control'!H131:H136)</f>
        <v>0</v>
      </c>
      <c r="M732" s="2152"/>
    </row>
    <row r="733" spans="2:13" s="518" customFormat="1" ht="16.100000000000001" thickBot="1">
      <c r="B733" s="652"/>
      <c r="C733" s="484"/>
      <c r="D733" s="484"/>
      <c r="E733" s="484"/>
      <c r="F733" s="484"/>
      <c r="G733" s="484"/>
      <c r="H733" s="484"/>
      <c r="I733" s="2145" t="s">
        <v>903</v>
      </c>
      <c r="J733" s="2146"/>
      <c r="K733" s="1161">
        <f>IF(L733&lt;&gt;0,'Cost Control'!A118,0)</f>
        <v>0</v>
      </c>
      <c r="L733" s="2151">
        <f>SUM('Cost Control'!H118:H129)</f>
        <v>0</v>
      </c>
      <c r="M733" s="2152"/>
    </row>
    <row r="734" spans="2:13" s="518" customFormat="1" ht="16.100000000000001" thickBot="1">
      <c r="B734" s="652"/>
      <c r="C734" s="484"/>
      <c r="D734" s="484"/>
      <c r="E734" s="484"/>
      <c r="F734" s="484"/>
      <c r="G734" s="484"/>
      <c r="H734" s="484"/>
      <c r="I734" s="2145" t="s">
        <v>1540</v>
      </c>
      <c r="J734" s="2146"/>
      <c r="K734" s="1161" t="str">
        <f>IF(L734&lt;&gt;0,'Cost Control'!A138," ")</f>
        <v xml:space="preserve"> </v>
      </c>
      <c r="L734" s="2151">
        <f>SUM('Cost Control'!H138:H144)</f>
        <v>0</v>
      </c>
      <c r="M734" s="2152"/>
    </row>
    <row r="735" spans="2:13" s="518" customFormat="1" ht="15.45">
      <c r="B735" s="652"/>
      <c r="C735" s="484"/>
      <c r="D735" s="484"/>
      <c r="E735" s="484"/>
      <c r="F735" s="484"/>
      <c r="G735" s="484"/>
      <c r="H735" s="484"/>
      <c r="I735" s="2145" t="s">
        <v>1451</v>
      </c>
      <c r="J735" s="2146"/>
      <c r="K735" s="1161">
        <f>IF(L735&lt;&gt;0,'Cost Control'!A146,0)</f>
        <v>0</v>
      </c>
      <c r="L735" s="2151">
        <f>SUM('Cost Control'!H146:H151)</f>
        <v>0</v>
      </c>
      <c r="M735" s="2152"/>
    </row>
    <row r="736" spans="2:13" s="518" customFormat="1" ht="15.45">
      <c r="B736" s="652"/>
      <c r="C736" s="484"/>
      <c r="D736" s="484"/>
      <c r="E736" s="484"/>
      <c r="F736" s="484"/>
      <c r="G736" s="484"/>
      <c r="H736" s="484"/>
      <c r="I736" s="2148" t="str">
        <f>IF(L736&lt;&gt;0,'Cost Control'!B96," ")</f>
        <v xml:space="preserve"> </v>
      </c>
      <c r="J736" s="2149"/>
      <c r="K736" s="1161">
        <f>IF(L736&lt;&gt;0,'Cost Control'!A96,0)</f>
        <v>0</v>
      </c>
      <c r="L736" s="2151">
        <f>'Cost Control'!H96</f>
        <v>0</v>
      </c>
      <c r="M736" s="2152"/>
    </row>
    <row r="737" spans="2:13" s="518" customFormat="1" ht="15.45">
      <c r="B737" s="652"/>
      <c r="C737" s="484"/>
      <c r="D737" s="484"/>
      <c r="E737" s="484"/>
      <c r="F737" s="484"/>
      <c r="G737" s="484"/>
      <c r="H737" s="484"/>
      <c r="I737" s="2148" t="str">
        <f>IF(L737&lt;&gt;0,'Cost Control'!B97," ")</f>
        <v xml:space="preserve"> </v>
      </c>
      <c r="J737" s="2149"/>
      <c r="K737" s="1161">
        <f>IF(L737&lt;&gt;0,'Cost Control'!A97,0)</f>
        <v>0</v>
      </c>
      <c r="L737" s="2151">
        <f>'Cost Control'!H97</f>
        <v>0</v>
      </c>
      <c r="M737" s="2152"/>
    </row>
    <row r="738" spans="2:13" s="518" customFormat="1" ht="15.45">
      <c r="B738" s="652"/>
      <c r="C738" s="484"/>
      <c r="D738" s="484"/>
      <c r="E738" s="484"/>
      <c r="F738" s="484"/>
      <c r="G738" s="484"/>
      <c r="H738" s="484"/>
      <c r="I738" s="2148" t="str">
        <f>IF(L738&lt;&gt;0,'Cost Control'!B98," ")</f>
        <v xml:space="preserve"> </v>
      </c>
      <c r="J738" s="2149"/>
      <c r="K738" s="1161">
        <f>IF(L738&lt;&gt;0,'Cost Control'!A98,0)</f>
        <v>0</v>
      </c>
      <c r="L738" s="2151">
        <f>'Cost Control'!H98</f>
        <v>0</v>
      </c>
      <c r="M738" s="2152"/>
    </row>
    <row r="739" spans="2:13" s="518" customFormat="1" ht="15.45">
      <c r="B739" s="652"/>
      <c r="C739" s="484"/>
      <c r="D739" s="484"/>
      <c r="E739" s="484"/>
      <c r="F739" s="484"/>
      <c r="G739" s="484"/>
      <c r="H739" s="484"/>
      <c r="I739" s="2148" t="str">
        <f>IF(L739&lt;&gt;0,'Cost Control'!B99," ")</f>
        <v xml:space="preserve"> </v>
      </c>
      <c r="J739" s="2149"/>
      <c r="K739" s="1161">
        <f>IF(L739&lt;&gt;0,'Cost Control'!A99,0)</f>
        <v>0</v>
      </c>
      <c r="L739" s="2151">
        <f>'Cost Control'!H99</f>
        <v>0</v>
      </c>
      <c r="M739" s="2152"/>
    </row>
    <row r="740" spans="2:13" s="518" customFormat="1" ht="15.45">
      <c r="B740" s="652"/>
      <c r="C740" s="484"/>
      <c r="D740" s="484"/>
      <c r="E740" s="484"/>
      <c r="F740" s="484"/>
      <c r="G740" s="484"/>
      <c r="H740" s="484"/>
      <c r="I740" s="2148" t="str">
        <f>IF(L740&lt;&gt;0,'Cost Control'!B100," ")</f>
        <v xml:space="preserve"> </v>
      </c>
      <c r="J740" s="2149"/>
      <c r="K740" s="1161">
        <f>IF(L740&lt;&gt;0,'Cost Control'!A100,0)</f>
        <v>0</v>
      </c>
      <c r="L740" s="2151">
        <f>'Cost Control'!H100</f>
        <v>0</v>
      </c>
      <c r="M740" s="2152"/>
    </row>
    <row r="741" spans="2:13" s="518" customFormat="1" ht="15.45">
      <c r="B741" s="652"/>
      <c r="C741" s="484"/>
      <c r="D741" s="484"/>
      <c r="E741" s="484"/>
      <c r="F741" s="484"/>
      <c r="G741" s="484"/>
      <c r="H741" s="484"/>
      <c r="I741" s="2148" t="str">
        <f>IF(L741&lt;&gt;0,'Cost Control'!B101," ")</f>
        <v xml:space="preserve"> </v>
      </c>
      <c r="J741" s="2149"/>
      <c r="K741" s="1161">
        <f>IF(L741&lt;&gt;0,'Cost Control'!A101,0)</f>
        <v>0</v>
      </c>
      <c r="L741" s="2151">
        <f>'Cost Control'!H101</f>
        <v>0</v>
      </c>
      <c r="M741" s="2152"/>
    </row>
    <row r="742" spans="2:13" s="518" customFormat="1" ht="15.45">
      <c r="B742" s="652"/>
      <c r="C742" s="484"/>
      <c r="D742" s="484"/>
      <c r="E742" s="484"/>
      <c r="F742" s="484"/>
      <c r="G742" s="484"/>
      <c r="H742" s="484"/>
      <c r="I742" s="2148" t="str">
        <f>IF(L742&lt;&gt;0,'Cost Control'!B102," ")</f>
        <v xml:space="preserve"> </v>
      </c>
      <c r="J742" s="2149"/>
      <c r="K742" s="1161">
        <f>IF(L742&lt;&gt;0,'Cost Control'!A102,0)</f>
        <v>0</v>
      </c>
      <c r="L742" s="2151">
        <f>'Cost Control'!H102</f>
        <v>0</v>
      </c>
      <c r="M742" s="2152"/>
    </row>
    <row r="743" spans="2:13" s="518" customFormat="1" ht="15.45">
      <c r="B743" s="652"/>
      <c r="C743" s="484"/>
      <c r="D743" s="484"/>
      <c r="E743" s="484"/>
      <c r="F743" s="484"/>
      <c r="G743" s="484"/>
      <c r="H743" s="484"/>
      <c r="I743" s="2148" t="str">
        <f>IF(L743&lt;&gt;0,'Cost Control'!B103," ")</f>
        <v xml:space="preserve"> </v>
      </c>
      <c r="J743" s="2149"/>
      <c r="K743" s="1161">
        <f>IF(L743&lt;&gt;0,'Cost Control'!A103,0)</f>
        <v>0</v>
      </c>
      <c r="L743" s="2151">
        <f>'Cost Control'!H103</f>
        <v>0</v>
      </c>
      <c r="M743" s="2152"/>
    </row>
    <row r="744" spans="2:13" s="518" customFormat="1" ht="15.45">
      <c r="B744" s="652"/>
      <c r="C744" s="484"/>
      <c r="D744" s="484"/>
      <c r="E744" s="484"/>
      <c r="F744" s="484"/>
      <c r="G744" s="484"/>
      <c r="H744" s="484"/>
      <c r="I744" s="2148" t="str">
        <f>IF(L744&lt;&gt;0,'Cost Control'!B104," ")</f>
        <v xml:space="preserve"> </v>
      </c>
      <c r="J744" s="2149"/>
      <c r="K744" s="1161">
        <f>IF(L744&lt;&gt;0,'Cost Control'!A104,0)</f>
        <v>0</v>
      </c>
      <c r="L744" s="2151">
        <f>'Cost Control'!H104</f>
        <v>0</v>
      </c>
      <c r="M744" s="2152"/>
    </row>
    <row r="745" spans="2:13" s="518" customFormat="1" ht="15.45">
      <c r="B745" s="652"/>
      <c r="C745" s="484"/>
      <c r="D745" s="484"/>
      <c r="E745" s="484"/>
      <c r="F745" s="484"/>
      <c r="G745" s="484"/>
      <c r="H745" s="484"/>
      <c r="I745" s="2148" t="str">
        <f>IF(L745&lt;&gt;0,'Cost Control'!B105," ")</f>
        <v xml:space="preserve"> </v>
      </c>
      <c r="J745" s="2149"/>
      <c r="K745" s="1161">
        <f>IF(L745&lt;&gt;0,'Cost Control'!A105,0)</f>
        <v>0</v>
      </c>
      <c r="L745" s="2151">
        <f>'Cost Control'!H105</f>
        <v>0</v>
      </c>
      <c r="M745" s="2152"/>
    </row>
    <row r="746" spans="2:13" s="518" customFormat="1" ht="15.45">
      <c r="B746" s="652"/>
      <c r="C746" s="484"/>
      <c r="D746" s="484"/>
      <c r="E746" s="484"/>
      <c r="F746" s="484"/>
      <c r="G746" s="484"/>
      <c r="H746" s="484"/>
      <c r="I746" s="2148" t="str">
        <f>IF(L746&lt;&gt;0,'Cost Control'!B106," ")</f>
        <v xml:space="preserve"> </v>
      </c>
      <c r="J746" s="2149"/>
      <c r="K746" s="1161">
        <f>IF(L746&lt;&gt;0,'Cost Control'!A106,0)</f>
        <v>0</v>
      </c>
      <c r="L746" s="2151">
        <f>'Cost Control'!H106</f>
        <v>0</v>
      </c>
      <c r="M746" s="2152"/>
    </row>
    <row r="747" spans="2:13" s="518" customFormat="1" ht="15.45">
      <c r="B747" s="652"/>
      <c r="C747" s="484"/>
      <c r="D747" s="484"/>
      <c r="E747" s="484"/>
      <c r="F747" s="484"/>
      <c r="G747" s="484"/>
      <c r="H747" s="484"/>
      <c r="I747" s="2148" t="str">
        <f>IF(L747&lt;&gt;0,'Cost Control'!B107," ")</f>
        <v xml:space="preserve"> </v>
      </c>
      <c r="J747" s="2149"/>
      <c r="K747" s="1161">
        <f>IF(L747&lt;&gt;0,'Cost Control'!A107,0)</f>
        <v>0</v>
      </c>
      <c r="L747" s="2151">
        <f>'Cost Control'!H107</f>
        <v>0</v>
      </c>
      <c r="M747" s="2152"/>
    </row>
    <row r="748" spans="2:13" s="518" customFormat="1" ht="15.45">
      <c r="B748" s="652"/>
      <c r="C748" s="484"/>
      <c r="D748" s="484"/>
      <c r="E748" s="484"/>
      <c r="F748" s="484"/>
      <c r="G748" s="484"/>
      <c r="H748" s="484"/>
      <c r="I748" s="2148" t="str">
        <f>IF(L748&lt;&gt;0,'Cost Control'!B108," ")</f>
        <v xml:space="preserve"> </v>
      </c>
      <c r="J748" s="2149"/>
      <c r="K748" s="1161">
        <f>IF(L748&lt;&gt;0,'Cost Control'!A108,0)</f>
        <v>0</v>
      </c>
      <c r="L748" s="2151">
        <f>'Cost Control'!H108</f>
        <v>0</v>
      </c>
      <c r="M748" s="2152"/>
    </row>
    <row r="749" spans="2:13" s="518" customFormat="1" ht="15.45">
      <c r="B749" s="652"/>
      <c r="C749" s="484"/>
      <c r="D749" s="484"/>
      <c r="E749" s="484"/>
      <c r="F749" s="484"/>
      <c r="G749" s="484"/>
      <c r="H749" s="484"/>
      <c r="I749" s="2148" t="str">
        <f>IF(L749&lt;&gt;0,'Cost Control'!B109," ")</f>
        <v xml:space="preserve"> </v>
      </c>
      <c r="J749" s="2149"/>
      <c r="K749" s="1161">
        <f>IF(L749&lt;&gt;0,'Cost Control'!A109,0)</f>
        <v>0</v>
      </c>
      <c r="L749" s="2151">
        <f>'Cost Control'!H109</f>
        <v>0</v>
      </c>
      <c r="M749" s="2152"/>
    </row>
    <row r="750" spans="2:13" s="518" customFormat="1" ht="15.45">
      <c r="B750" s="652"/>
      <c r="C750" s="484"/>
      <c r="D750" s="484"/>
      <c r="E750" s="484"/>
      <c r="F750" s="484"/>
      <c r="G750" s="484"/>
      <c r="H750" s="484"/>
      <c r="I750" s="2148" t="str">
        <f>IF(L750&lt;&gt;0,'Cost Control'!B110," ")</f>
        <v xml:space="preserve"> </v>
      </c>
      <c r="J750" s="2149"/>
      <c r="K750" s="1161">
        <f>IF(L750&lt;&gt;0,'Cost Control'!A110,0)</f>
        <v>0</v>
      </c>
      <c r="L750" s="2151">
        <f>'Cost Control'!H110</f>
        <v>0</v>
      </c>
      <c r="M750" s="2152"/>
    </row>
    <row r="751" spans="2:13" s="518" customFormat="1" ht="15.45">
      <c r="B751" s="652"/>
      <c r="C751" s="484"/>
      <c r="D751" s="484"/>
      <c r="E751" s="484"/>
      <c r="F751" s="484"/>
      <c r="G751" s="484"/>
      <c r="H751" s="484"/>
      <c r="I751" s="2148" t="str">
        <f>IF(L751&lt;&gt;0,'Cost Control'!B111," ")</f>
        <v xml:space="preserve"> </v>
      </c>
      <c r="J751" s="2149"/>
      <c r="K751" s="1161">
        <f>IF(L751&lt;&gt;0,'Cost Control'!A111,0)</f>
        <v>0</v>
      </c>
      <c r="L751" s="2151">
        <f>'Cost Control'!H111</f>
        <v>0</v>
      </c>
      <c r="M751" s="2152"/>
    </row>
    <row r="752" spans="2:13" s="518" customFormat="1" ht="15.45">
      <c r="B752" s="652"/>
      <c r="C752" s="484"/>
      <c r="D752" s="484"/>
      <c r="E752" s="484"/>
      <c r="F752" s="484"/>
      <c r="G752" s="484"/>
      <c r="H752" s="484"/>
      <c r="I752" s="2148" t="str">
        <f>IF(L752&lt;&gt;0,'Cost Control'!B112," ")</f>
        <v xml:space="preserve"> </v>
      </c>
      <c r="J752" s="2149"/>
      <c r="K752" s="1161">
        <f>IF(L752&lt;&gt;0,'Cost Control'!A112,0)</f>
        <v>0</v>
      </c>
      <c r="L752" s="2151">
        <f>'Cost Control'!H112</f>
        <v>0</v>
      </c>
      <c r="M752" s="2152"/>
    </row>
    <row r="753" spans="2:13" s="518" customFormat="1" ht="15.45">
      <c r="B753" s="652"/>
      <c r="C753" s="484"/>
      <c r="D753" s="484"/>
      <c r="E753" s="484"/>
      <c r="F753" s="484"/>
      <c r="G753" s="484"/>
      <c r="H753" s="484"/>
      <c r="I753" s="2148" t="str">
        <f>IF(L753&lt;&gt;0,'Cost Control'!B113," ")</f>
        <v xml:space="preserve"> </v>
      </c>
      <c r="J753" s="2149"/>
      <c r="K753" s="1161">
        <f>IF(L753&lt;&gt;0,'Cost Control'!A113,0)</f>
        <v>0</v>
      </c>
      <c r="L753" s="2151">
        <f>'Cost Control'!H113</f>
        <v>0</v>
      </c>
      <c r="M753" s="2152"/>
    </row>
    <row r="754" spans="2:13" s="518" customFormat="1" ht="15.45">
      <c r="B754" s="652"/>
      <c r="C754" s="484"/>
      <c r="D754" s="484"/>
      <c r="E754" s="484"/>
      <c r="F754" s="484"/>
      <c r="G754" s="484"/>
      <c r="H754" s="484"/>
      <c r="I754" s="2148" t="str">
        <f>IF(L754&lt;&gt;0,'Cost Control'!B114," ")</f>
        <v xml:space="preserve"> </v>
      </c>
      <c r="J754" s="2149"/>
      <c r="K754" s="1161">
        <f>IF(L754&lt;&gt;0,'Cost Control'!A114,0)</f>
        <v>0</v>
      </c>
      <c r="L754" s="2151">
        <f>'Cost Control'!H114</f>
        <v>0</v>
      </c>
      <c r="M754" s="2152"/>
    </row>
    <row r="755" spans="2:13" s="518" customFormat="1" ht="15.45">
      <c r="B755" s="652"/>
      <c r="C755" s="484"/>
      <c r="D755" s="484"/>
      <c r="E755" s="484"/>
      <c r="F755" s="484"/>
      <c r="G755" s="484"/>
      <c r="H755" s="484"/>
      <c r="I755" s="2148" t="str">
        <f>IF(L755&lt;&gt;0,'Cost Control'!B115," ")</f>
        <v xml:space="preserve"> </v>
      </c>
      <c r="J755" s="2149"/>
      <c r="K755" s="1161">
        <f>IF(L755&lt;&gt;0,'Cost Control'!A115,0)</f>
        <v>0</v>
      </c>
      <c r="L755" s="2151">
        <f>'Cost Control'!H115</f>
        <v>0</v>
      </c>
      <c r="M755" s="2152"/>
    </row>
    <row r="756" spans="2:13" s="518" customFormat="1" ht="15.45">
      <c r="B756" s="652"/>
      <c r="C756" s="484"/>
      <c r="D756" s="484"/>
      <c r="E756" s="484"/>
      <c r="F756" s="484"/>
      <c r="G756" s="484"/>
      <c r="H756" s="484"/>
      <c r="I756" s="2148" t="str">
        <f>IF(L756&lt;&gt;0,'Cost Control'!B116," ")</f>
        <v xml:space="preserve"> </v>
      </c>
      <c r="J756" s="2149"/>
      <c r="K756" s="1161">
        <f>IF(L756&lt;&gt;0,'Cost Control'!A116,0)</f>
        <v>0</v>
      </c>
      <c r="L756" s="2151">
        <f>'Cost Control'!H116</f>
        <v>0</v>
      </c>
      <c r="M756" s="2152"/>
    </row>
    <row r="757" spans="2:13" s="518" customFormat="1" ht="16.100000000000001" thickBot="1">
      <c r="B757" s="652"/>
      <c r="C757" s="484"/>
      <c r="D757" s="484"/>
      <c r="E757" s="484"/>
      <c r="F757" s="484"/>
      <c r="G757" s="484"/>
      <c r="H757" s="484"/>
      <c r="I757" s="2148" t="str">
        <f>IF(L757&lt;&gt;0,'Cost Control'!B117," ")</f>
        <v xml:space="preserve"> </v>
      </c>
      <c r="J757" s="2149"/>
      <c r="K757" s="1161">
        <f>IF(L757&lt;&gt;0,'Cost Control'!A117,0)</f>
        <v>0</v>
      </c>
      <c r="L757" s="2151">
        <f>'Cost Control'!H117</f>
        <v>0</v>
      </c>
      <c r="M757" s="2152"/>
    </row>
    <row r="758" spans="2:13" ht="13.1">
      <c r="B758" s="141" t="s">
        <v>695</v>
      </c>
      <c r="C758" s="50"/>
      <c r="D758" s="50"/>
      <c r="E758" s="2150">
        <f>K774</f>
        <v>14</v>
      </c>
      <c r="F758" s="2150"/>
      <c r="G758" s="50"/>
      <c r="H758" s="50"/>
      <c r="I758" s="50"/>
      <c r="J758" s="50"/>
      <c r="K758" s="50"/>
      <c r="L758" s="50"/>
      <c r="M758" s="43"/>
    </row>
    <row r="759" spans="2:13">
      <c r="B759" s="1628"/>
      <c r="C759" s="1629"/>
      <c r="D759" s="1629"/>
      <c r="E759" s="1629"/>
      <c r="F759" s="1629"/>
      <c r="G759" s="1629"/>
      <c r="H759" s="1629"/>
      <c r="I759" s="1629"/>
      <c r="J759" s="1629"/>
      <c r="K759" s="1629"/>
      <c r="L759" s="1629"/>
      <c r="M759" s="1630"/>
    </row>
    <row r="760" spans="2:13" ht="13.5" thickBot="1">
      <c r="B760" s="1480"/>
      <c r="C760" s="1479"/>
      <c r="D760" s="1479"/>
      <c r="E760" s="1479"/>
      <c r="F760" s="1479"/>
      <c r="G760" s="1479"/>
      <c r="H760" s="1631"/>
      <c r="I760" s="1631"/>
      <c r="J760" s="1631"/>
      <c r="K760" s="1631"/>
      <c r="L760" s="1631"/>
      <c r="M760" s="1555"/>
    </row>
    <row r="761" spans="2:13" ht="15.45">
      <c r="B761" s="307" t="s">
        <v>645</v>
      </c>
      <c r="C761" s="308"/>
      <c r="D761" s="2135">
        <f>D706</f>
        <v>0</v>
      </c>
      <c r="E761" s="2135"/>
      <c r="F761" s="309" t="s">
        <v>647</v>
      </c>
      <c r="G761" s="310">
        <f>G706</f>
        <v>0</v>
      </c>
      <c r="H761" s="172" t="s">
        <v>648</v>
      </c>
      <c r="I761" s="472">
        <v>0</v>
      </c>
      <c r="J761" s="2173" t="s">
        <v>650</v>
      </c>
      <c r="K761" s="2173"/>
      <c r="L761" s="1378"/>
      <c r="M761" s="486" t="str">
        <f>M706</f>
        <v>° F</v>
      </c>
    </row>
    <row r="762" spans="2:13">
      <c r="B762" s="44" t="s">
        <v>644</v>
      </c>
      <c r="E762" t="s">
        <v>655</v>
      </c>
      <c r="G762">
        <f>IF('Daily Load'!P254="Yes",Operations!D723,IF('Daily Load'!V254="Yes",Operations!D725,Operations!D726))</f>
        <v>0</v>
      </c>
      <c r="I762" s="195" t="s">
        <v>651</v>
      </c>
      <c r="L762" s="2170">
        <f>'Cost Control'!H152</f>
        <v>0</v>
      </c>
      <c r="M762" s="2171"/>
    </row>
    <row r="763" spans="2:13">
      <c r="B763" s="44"/>
      <c r="E763" s="223" t="s">
        <v>193</v>
      </c>
      <c r="F763" s="223" t="s">
        <v>194</v>
      </c>
      <c r="G763" s="223" t="str">
        <f>G708</f>
        <v>Other</v>
      </c>
      <c r="H763" s="1627" t="s">
        <v>587</v>
      </c>
      <c r="I763" s="31" t="s">
        <v>652</v>
      </c>
      <c r="L763" s="2170">
        <f>L709</f>
        <v>0</v>
      </c>
      <c r="M763" s="2171"/>
    </row>
    <row r="764" spans="2:13" ht="13.5" thickBot="1">
      <c r="B764" s="44" t="s">
        <v>643</v>
      </c>
      <c r="E764" s="361">
        <f>IF(E768&gt;0,E766-E768,E766+E767+E765)</f>
        <v>0</v>
      </c>
      <c r="F764" s="361">
        <f>IF(F768&gt;0,F766-F768,F766+F767+F765)</f>
        <v>0</v>
      </c>
      <c r="G764" s="361">
        <f>IF(G768&gt;0,G766-G768,G766+G767+G765)</f>
        <v>0</v>
      </c>
      <c r="H764" t="str">
        <f>H713</f>
        <v>bbl</v>
      </c>
      <c r="I764" s="31" t="s">
        <v>653</v>
      </c>
      <c r="L764" s="2163">
        <f>L762+L763</f>
        <v>0</v>
      </c>
      <c r="M764" s="2164"/>
    </row>
    <row r="765" spans="2:13" ht="13.5" thickTop="1">
      <c r="B765" s="311" t="s">
        <v>642</v>
      </c>
      <c r="E765" s="361">
        <f>IF('Daily Load'!P254="Yes",'Daily Load'!L249,IF('Daily Load'!V254="Yes",'Daily Load'!R249,'Daily Load'!X249))</f>
        <v>0</v>
      </c>
      <c r="F765" s="361">
        <f>IF('Daily Load'!P254="Yes",'Daily Load'!N249,IF('Daily Load'!V254="Yes",'Daily Load'!T249,'Daily Load'!Z249))</f>
        <v>0</v>
      </c>
      <c r="G765" s="361">
        <f>IF('Daily Load'!P254="Yes",'Daily Load'!P249,IF('Daily Load'!V254="Yes",'Daily Load'!V249,'Daily Load'!AB249))</f>
        <v>0</v>
      </c>
      <c r="H765" t="str">
        <f>H764</f>
        <v>bbl</v>
      </c>
      <c r="I765" s="31"/>
      <c r="L765" s="521"/>
      <c r="M765" s="522"/>
    </row>
    <row r="766" spans="2:13">
      <c r="B766" s="44" t="s">
        <v>641</v>
      </c>
      <c r="E766" s="361">
        <f>IF(G762=D9,'Daily Load'!F253+E711,IF(G762=G707,'Daily Load'!F253+E711,'Daily Load'!F253))</f>
        <v>0</v>
      </c>
      <c r="F766" s="361">
        <f>IF(G762=D9,'Daily Load'!H253+F711,IF(G762=G707,'Daily Load'!H253+F711,'Daily Load'!H253))</f>
        <v>0</v>
      </c>
      <c r="G766" s="361">
        <f>IF(G762=D9,'Daily Load'!J253+G711,IF(G762=G707,'Daily Load'!J253+G711,'Daily Load'!J253))</f>
        <v>0</v>
      </c>
      <c r="H766" t="str">
        <f>H765</f>
        <v>bbl</v>
      </c>
      <c r="I766" s="33" t="s">
        <v>654</v>
      </c>
      <c r="J766" s="19"/>
      <c r="K766" s="19"/>
      <c r="L766" s="2165">
        <f>L711</f>
        <v>0</v>
      </c>
      <c r="M766" s="2166"/>
    </row>
    <row r="767" spans="2:13">
      <c r="B767" s="44" t="s">
        <v>640</v>
      </c>
      <c r="E767" s="361">
        <f>IF('Daily Load'!P254="Yes",'Daily Load'!L251,IF('Daily Load'!V254="Yes",'Daily Load'!R251,'Daily Load'!X251))</f>
        <v>0</v>
      </c>
      <c r="F767" s="361">
        <f>IF('Daily Load'!P254="Yes",'Daily Load'!N251,IF('Daily Load'!V254="Yes",'Daily Load'!T251,'Daily Load'!Z251))</f>
        <v>0</v>
      </c>
      <c r="G767" s="361">
        <f>IF('Daily Load'!P254="Yes",'Daily Load'!P251,IF('Daily Load'!V254="Yes",'Daily Load'!V251,'Daily Load'!AB251))</f>
        <v>0</v>
      </c>
      <c r="H767" t="str">
        <f>H766</f>
        <v>bbl</v>
      </c>
      <c r="I767" s="2160" t="str">
        <f>I712</f>
        <v xml:space="preserve"> </v>
      </c>
      <c r="J767" s="2059"/>
      <c r="K767" s="2161"/>
      <c r="L767" s="2162" t="str">
        <f>L712</f>
        <v xml:space="preserve">0 </v>
      </c>
      <c r="M767" s="2155"/>
    </row>
    <row r="768" spans="2:13" ht="13.5" thickBot="1">
      <c r="B768" s="46" t="s">
        <v>639</v>
      </c>
      <c r="C768" s="21"/>
      <c r="D768" s="21"/>
      <c r="E768" s="380">
        <f>IF('Daily Load'!P254="Yes",'Daily Load'!L252,IF('Daily Load'!V254="Yes",'Daily Load'!R252,'Daily Load'!X252))</f>
        <v>0</v>
      </c>
      <c r="F768" s="380">
        <f>IF('Daily Load'!P254="Yes",'Daily Load'!N252,IF('Daily Load'!V254="Yes",'Daily Load'!T252,'Daily Load'!Z252))</f>
        <v>0</v>
      </c>
      <c r="G768" s="380">
        <f>IF('Daily Load'!P254="Yes",'Daily Load'!P252,IF('Daily Load'!V254="Yes",'Daily Load'!V252,'Daily Load'!AB252))</f>
        <v>0</v>
      </c>
      <c r="H768" s="21" t="str">
        <f>H767</f>
        <v>bbl</v>
      </c>
      <c r="I768" s="2167" t="s">
        <v>677</v>
      </c>
      <c r="J768" s="2168"/>
      <c r="K768" s="2169"/>
      <c r="L768" s="2167" t="s">
        <v>826</v>
      </c>
      <c r="M768" s="2172"/>
    </row>
    <row r="769" spans="2:13">
      <c r="B769" s="50"/>
      <c r="C769" s="50"/>
      <c r="D769" s="50"/>
      <c r="E769" s="1185"/>
      <c r="F769" s="1185"/>
      <c r="G769" s="1185"/>
      <c r="H769" s="50"/>
      <c r="I769" s="1186"/>
      <c r="J769" s="1186"/>
      <c r="K769" s="1186"/>
      <c r="L769" s="1186"/>
      <c r="M769" s="1186"/>
    </row>
    <row r="770" spans="2:13" ht="13.5" thickBot="1">
      <c r="B770" s="21"/>
      <c r="C770" s="21"/>
      <c r="D770" s="21"/>
      <c r="E770" s="21"/>
      <c r="F770" s="21"/>
      <c r="G770" s="21"/>
      <c r="H770" s="21"/>
      <c r="I770" s="21"/>
      <c r="J770" s="21"/>
      <c r="K770" s="21"/>
      <c r="L770" s="21"/>
      <c r="M770" s="21"/>
    </row>
    <row r="771" spans="2:13">
      <c r="B771" s="44"/>
      <c r="M771" s="45"/>
    </row>
    <row r="772" spans="2:13">
      <c r="B772" s="44"/>
      <c r="J772" s="2143">
        <f>J717</f>
        <v>0</v>
      </c>
      <c r="K772" s="2143"/>
      <c r="L772" s="2143"/>
      <c r="M772" s="45"/>
    </row>
    <row r="773" spans="2:13">
      <c r="B773" s="44"/>
      <c r="M773" s="45"/>
    </row>
    <row r="774" spans="2:13" ht="13.1">
      <c r="B774" s="137" t="s">
        <v>634</v>
      </c>
      <c r="C774">
        <f>Summary!$C$6</f>
        <v>0</v>
      </c>
      <c r="H774" s="22" t="s">
        <v>636</v>
      </c>
      <c r="I774" s="22"/>
      <c r="K774" s="2158">
        <f>'Cost Control'!I83</f>
        <v>14</v>
      </c>
      <c r="L774" s="2158"/>
      <c r="M774" s="2159"/>
    </row>
    <row r="775" spans="2:13" ht="13.1">
      <c r="B775" s="44"/>
      <c r="H775" s="22"/>
      <c r="I775" s="22"/>
      <c r="M775" s="45"/>
    </row>
    <row r="776" spans="2:13" ht="13.1">
      <c r="B776" s="137" t="s">
        <v>635</v>
      </c>
      <c r="D776" s="2136">
        <f>D721</f>
        <v>0</v>
      </c>
      <c r="E776" s="2136"/>
      <c r="F776" s="2136"/>
      <c r="G776" s="2136"/>
      <c r="H776" s="2136"/>
      <c r="I776" s="22" t="s">
        <v>637</v>
      </c>
      <c r="J776" s="3">
        <f>J721+1</f>
        <v>15</v>
      </c>
      <c r="M776" s="45"/>
    </row>
    <row r="777" spans="2:13" ht="13.1">
      <c r="B777" s="137"/>
      <c r="D777" s="2136"/>
      <c r="E777" s="2136"/>
      <c r="F777" s="2136"/>
      <c r="G777" s="2136"/>
      <c r="H777" s="2136"/>
      <c r="I777" t="s">
        <v>63</v>
      </c>
      <c r="J777" s="2142">
        <f>J722</f>
        <v>0</v>
      </c>
      <c r="K777" s="2143"/>
      <c r="M777" s="45"/>
    </row>
    <row r="778" spans="2:13" ht="13.1">
      <c r="B778" s="137" t="s">
        <v>146</v>
      </c>
      <c r="D778">
        <f>Summary!$C$32</f>
        <v>0</v>
      </c>
      <c r="F778" s="1819" t="str">
        <f>F723</f>
        <v>OPEN HOLE INTERVAL:</v>
      </c>
      <c r="G778" s="1819"/>
      <c r="H778" s="2147">
        <f>H723</f>
        <v>0</v>
      </c>
      <c r="I778" s="2147"/>
      <c r="J778" s="2147">
        <f>J723</f>
        <v>0</v>
      </c>
      <c r="K778" s="2147"/>
      <c r="L778" s="2147">
        <f>L723</f>
        <v>0</v>
      </c>
      <c r="M778" s="2154"/>
    </row>
    <row r="779" spans="2:13">
      <c r="B779" s="44"/>
      <c r="H779" s="2153"/>
      <c r="I779" s="2153"/>
      <c r="J779" s="1145"/>
      <c r="K779" s="1145"/>
      <c r="L779" s="1145"/>
      <c r="M779" s="1146"/>
    </row>
    <row r="780" spans="2:13" ht="13.1">
      <c r="B780" s="44"/>
      <c r="D780">
        <f>Summary!$F$32</f>
        <v>0</v>
      </c>
      <c r="F780" s="1819" t="str">
        <f>F725</f>
        <v xml:space="preserve"> </v>
      </c>
      <c r="G780" s="1819"/>
      <c r="H780" s="2137">
        <f>H725</f>
        <v>0</v>
      </c>
      <c r="I780" s="2137"/>
      <c r="J780" s="2137">
        <f>J725</f>
        <v>0</v>
      </c>
      <c r="K780" s="2137"/>
      <c r="L780" s="2137">
        <f>L725</f>
        <v>0</v>
      </c>
      <c r="M780" s="2155"/>
    </row>
    <row r="781" spans="2:13" ht="13.1">
      <c r="B781" s="44"/>
      <c r="D781">
        <f>D726</f>
        <v>0</v>
      </c>
      <c r="F781" s="1819" t="str">
        <f>F726</f>
        <v xml:space="preserve"> </v>
      </c>
      <c r="G781" s="1819"/>
      <c r="H781" s="1737">
        <f>H726</f>
        <v>0</v>
      </c>
      <c r="I781" s="1737"/>
      <c r="J781" s="1737">
        <f>J726</f>
        <v>0</v>
      </c>
      <c r="K781" s="1737"/>
      <c r="L781" s="1737">
        <f>L726</f>
        <v>0</v>
      </c>
      <c r="M781" s="1791"/>
    </row>
    <row r="782" spans="2:13">
      <c r="B782" s="44"/>
      <c r="M782" s="45"/>
    </row>
    <row r="783" spans="2:13" ht="13.75" thickBot="1">
      <c r="B783" s="46"/>
      <c r="C783" s="21"/>
      <c r="D783" s="21"/>
      <c r="E783" s="1664" t="s">
        <v>638</v>
      </c>
      <c r="F783" s="1664"/>
      <c r="G783" s="1664"/>
      <c r="H783" s="1664"/>
      <c r="I783" s="1664"/>
      <c r="J783" s="21"/>
      <c r="K783" s="21"/>
      <c r="L783" s="21"/>
      <c r="M783" s="47"/>
    </row>
    <row r="784" spans="2:13" s="518" customFormat="1" ht="16.100000000000001" thickBot="1">
      <c r="B784" s="651"/>
      <c r="C784" s="484"/>
      <c r="D784" s="484"/>
      <c r="E784" s="484"/>
      <c r="F784" s="484"/>
      <c r="G784" s="484"/>
      <c r="H784" s="484"/>
      <c r="I784" s="2138" t="s">
        <v>61</v>
      </c>
      <c r="J784" s="2139"/>
      <c r="K784" s="2139"/>
      <c r="L784" s="2139"/>
      <c r="M784" s="2140"/>
    </row>
    <row r="785" spans="2:13" s="518" customFormat="1" ht="16.100000000000001" thickBot="1">
      <c r="B785" s="652"/>
      <c r="C785" s="484"/>
      <c r="D785" s="484"/>
      <c r="E785" s="484"/>
      <c r="F785" s="484"/>
      <c r="G785" s="484"/>
      <c r="H785" s="484"/>
      <c r="I785" s="2141" t="str">
        <f>I730</f>
        <v>Service</v>
      </c>
      <c r="J785" s="2141"/>
      <c r="K785" s="1159" t="s">
        <v>62</v>
      </c>
      <c r="L785" s="2144" t="s">
        <v>1454</v>
      </c>
      <c r="M785" s="2144"/>
    </row>
    <row r="786" spans="2:13" s="518" customFormat="1" ht="16.100000000000001" thickBot="1">
      <c r="B786" s="652"/>
      <c r="C786" s="484"/>
      <c r="D786" s="484"/>
      <c r="E786" s="484"/>
      <c r="F786" s="484"/>
      <c r="G786" s="484"/>
      <c r="H786" s="484"/>
      <c r="I786" s="2145" t="s">
        <v>1538</v>
      </c>
      <c r="J786" s="2146"/>
      <c r="K786" s="1160">
        <f>IF(L786&lt;&gt;0," ",0)</f>
        <v>0</v>
      </c>
      <c r="L786" s="2156">
        <f>SUM('Cost Control'!I85:I94)</f>
        <v>0</v>
      </c>
      <c r="M786" s="2157"/>
    </row>
    <row r="787" spans="2:13" s="518" customFormat="1" ht="16.100000000000001" thickBot="1">
      <c r="B787" s="652"/>
      <c r="C787" s="484"/>
      <c r="D787" s="484"/>
      <c r="E787" s="484"/>
      <c r="F787" s="484"/>
      <c r="G787" s="484"/>
      <c r="H787" s="484"/>
      <c r="I787" s="2145" t="s">
        <v>1539</v>
      </c>
      <c r="J787" s="2146"/>
      <c r="K787" s="1161">
        <f>IF(L787&lt;&gt;0,'Cost Control'!A131,0)</f>
        <v>0</v>
      </c>
      <c r="L787" s="2151">
        <f>SUM('Cost Control'!I131:I136)</f>
        <v>0</v>
      </c>
      <c r="M787" s="2152"/>
    </row>
    <row r="788" spans="2:13" s="518" customFormat="1" ht="16.100000000000001" thickBot="1">
      <c r="B788" s="652"/>
      <c r="C788" s="484"/>
      <c r="D788" s="484"/>
      <c r="E788" s="484"/>
      <c r="F788" s="484"/>
      <c r="G788" s="484"/>
      <c r="H788" s="484"/>
      <c r="I788" s="2145" t="s">
        <v>903</v>
      </c>
      <c r="J788" s="2146"/>
      <c r="K788" s="1161">
        <f>IF(L788&lt;&gt;0,'Cost Control'!A118,0)</f>
        <v>0</v>
      </c>
      <c r="L788" s="2151">
        <f>SUM('Cost Control'!I118:I129)</f>
        <v>0</v>
      </c>
      <c r="M788" s="2152"/>
    </row>
    <row r="789" spans="2:13" s="518" customFormat="1" ht="16.100000000000001" thickBot="1">
      <c r="B789" s="652"/>
      <c r="C789" s="484"/>
      <c r="D789" s="484"/>
      <c r="E789" s="484"/>
      <c r="F789" s="484"/>
      <c r="G789" s="484"/>
      <c r="H789" s="484"/>
      <c r="I789" s="2145" t="s">
        <v>1540</v>
      </c>
      <c r="J789" s="2146"/>
      <c r="K789" s="1161" t="str">
        <f>IF(L789&lt;&gt;0,'Cost Control'!A138," ")</f>
        <v xml:space="preserve"> </v>
      </c>
      <c r="L789" s="2151">
        <f>SUM('Cost Control'!I138:I144)</f>
        <v>0</v>
      </c>
      <c r="M789" s="2152"/>
    </row>
    <row r="790" spans="2:13" s="518" customFormat="1" ht="15.45">
      <c r="B790" s="652"/>
      <c r="C790" s="484"/>
      <c r="D790" s="484"/>
      <c r="E790" s="484"/>
      <c r="F790" s="484"/>
      <c r="G790" s="484"/>
      <c r="H790" s="484"/>
      <c r="I790" s="2145" t="s">
        <v>1451</v>
      </c>
      <c r="J790" s="2146"/>
      <c r="K790" s="1161">
        <f>IF(L790&lt;&gt;0,'Cost Control'!A146,0)</f>
        <v>0</v>
      </c>
      <c r="L790" s="2151">
        <f>SUM('Cost Control'!I146:I151)</f>
        <v>0</v>
      </c>
      <c r="M790" s="2152"/>
    </row>
    <row r="791" spans="2:13" s="518" customFormat="1" ht="15.45">
      <c r="B791" s="652"/>
      <c r="C791" s="484"/>
      <c r="D791" s="484"/>
      <c r="E791" s="484"/>
      <c r="F791" s="484"/>
      <c r="G791" s="484"/>
      <c r="H791" s="484"/>
      <c r="I791" s="2148" t="str">
        <f>IF(L791&lt;&gt;0,'Cost Control'!B96," ")</f>
        <v xml:space="preserve"> </v>
      </c>
      <c r="J791" s="2149"/>
      <c r="K791" s="1161">
        <f>IF(L791&lt;&gt;0,'Cost Control'!A96,0)</f>
        <v>0</v>
      </c>
      <c r="L791" s="2151">
        <f>'Cost Control'!I96</f>
        <v>0</v>
      </c>
      <c r="M791" s="2152"/>
    </row>
    <row r="792" spans="2:13" s="518" customFormat="1" ht="15.45">
      <c r="B792" s="652"/>
      <c r="C792" s="484"/>
      <c r="D792" s="484"/>
      <c r="E792" s="484"/>
      <c r="F792" s="484"/>
      <c r="G792" s="484"/>
      <c r="H792" s="484"/>
      <c r="I792" s="2148" t="str">
        <f>IF(L792&lt;&gt;0,"E-Line/Slickline"," ")</f>
        <v xml:space="preserve"> </v>
      </c>
      <c r="J792" s="2149"/>
      <c r="K792" s="1161">
        <f>IF(L792&lt;&gt;0,'Cost Control'!A97,0)</f>
        <v>0</v>
      </c>
      <c r="L792" s="2151">
        <f>'Cost Control'!I97</f>
        <v>0</v>
      </c>
      <c r="M792" s="2152"/>
    </row>
    <row r="793" spans="2:13" s="518" customFormat="1" ht="15.45">
      <c r="B793" s="652"/>
      <c r="C793" s="484"/>
      <c r="D793" s="484"/>
      <c r="E793" s="484"/>
      <c r="F793" s="484"/>
      <c r="G793" s="484"/>
      <c r="H793" s="484"/>
      <c r="I793" s="2148" t="str">
        <f>IF(L793&lt;&gt;0,"Stimulation"," ")</f>
        <v xml:space="preserve"> </v>
      </c>
      <c r="J793" s="2149"/>
      <c r="K793" s="1161">
        <f>IF(L793&lt;&gt;0,'Cost Control'!A98,0)</f>
        <v>0</v>
      </c>
      <c r="L793" s="2151">
        <f>'Cost Control'!I98</f>
        <v>0</v>
      </c>
      <c r="M793" s="2152"/>
    </row>
    <row r="794" spans="2:13" s="518" customFormat="1" ht="15.45">
      <c r="B794" s="652"/>
      <c r="C794" s="484"/>
      <c r="D794" s="484"/>
      <c r="E794" s="484"/>
      <c r="F794" s="484"/>
      <c r="G794" s="484"/>
      <c r="H794" s="484"/>
      <c r="I794" s="2148" t="str">
        <f>IF(L794&lt;&gt;0,"Cementing"," ")</f>
        <v xml:space="preserve"> </v>
      </c>
      <c r="J794" s="2149"/>
      <c r="K794" s="1161">
        <f>IF(L794&lt;&gt;0,'Cost Control'!A99,0)</f>
        <v>0</v>
      </c>
      <c r="L794" s="2151">
        <f>'Cost Control'!I99</f>
        <v>0</v>
      </c>
      <c r="M794" s="2152"/>
    </row>
    <row r="795" spans="2:13" s="518" customFormat="1" ht="15.45">
      <c r="B795" s="652"/>
      <c r="C795" s="484"/>
      <c r="D795" s="484"/>
      <c r="E795" s="484"/>
      <c r="F795" s="484"/>
      <c r="G795" s="484"/>
      <c r="H795" s="484"/>
      <c r="I795" s="2148" t="str">
        <f>IF(L795&lt;&gt;0,"Coiled Tubing"," ")</f>
        <v xml:space="preserve"> </v>
      </c>
      <c r="J795" s="2149"/>
      <c r="K795" s="1161">
        <f>IF(L795&lt;&gt;0,'Cost Control'!A100,0)</f>
        <v>0</v>
      </c>
      <c r="L795" s="2151">
        <f>'Cost Control'!I100</f>
        <v>0</v>
      </c>
      <c r="M795" s="2152"/>
    </row>
    <row r="796" spans="2:13" s="518" customFormat="1" ht="15.45">
      <c r="B796" s="652"/>
      <c r="C796" s="484"/>
      <c r="D796" s="484"/>
      <c r="E796" s="484"/>
      <c r="F796" s="484"/>
      <c r="G796" s="484"/>
      <c r="H796" s="484"/>
      <c r="I796" s="2148" t="str">
        <f>IF(L796&lt;&gt;0,"Testing"," ")</f>
        <v xml:space="preserve"> </v>
      </c>
      <c r="J796" s="2149"/>
      <c r="K796" s="1161">
        <f>IF(L796&lt;&gt;0,'Cost Control'!A101,0)</f>
        <v>0</v>
      </c>
      <c r="L796" s="2151">
        <f>'Cost Control'!I101</f>
        <v>0</v>
      </c>
      <c r="M796" s="2152"/>
    </row>
    <row r="797" spans="2:13" s="518" customFormat="1" ht="15.45">
      <c r="B797" s="652"/>
      <c r="C797" s="484"/>
      <c r="D797" s="484"/>
      <c r="E797" s="484"/>
      <c r="F797" s="484"/>
      <c r="G797" s="484"/>
      <c r="H797" s="484"/>
      <c r="I797" s="2148" t="str">
        <f>IF(L797&lt;&gt;0,"Safety Equipment"," ")</f>
        <v xml:space="preserve"> </v>
      </c>
      <c r="J797" s="2149"/>
      <c r="K797" s="1161">
        <f>IF(L797&lt;&gt;0,'Cost Control'!A102,0)</f>
        <v>0</v>
      </c>
      <c r="L797" s="2151">
        <f>'Cost Control'!I102</f>
        <v>0</v>
      </c>
      <c r="M797" s="2152"/>
    </row>
    <row r="798" spans="2:13" s="518" customFormat="1" ht="15.45">
      <c r="B798" s="652"/>
      <c r="C798" s="484"/>
      <c r="D798" s="484"/>
      <c r="E798" s="484"/>
      <c r="F798" s="484"/>
      <c r="G798" s="484"/>
      <c r="H798" s="484"/>
      <c r="I798" s="2148" t="str">
        <f>IF(L798&lt;&gt;0,"Hot Oil Unit"," ")</f>
        <v xml:space="preserve"> </v>
      </c>
      <c r="J798" s="2149"/>
      <c r="K798" s="1161">
        <f>IF(L798&lt;&gt;0,'Cost Control'!A103,0)</f>
        <v>0</v>
      </c>
      <c r="L798" s="2151">
        <f>'Cost Control'!I103</f>
        <v>0</v>
      </c>
      <c r="M798" s="2152"/>
    </row>
    <row r="799" spans="2:13" s="518" customFormat="1" ht="15.45">
      <c r="B799" s="652"/>
      <c r="C799" s="484"/>
      <c r="D799" s="484"/>
      <c r="E799" s="484"/>
      <c r="F799" s="484"/>
      <c r="G799" s="484"/>
      <c r="H799" s="484"/>
      <c r="I799" s="2148" t="str">
        <f>IF( L799&lt;&gt;0,"Trucking/Transportation"," ")</f>
        <v xml:space="preserve"> </v>
      </c>
      <c r="J799" s="2149"/>
      <c r="K799" s="1161">
        <f>IF(L799&lt;&gt;0,'Cost Control'!A104,0)</f>
        <v>0</v>
      </c>
      <c r="L799" s="2151">
        <f>'Cost Control'!I104</f>
        <v>0</v>
      </c>
      <c r="M799" s="2152"/>
    </row>
    <row r="800" spans="2:13" s="518" customFormat="1" ht="15.45">
      <c r="B800" s="652"/>
      <c r="C800" s="484"/>
      <c r="D800" s="484"/>
      <c r="E800" s="484"/>
      <c r="F800" s="484"/>
      <c r="G800" s="484"/>
      <c r="H800" s="484"/>
      <c r="I800" s="2148" t="str">
        <f>IF(L800&lt;&gt;0,"Rental Equipment"," ")</f>
        <v xml:space="preserve"> </v>
      </c>
      <c r="J800" s="2149"/>
      <c r="K800" s="1161">
        <f>IF(L800&lt;&gt;0,'Cost Control'!A105,0)</f>
        <v>0</v>
      </c>
      <c r="L800" s="2151">
        <f>'Cost Control'!I105</f>
        <v>0</v>
      </c>
      <c r="M800" s="2152"/>
    </row>
    <row r="801" spans="2:13" s="518" customFormat="1" ht="15.45">
      <c r="B801" s="652"/>
      <c r="C801" s="484"/>
      <c r="D801" s="484"/>
      <c r="E801" s="484"/>
      <c r="F801" s="484"/>
      <c r="G801" s="484"/>
      <c r="H801" s="484"/>
      <c r="I801" s="2148" t="str">
        <f>IF(L801&lt;&gt;0,"Materials"," ")</f>
        <v xml:space="preserve"> </v>
      </c>
      <c r="J801" s="2149"/>
      <c r="K801" s="1161">
        <f>IF(L801&lt;&gt;0,'Cost Control'!A106,0)</f>
        <v>0</v>
      </c>
      <c r="L801" s="2151">
        <f>'Cost Control'!I106</f>
        <v>0</v>
      </c>
      <c r="M801" s="2152"/>
    </row>
    <row r="802" spans="2:13" s="518" customFormat="1" ht="15.45">
      <c r="B802" s="652"/>
      <c r="C802" s="484"/>
      <c r="D802" s="484"/>
      <c r="E802" s="484"/>
      <c r="F802" s="484"/>
      <c r="G802" s="484"/>
      <c r="H802" s="484"/>
      <c r="I802" s="2148" t="str">
        <f>IF(L802&lt;&gt;0,"Wellsite Supervision"," ")</f>
        <v xml:space="preserve"> </v>
      </c>
      <c r="J802" s="2149"/>
      <c r="K802" s="1161">
        <f>IF(L802&lt;&gt;0,'Cost Control'!A107,0)</f>
        <v>0</v>
      </c>
      <c r="L802" s="2151">
        <f>'Cost Control'!I107</f>
        <v>0</v>
      </c>
      <c r="M802" s="2152"/>
    </row>
    <row r="803" spans="2:13" s="518" customFormat="1" ht="15.45">
      <c r="B803" s="652"/>
      <c r="C803" s="484"/>
      <c r="D803" s="484"/>
      <c r="E803" s="484"/>
      <c r="F803" s="484"/>
      <c r="G803" s="484"/>
      <c r="H803" s="484"/>
      <c r="I803" s="2148" t="str">
        <f>IF(L803&lt;&gt;0,"Miscellaneous"," ")</f>
        <v xml:space="preserve"> </v>
      </c>
      <c r="J803" s="2149"/>
      <c r="K803" s="1161">
        <f>IF(L803&lt;&gt;0,'Cost Control'!A108,0)</f>
        <v>0</v>
      </c>
      <c r="L803" s="2151">
        <f>'Cost Control'!I108</f>
        <v>0</v>
      </c>
      <c r="M803" s="2152"/>
    </row>
    <row r="804" spans="2:13" s="518" customFormat="1" ht="15.45">
      <c r="B804" s="652"/>
      <c r="C804" s="484"/>
      <c r="D804" s="484"/>
      <c r="E804" s="484"/>
      <c r="F804" s="484"/>
      <c r="G804" s="484"/>
      <c r="H804" s="484"/>
      <c r="I804" s="2148" t="str">
        <f>IF(L804=0," ",'Cost Control'!B192)</f>
        <v xml:space="preserve"> </v>
      </c>
      <c r="J804" s="2149"/>
      <c r="K804" s="1161">
        <f>IF(L804&lt;&gt;0,'Cost Control'!A109,0)</f>
        <v>0</v>
      </c>
      <c r="L804" s="2151">
        <f>'Cost Control'!I109</f>
        <v>0</v>
      </c>
      <c r="M804" s="2152"/>
    </row>
    <row r="805" spans="2:13" s="518" customFormat="1" ht="15.45">
      <c r="B805" s="652"/>
      <c r="C805" s="484"/>
      <c r="D805" s="484"/>
      <c r="E805" s="484"/>
      <c r="F805" s="484"/>
      <c r="G805" s="484"/>
      <c r="H805" s="484"/>
      <c r="I805" s="2148" t="str">
        <f>IF(L805=0," ",'Cost Control'!B193)</f>
        <v xml:space="preserve"> </v>
      </c>
      <c r="J805" s="2149"/>
      <c r="K805" s="1161">
        <f>IF(L805&lt;&gt;0,'Cost Control'!A110,0)</f>
        <v>0</v>
      </c>
      <c r="L805" s="2151">
        <f>'Cost Control'!I110</f>
        <v>0</v>
      </c>
      <c r="M805" s="2152"/>
    </row>
    <row r="806" spans="2:13" s="518" customFormat="1" ht="15.45">
      <c r="B806" s="652"/>
      <c r="C806" s="484"/>
      <c r="D806" s="484"/>
      <c r="E806" s="484"/>
      <c r="F806" s="484"/>
      <c r="G806" s="484"/>
      <c r="H806" s="484"/>
      <c r="I806" s="2148" t="str">
        <f>IF(L806=0," ",'Cost Control'!B194)</f>
        <v xml:space="preserve"> </v>
      </c>
      <c r="J806" s="2149"/>
      <c r="K806" s="1161">
        <f>IF(L806&lt;&gt;0,'Cost Control'!A111,0)</f>
        <v>0</v>
      </c>
      <c r="L806" s="2151">
        <f>'Cost Control'!I111</f>
        <v>0</v>
      </c>
      <c r="M806" s="2152"/>
    </row>
    <row r="807" spans="2:13" s="518" customFormat="1" ht="15.45">
      <c r="B807" s="652"/>
      <c r="C807" s="484"/>
      <c r="D807" s="484"/>
      <c r="E807" s="484"/>
      <c r="F807" s="484"/>
      <c r="G807" s="484"/>
      <c r="H807" s="484"/>
      <c r="I807" s="2148"/>
      <c r="J807" s="2149"/>
      <c r="K807" s="1161">
        <f>IF(L807&lt;&gt;0,'Cost Control'!A112,0)</f>
        <v>0</v>
      </c>
      <c r="L807" s="2151">
        <f>'Cost Control'!I112</f>
        <v>0</v>
      </c>
      <c r="M807" s="2152"/>
    </row>
    <row r="808" spans="2:13" s="518" customFormat="1" ht="15.45">
      <c r="B808" s="652"/>
      <c r="C808" s="484"/>
      <c r="D808" s="484"/>
      <c r="E808" s="484"/>
      <c r="F808" s="484"/>
      <c r="G808" s="484"/>
      <c r="H808" s="484"/>
      <c r="I808" s="2148"/>
      <c r="J808" s="2149"/>
      <c r="K808" s="1161">
        <f>IF(L808&lt;&gt;0,'Cost Control'!A113,0)</f>
        <v>0</v>
      </c>
      <c r="L808" s="2151">
        <f>'Cost Control'!I113</f>
        <v>0</v>
      </c>
      <c r="M808" s="2152"/>
    </row>
    <row r="809" spans="2:13" s="518" customFormat="1" ht="15.45">
      <c r="B809" s="652"/>
      <c r="C809" s="484"/>
      <c r="D809" s="484"/>
      <c r="E809" s="484"/>
      <c r="F809" s="484"/>
      <c r="G809" s="484"/>
      <c r="H809" s="484"/>
      <c r="I809" s="2148"/>
      <c r="J809" s="2149"/>
      <c r="K809" s="1161">
        <f>IF(L809&lt;&gt;0,'Cost Control'!A114,0)</f>
        <v>0</v>
      </c>
      <c r="L809" s="2151">
        <f>'Cost Control'!I114</f>
        <v>0</v>
      </c>
      <c r="M809" s="2152"/>
    </row>
    <row r="810" spans="2:13" s="518" customFormat="1" ht="15.45">
      <c r="B810" s="652"/>
      <c r="C810" s="484"/>
      <c r="D810" s="484"/>
      <c r="E810" s="484"/>
      <c r="F810" s="484"/>
      <c r="G810" s="484"/>
      <c r="H810" s="484"/>
      <c r="I810" s="2148"/>
      <c r="J810" s="2149"/>
      <c r="K810" s="1161">
        <f>IF(L810&lt;&gt;0,'Cost Control'!A115,0)</f>
        <v>0</v>
      </c>
      <c r="L810" s="2151">
        <f>'Cost Control'!I115</f>
        <v>0</v>
      </c>
      <c r="M810" s="2152"/>
    </row>
    <row r="811" spans="2:13" s="518" customFormat="1" ht="15.45">
      <c r="B811" s="652"/>
      <c r="C811" s="484"/>
      <c r="D811" s="484"/>
      <c r="E811" s="484"/>
      <c r="F811" s="484"/>
      <c r="G811" s="484"/>
      <c r="H811" s="484"/>
      <c r="I811" s="2148"/>
      <c r="J811" s="2149"/>
      <c r="K811" s="1161">
        <f>IF(L811&lt;&gt;0,'Cost Control'!A116,0)</f>
        <v>0</v>
      </c>
      <c r="L811" s="2151">
        <f>'Cost Control'!I116</f>
        <v>0</v>
      </c>
      <c r="M811" s="2152"/>
    </row>
    <row r="812" spans="2:13" s="518" customFormat="1" ht="16.100000000000001" thickBot="1">
      <c r="B812" s="652"/>
      <c r="C812" s="484"/>
      <c r="D812" s="484"/>
      <c r="E812" s="484"/>
      <c r="F812" s="484"/>
      <c r="G812" s="484"/>
      <c r="H812" s="484"/>
      <c r="I812" s="2148"/>
      <c r="J812" s="2149"/>
      <c r="K812" s="1161">
        <f>IF(L812&lt;&gt;0,'Cost Control'!A117,0)</f>
        <v>0</v>
      </c>
      <c r="L812" s="2151">
        <f>'Cost Control'!I117</f>
        <v>0</v>
      </c>
      <c r="M812" s="2152"/>
    </row>
    <row r="813" spans="2:13" ht="13.1">
      <c r="B813" s="141" t="s">
        <v>695</v>
      </c>
      <c r="C813" s="50"/>
      <c r="D813" s="50"/>
      <c r="E813" s="2150">
        <f>K829</f>
        <v>15</v>
      </c>
      <c r="F813" s="2150"/>
      <c r="G813" s="50"/>
      <c r="H813" s="50"/>
      <c r="I813" s="50"/>
      <c r="J813" s="50"/>
      <c r="K813" s="50"/>
      <c r="L813" s="50"/>
      <c r="M813" s="43"/>
    </row>
    <row r="814" spans="2:13">
      <c r="B814" s="1628"/>
      <c r="C814" s="1629"/>
      <c r="D814" s="1629"/>
      <c r="E814" s="1629"/>
      <c r="F814" s="1629"/>
      <c r="G814" s="1629"/>
      <c r="H814" s="1629"/>
      <c r="I814" s="1629"/>
      <c r="J814" s="1629"/>
      <c r="K814" s="1629"/>
      <c r="L814" s="1629"/>
      <c r="M814" s="1630"/>
    </row>
    <row r="815" spans="2:13" ht="13.5" thickBot="1">
      <c r="B815" s="1480"/>
      <c r="C815" s="1479"/>
      <c r="D815" s="1479"/>
      <c r="E815" s="1479"/>
      <c r="F815" s="1479"/>
      <c r="G815" s="1479"/>
      <c r="H815" s="1631"/>
      <c r="I815" s="1631"/>
      <c r="J815" s="1631"/>
      <c r="K815" s="1631"/>
      <c r="L815" s="1631"/>
      <c r="M815" s="1555"/>
    </row>
    <row r="816" spans="2:13" ht="15.45">
      <c r="B816" s="307" t="s">
        <v>645</v>
      </c>
      <c r="C816" s="308"/>
      <c r="D816" s="2135">
        <f>D761</f>
        <v>0</v>
      </c>
      <c r="E816" s="2135"/>
      <c r="F816" s="309" t="s">
        <v>647</v>
      </c>
      <c r="G816" s="310">
        <f>G761</f>
        <v>0</v>
      </c>
      <c r="H816" s="172" t="s">
        <v>648</v>
      </c>
      <c r="I816" s="472">
        <v>0</v>
      </c>
      <c r="J816" s="2173" t="s">
        <v>650</v>
      </c>
      <c r="K816" s="2173"/>
      <c r="L816" s="1378"/>
      <c r="M816" s="486" t="str">
        <f>M761</f>
        <v>° F</v>
      </c>
    </row>
    <row r="817" spans="2:13">
      <c r="B817" s="44" t="s">
        <v>644</v>
      </c>
      <c r="E817" t="s">
        <v>655</v>
      </c>
      <c r="G817">
        <f>IF('Daily Load'!P272="Yes",Operations!D778,IF('Daily Load'!V272="Yes",Operations!D780,Operations!D781))</f>
        <v>0</v>
      </c>
      <c r="I817" s="195" t="s">
        <v>651</v>
      </c>
      <c r="L817" s="2170">
        <f>'Cost Control'!I152</f>
        <v>0</v>
      </c>
      <c r="M817" s="2171"/>
    </row>
    <row r="818" spans="2:13">
      <c r="B818" s="44"/>
      <c r="E818" s="223" t="s">
        <v>193</v>
      </c>
      <c r="F818" s="223" t="s">
        <v>194</v>
      </c>
      <c r="G818" s="223" t="str">
        <f>G763</f>
        <v>Other</v>
      </c>
      <c r="H818" s="1627" t="s">
        <v>587</v>
      </c>
      <c r="I818" s="31" t="s">
        <v>652</v>
      </c>
      <c r="L818" s="2170">
        <f>L764</f>
        <v>0</v>
      </c>
      <c r="M818" s="2171"/>
    </row>
    <row r="819" spans="2:13" ht="13.5" thickBot="1">
      <c r="B819" s="44" t="s">
        <v>643</v>
      </c>
      <c r="E819" s="361">
        <f>IF(E823&gt;0,E821-E823,E821+E822+E820)</f>
        <v>0</v>
      </c>
      <c r="F819" s="361">
        <f>IF(F823&gt;0,F821-F823,F821+F822+F820)</f>
        <v>0</v>
      </c>
      <c r="G819" s="361">
        <f>IF(G823&gt;0,G821-G823,G821+G822+G820)</f>
        <v>0</v>
      </c>
      <c r="H819" t="str">
        <f>H768</f>
        <v>bbl</v>
      </c>
      <c r="I819" s="31" t="s">
        <v>653</v>
      </c>
      <c r="L819" s="2163">
        <f>L817+L818</f>
        <v>0</v>
      </c>
      <c r="M819" s="2164"/>
    </row>
    <row r="820" spans="2:13" ht="13.5" thickTop="1">
      <c r="B820" s="311" t="s">
        <v>642</v>
      </c>
      <c r="E820" s="361">
        <f>IF('Daily Load'!P272="Yes",'Daily Load'!L267,IF('Daily Load'!V272="Yes",'Daily Load'!R267,'Daily Load'!X267))</f>
        <v>0</v>
      </c>
      <c r="F820" s="361">
        <f>IF('Daily Load'!P272="Yes",'Daily Load'!N267,IF('Daily Load'!V272="Yes",'Daily Load'!T267,'Daily Load'!Z267))</f>
        <v>0</v>
      </c>
      <c r="G820" s="361">
        <f>IF('Daily Load'!P272="Yes",'Daily Load'!P267,IF('Daily Load'!V272="Yes",'Daily Load'!V267,'Daily Load'!AB267))</f>
        <v>0</v>
      </c>
      <c r="H820" t="str">
        <f>H819</f>
        <v>bbl</v>
      </c>
      <c r="I820" s="31"/>
      <c r="L820" s="521"/>
      <c r="M820" s="522"/>
    </row>
    <row r="821" spans="2:13">
      <c r="B821" s="44" t="s">
        <v>641</v>
      </c>
      <c r="E821" s="361">
        <f>IF(G817=D9,'Daily Load'!F271+E766,IF(G817=G762,'Daily Load'!F271+E766,'Daily Load'!F271))</f>
        <v>0</v>
      </c>
      <c r="F821" s="361">
        <f>IF(G817=D9,'Daily Load'!H271+F766,IF(G817=G762,'Daily Load'!H271+F766,'Daily Load'!H271))</f>
        <v>0</v>
      </c>
      <c r="G821" s="361">
        <f>IF(G817=D9,'Daily Load'!J271+G766,IF(G817=G762,'Daily Load'!J271+G766,'Daily Load'!J271))</f>
        <v>0</v>
      </c>
      <c r="H821" t="str">
        <f>H820</f>
        <v>bbl</v>
      </c>
      <c r="I821" s="33" t="s">
        <v>654</v>
      </c>
      <c r="J821" s="19"/>
      <c r="K821" s="19"/>
      <c r="L821" s="2165">
        <f>L766</f>
        <v>0</v>
      </c>
      <c r="M821" s="2166"/>
    </row>
    <row r="822" spans="2:13">
      <c r="B822" s="44" t="s">
        <v>640</v>
      </c>
      <c r="E822" s="361">
        <f>IF('Daily Load'!P272="Yes",'Daily Load'!L269,IF('Daily Load'!V272="Yes",'Daily Load'!R269,'Daily Load'!X269))</f>
        <v>0</v>
      </c>
      <c r="F822" s="361">
        <f>IF('Daily Load'!P272="Yes",'Daily Load'!N269,IF('Daily Load'!V272="Yes",'Daily Load'!T269,'Daily Load'!Z269))</f>
        <v>0</v>
      </c>
      <c r="G822" s="361">
        <f>IF('Daily Load'!P272="Yes",'Daily Load'!P269,IF('Daily Load'!V272="Yes",'Daily Load'!V269,'Daily Load'!AB269))</f>
        <v>0</v>
      </c>
      <c r="H822" t="str">
        <f>H821</f>
        <v>bbl</v>
      </c>
      <c r="I822" s="2160" t="str">
        <f>I767</f>
        <v xml:space="preserve"> </v>
      </c>
      <c r="J822" s="2059"/>
      <c r="K822" s="2161"/>
      <c r="L822" s="2162" t="str">
        <f>L767</f>
        <v xml:space="preserve">0 </v>
      </c>
      <c r="M822" s="2155"/>
    </row>
    <row r="823" spans="2:13" ht="13.5" thickBot="1">
      <c r="B823" s="46" t="s">
        <v>639</v>
      </c>
      <c r="C823" s="21"/>
      <c r="D823" s="21"/>
      <c r="E823" s="380">
        <f>IF('Daily Load'!P272="Yes",'Daily Load'!L270,IF('Daily Load'!V272="Yes",'Daily Load'!R270,'Daily Load'!X270))</f>
        <v>0</v>
      </c>
      <c r="F823" s="380">
        <f>IF('Daily Load'!P272="Yes",'Daily Load'!N270,IF('Daily Load'!V272="Yes",'Daily Load'!T270,'Daily Load'!Z270))</f>
        <v>0</v>
      </c>
      <c r="G823" s="380">
        <f>IF('Daily Load'!P272="Yes",'Daily Load'!P270,IF('Daily Load'!V272="Yes",'Daily Load'!V270,'Daily Load'!AB270))</f>
        <v>0</v>
      </c>
      <c r="H823" s="21" t="str">
        <f>H822</f>
        <v>bbl</v>
      </c>
      <c r="I823" s="2167" t="s">
        <v>677</v>
      </c>
      <c r="J823" s="2168"/>
      <c r="K823" s="2169"/>
      <c r="L823" s="2167" t="s">
        <v>826</v>
      </c>
      <c r="M823" s="2172"/>
    </row>
    <row r="824" spans="2:13">
      <c r="B824" s="50"/>
      <c r="C824" s="50"/>
      <c r="D824" s="50"/>
      <c r="E824" s="1185"/>
      <c r="F824" s="1185"/>
      <c r="G824" s="1185"/>
      <c r="H824" s="50"/>
      <c r="I824" s="1186"/>
      <c r="J824" s="1186"/>
      <c r="K824" s="1186"/>
      <c r="L824" s="1186"/>
      <c r="M824" s="1186"/>
    </row>
    <row r="825" spans="2:13" ht="13.5" thickBot="1">
      <c r="B825" s="21"/>
      <c r="C825" s="21"/>
      <c r="D825" s="21"/>
      <c r="E825" s="21"/>
      <c r="F825" s="21"/>
      <c r="G825" s="21"/>
      <c r="H825" s="21"/>
      <c r="I825" s="21"/>
      <c r="J825" s="21"/>
      <c r="K825" s="21"/>
      <c r="L825" s="21"/>
      <c r="M825" s="21"/>
    </row>
    <row r="826" spans="2:13">
      <c r="B826" s="44"/>
      <c r="M826" s="45"/>
    </row>
    <row r="827" spans="2:13">
      <c r="B827" s="44"/>
      <c r="J827" s="2143">
        <f>J772</f>
        <v>0</v>
      </c>
      <c r="K827" s="2143"/>
      <c r="L827" s="2143"/>
      <c r="M827" s="45"/>
    </row>
    <row r="828" spans="2:13">
      <c r="B828" s="44"/>
      <c r="M828" s="45"/>
    </row>
    <row r="829" spans="2:13" ht="13.1">
      <c r="B829" s="137" t="s">
        <v>634</v>
      </c>
      <c r="C829">
        <f>Summary!$C$6</f>
        <v>0</v>
      </c>
      <c r="H829" s="22" t="s">
        <v>636</v>
      </c>
      <c r="I829" s="22"/>
      <c r="K829" s="2158">
        <f>'Cost Control'!J83</f>
        <v>15</v>
      </c>
      <c r="L829" s="2158"/>
      <c r="M829" s="2159"/>
    </row>
    <row r="830" spans="2:13" ht="13.1">
      <c r="B830" s="44"/>
      <c r="H830" s="22"/>
      <c r="I830" s="22"/>
      <c r="M830" s="45"/>
    </row>
    <row r="831" spans="2:13" ht="13.1">
      <c r="B831" s="137" t="s">
        <v>635</v>
      </c>
      <c r="D831" s="2136">
        <f>D776</f>
        <v>0</v>
      </c>
      <c r="E831" s="2136"/>
      <c r="F831" s="2136"/>
      <c r="G831" s="2136"/>
      <c r="H831" s="2136"/>
      <c r="I831" s="22" t="s">
        <v>637</v>
      </c>
      <c r="J831" s="3">
        <f>J776+1</f>
        <v>16</v>
      </c>
      <c r="M831" s="45"/>
    </row>
    <row r="832" spans="2:13" ht="13.1">
      <c r="B832" s="137"/>
      <c r="D832" s="2136"/>
      <c r="E832" s="2136"/>
      <c r="F832" s="2136"/>
      <c r="G832" s="2136"/>
      <c r="H832" s="2136"/>
      <c r="I832" t="s">
        <v>63</v>
      </c>
      <c r="J832" s="2142">
        <f>J777</f>
        <v>0</v>
      </c>
      <c r="K832" s="2143"/>
      <c r="M832" s="45"/>
    </row>
    <row r="833" spans="2:13" ht="13.1">
      <c r="B833" s="137" t="s">
        <v>146</v>
      </c>
      <c r="D833">
        <f>Summary!$C$32</f>
        <v>0</v>
      </c>
      <c r="F833" s="1819" t="str">
        <f>F778</f>
        <v>OPEN HOLE INTERVAL:</v>
      </c>
      <c r="G833" s="1819"/>
      <c r="H833" s="2147">
        <f>H778</f>
        <v>0</v>
      </c>
      <c r="I833" s="2147"/>
      <c r="J833" s="2147">
        <f>J778</f>
        <v>0</v>
      </c>
      <c r="K833" s="2147"/>
      <c r="L833" s="2147">
        <f>L778</f>
        <v>0</v>
      </c>
      <c r="M833" s="2154"/>
    </row>
    <row r="834" spans="2:13">
      <c r="B834" s="44"/>
      <c r="H834" s="2153"/>
      <c r="I834" s="2153"/>
      <c r="J834" s="1145"/>
      <c r="K834" s="1145"/>
      <c r="L834" s="1145"/>
      <c r="M834" s="1146"/>
    </row>
    <row r="835" spans="2:13" ht="13.1">
      <c r="B835" s="44"/>
      <c r="D835">
        <f>Summary!$F$32</f>
        <v>0</v>
      </c>
      <c r="F835" s="1819" t="str">
        <f>F780</f>
        <v xml:space="preserve"> </v>
      </c>
      <c r="G835" s="1819"/>
      <c r="H835" s="2137">
        <f>H780</f>
        <v>0</v>
      </c>
      <c r="I835" s="2137"/>
      <c r="J835" s="2137">
        <f>J780</f>
        <v>0</v>
      </c>
      <c r="K835" s="2137"/>
      <c r="L835" s="2137">
        <f>L780</f>
        <v>0</v>
      </c>
      <c r="M835" s="2155"/>
    </row>
    <row r="836" spans="2:13" ht="13.1">
      <c r="B836" s="44"/>
      <c r="D836">
        <f>D781</f>
        <v>0</v>
      </c>
      <c r="F836" s="1819" t="str">
        <f>F781</f>
        <v xml:space="preserve"> </v>
      </c>
      <c r="G836" s="1819"/>
      <c r="H836" s="1737">
        <f>H781</f>
        <v>0</v>
      </c>
      <c r="I836" s="1737"/>
      <c r="J836" s="1737">
        <f>J781</f>
        <v>0</v>
      </c>
      <c r="K836" s="1737"/>
      <c r="L836" s="1737">
        <f>L781</f>
        <v>0</v>
      </c>
      <c r="M836" s="1791"/>
    </row>
    <row r="837" spans="2:13">
      <c r="B837" s="44"/>
      <c r="M837" s="45"/>
    </row>
    <row r="838" spans="2:13" ht="13.75" thickBot="1">
      <c r="B838" s="46"/>
      <c r="C838" s="21"/>
      <c r="D838" s="21"/>
      <c r="E838" s="1664" t="s">
        <v>638</v>
      </c>
      <c r="F838" s="1664"/>
      <c r="G838" s="1664"/>
      <c r="H838" s="1664"/>
      <c r="I838" s="1664"/>
      <c r="J838" s="21"/>
      <c r="K838" s="21"/>
      <c r="L838" s="21"/>
      <c r="M838" s="47"/>
    </row>
    <row r="839" spans="2:13" s="518" customFormat="1" ht="16.100000000000001" thickBot="1">
      <c r="B839" s="651"/>
      <c r="C839" s="484"/>
      <c r="D839" s="484"/>
      <c r="E839" s="484"/>
      <c r="F839" s="484"/>
      <c r="G839" s="484"/>
      <c r="H839" s="484"/>
      <c r="I839" s="2138" t="s">
        <v>61</v>
      </c>
      <c r="J839" s="2139"/>
      <c r="K839" s="2139"/>
      <c r="L839" s="2139"/>
      <c r="M839" s="2140"/>
    </row>
    <row r="840" spans="2:13" s="518" customFormat="1" ht="16.100000000000001" thickBot="1">
      <c r="B840" s="652"/>
      <c r="C840" s="484"/>
      <c r="D840" s="484"/>
      <c r="E840" s="484"/>
      <c r="F840" s="484"/>
      <c r="G840" s="484"/>
      <c r="H840" s="484"/>
      <c r="I840" s="2141" t="str">
        <f>I785</f>
        <v>Service</v>
      </c>
      <c r="J840" s="2141"/>
      <c r="K840" s="1159" t="s">
        <v>62</v>
      </c>
      <c r="L840" s="2144" t="s">
        <v>1454</v>
      </c>
      <c r="M840" s="2144"/>
    </row>
    <row r="841" spans="2:13" s="518" customFormat="1" ht="16.100000000000001" thickBot="1">
      <c r="B841" s="652"/>
      <c r="C841" s="484"/>
      <c r="D841" s="484"/>
      <c r="E841" s="484"/>
      <c r="F841" s="484"/>
      <c r="G841" s="484"/>
      <c r="H841" s="484"/>
      <c r="I841" s="2145" t="s">
        <v>1538</v>
      </c>
      <c r="J841" s="2146"/>
      <c r="K841" s="1160">
        <f>IF(L841&lt;&gt;0," ",0)</f>
        <v>0</v>
      </c>
      <c r="L841" s="2156">
        <f>SUM('Cost Control'!J85:J94)</f>
        <v>0</v>
      </c>
      <c r="M841" s="2157"/>
    </row>
    <row r="842" spans="2:13" s="518" customFormat="1" ht="16.100000000000001" thickBot="1">
      <c r="B842" s="652"/>
      <c r="C842" s="484"/>
      <c r="D842" s="484"/>
      <c r="E842" s="484"/>
      <c r="F842" s="484"/>
      <c r="G842" s="484"/>
      <c r="H842" s="484"/>
      <c r="I842" s="2145" t="s">
        <v>1539</v>
      </c>
      <c r="J842" s="2146"/>
      <c r="K842" s="1161">
        <f>IF(L842&lt;&gt;0,'Cost Control'!A131,0)</f>
        <v>0</v>
      </c>
      <c r="L842" s="2151">
        <f>SUM('Cost Control'!J131:J136)</f>
        <v>0</v>
      </c>
      <c r="M842" s="2152"/>
    </row>
    <row r="843" spans="2:13" s="518" customFormat="1" ht="16.100000000000001" thickBot="1">
      <c r="B843" s="652"/>
      <c r="C843" s="484"/>
      <c r="D843" s="484"/>
      <c r="E843" s="484"/>
      <c r="F843" s="484"/>
      <c r="G843" s="484"/>
      <c r="H843" s="484"/>
      <c r="I843" s="2145" t="s">
        <v>903</v>
      </c>
      <c r="J843" s="2146"/>
      <c r="K843" s="1161">
        <f>IF(L843&lt;&gt;0,'Cost Control'!A118,0)</f>
        <v>0</v>
      </c>
      <c r="L843" s="2151">
        <f>SUM('Cost Control'!J118:J129)</f>
        <v>0</v>
      </c>
      <c r="M843" s="2152"/>
    </row>
    <row r="844" spans="2:13" s="518" customFormat="1" ht="16.100000000000001" thickBot="1">
      <c r="B844" s="652"/>
      <c r="C844" s="484"/>
      <c r="D844" s="484"/>
      <c r="E844" s="484"/>
      <c r="F844" s="484"/>
      <c r="G844" s="484"/>
      <c r="H844" s="484"/>
      <c r="I844" s="2145" t="s">
        <v>1540</v>
      </c>
      <c r="J844" s="2146"/>
      <c r="K844" s="1161" t="str">
        <f>IF(L844&lt;&gt;0,'Cost Control'!A138," ")</f>
        <v xml:space="preserve"> </v>
      </c>
      <c r="L844" s="2151">
        <f>SUM('Cost Control'!J138:J144)</f>
        <v>0</v>
      </c>
      <c r="M844" s="2152"/>
    </row>
    <row r="845" spans="2:13" s="518" customFormat="1" ht="15.45">
      <c r="B845" s="652"/>
      <c r="C845" s="484"/>
      <c r="D845" s="484"/>
      <c r="E845" s="484"/>
      <c r="F845" s="484"/>
      <c r="G845" s="484"/>
      <c r="H845" s="484"/>
      <c r="I845" s="2145" t="s">
        <v>1451</v>
      </c>
      <c r="J845" s="2146"/>
      <c r="K845" s="1161">
        <f>IF(L845&lt;&gt;0,'Cost Control'!A146,0)</f>
        <v>0</v>
      </c>
      <c r="L845" s="2151">
        <f>SUM('Cost Control'!J146:J151)</f>
        <v>0</v>
      </c>
      <c r="M845" s="2152"/>
    </row>
    <row r="846" spans="2:13" s="518" customFormat="1" ht="15.45">
      <c r="B846" s="652"/>
      <c r="C846" s="484"/>
      <c r="D846" s="484"/>
      <c r="E846" s="484"/>
      <c r="F846" s="484"/>
      <c r="G846" s="484"/>
      <c r="H846" s="484"/>
      <c r="I846" s="2148" t="str">
        <f>IF(L846&lt;&gt;0,'Cost Control'!B96," ")</f>
        <v xml:space="preserve"> </v>
      </c>
      <c r="J846" s="2149"/>
      <c r="K846" s="1161">
        <f>IF(L846&lt;&gt;0,'Cost Control'!A96,0)</f>
        <v>0</v>
      </c>
      <c r="L846" s="2151">
        <f>'Cost Control'!J96</f>
        <v>0</v>
      </c>
      <c r="M846" s="2152"/>
    </row>
    <row r="847" spans="2:13" s="518" customFormat="1" ht="15.45">
      <c r="B847" s="652"/>
      <c r="C847" s="484"/>
      <c r="D847" s="484"/>
      <c r="E847" s="484"/>
      <c r="F847" s="484"/>
      <c r="G847" s="484"/>
      <c r="H847" s="484"/>
      <c r="I847" s="2148" t="str">
        <f>IF(L847&lt;&gt;0,'Cost Control'!B97," ")</f>
        <v xml:space="preserve"> </v>
      </c>
      <c r="J847" s="2149"/>
      <c r="K847" s="1161">
        <f>IF(L847&lt;&gt;0,'Cost Control'!A97,0)</f>
        <v>0</v>
      </c>
      <c r="L847" s="2151">
        <f>'Cost Control'!J97</f>
        <v>0</v>
      </c>
      <c r="M847" s="2152"/>
    </row>
    <row r="848" spans="2:13" s="518" customFormat="1" ht="15.45">
      <c r="B848" s="652"/>
      <c r="C848" s="484"/>
      <c r="D848" s="484"/>
      <c r="E848" s="484"/>
      <c r="F848" s="484"/>
      <c r="G848" s="484"/>
      <c r="H848" s="484"/>
      <c r="I848" s="2148" t="str">
        <f>IF(L848&lt;&gt;0,'Cost Control'!B98," ")</f>
        <v xml:space="preserve"> </v>
      </c>
      <c r="J848" s="2149"/>
      <c r="K848" s="1161">
        <f>IF(L848&lt;&gt;0,'Cost Control'!A98,0)</f>
        <v>0</v>
      </c>
      <c r="L848" s="2151">
        <f>'Cost Control'!J98</f>
        <v>0</v>
      </c>
      <c r="M848" s="2152"/>
    </row>
    <row r="849" spans="2:13" s="518" customFormat="1" ht="15.45">
      <c r="B849" s="652"/>
      <c r="C849" s="484"/>
      <c r="D849" s="484"/>
      <c r="E849" s="484"/>
      <c r="F849" s="484"/>
      <c r="G849" s="484"/>
      <c r="H849" s="484"/>
      <c r="I849" s="2148" t="str">
        <f>IF(L849&lt;&gt;0,'Cost Control'!B99," ")</f>
        <v xml:space="preserve"> </v>
      </c>
      <c r="J849" s="2149"/>
      <c r="K849" s="1161">
        <f>IF(L849&lt;&gt;0,'Cost Control'!A99,0)</f>
        <v>0</v>
      </c>
      <c r="L849" s="2151">
        <f>'Cost Control'!J99</f>
        <v>0</v>
      </c>
      <c r="M849" s="2152"/>
    </row>
    <row r="850" spans="2:13" s="518" customFormat="1" ht="15.45">
      <c r="B850" s="652"/>
      <c r="C850" s="484"/>
      <c r="D850" s="484"/>
      <c r="E850" s="484"/>
      <c r="F850" s="484"/>
      <c r="G850" s="484"/>
      <c r="H850" s="484"/>
      <c r="I850" s="2148" t="str">
        <f>IF(L850&lt;&gt;0,'Cost Control'!B100," ")</f>
        <v xml:space="preserve"> </v>
      </c>
      <c r="J850" s="2149"/>
      <c r="K850" s="1161">
        <f>IF(L850&lt;&gt;0,'Cost Control'!A100,0)</f>
        <v>0</v>
      </c>
      <c r="L850" s="2151">
        <f>'Cost Control'!J100</f>
        <v>0</v>
      </c>
      <c r="M850" s="2152"/>
    </row>
    <row r="851" spans="2:13" s="518" customFormat="1" ht="15.45">
      <c r="B851" s="652"/>
      <c r="C851" s="484"/>
      <c r="D851" s="484"/>
      <c r="E851" s="484"/>
      <c r="F851" s="484"/>
      <c r="G851" s="484"/>
      <c r="H851" s="484"/>
      <c r="I851" s="2148" t="str">
        <f>IF(L851&lt;&gt;0,'Cost Control'!B101," ")</f>
        <v xml:space="preserve"> </v>
      </c>
      <c r="J851" s="2149"/>
      <c r="K851" s="1161">
        <f>IF(L851&lt;&gt;0,'Cost Control'!A101,0)</f>
        <v>0</v>
      </c>
      <c r="L851" s="2151">
        <f>'Cost Control'!J101</f>
        <v>0</v>
      </c>
      <c r="M851" s="2152"/>
    </row>
    <row r="852" spans="2:13" s="518" customFormat="1" ht="15.45">
      <c r="B852" s="652"/>
      <c r="C852" s="484"/>
      <c r="D852" s="484"/>
      <c r="E852" s="484"/>
      <c r="F852" s="484"/>
      <c r="G852" s="484"/>
      <c r="H852" s="484"/>
      <c r="I852" s="2148" t="str">
        <f>IF(L852&lt;&gt;0,'Cost Control'!B102," ")</f>
        <v xml:space="preserve"> </v>
      </c>
      <c r="J852" s="2149"/>
      <c r="K852" s="1161">
        <f>IF(L852&lt;&gt;0,'Cost Control'!A102,0)</f>
        <v>0</v>
      </c>
      <c r="L852" s="2151">
        <f>'Cost Control'!J102</f>
        <v>0</v>
      </c>
      <c r="M852" s="2152"/>
    </row>
    <row r="853" spans="2:13" s="518" customFormat="1" ht="15.45">
      <c r="B853" s="652"/>
      <c r="C853" s="484"/>
      <c r="D853" s="484"/>
      <c r="E853" s="484"/>
      <c r="F853" s="484"/>
      <c r="G853" s="484"/>
      <c r="H853" s="484"/>
      <c r="I853" s="2148" t="str">
        <f>IF(L853&lt;&gt;0,'Cost Control'!B103," ")</f>
        <v xml:space="preserve"> </v>
      </c>
      <c r="J853" s="2149"/>
      <c r="K853" s="1161">
        <f>IF(L853&lt;&gt;0,'Cost Control'!A103,0)</f>
        <v>0</v>
      </c>
      <c r="L853" s="2151">
        <f>'Cost Control'!J103</f>
        <v>0</v>
      </c>
      <c r="M853" s="2152"/>
    </row>
    <row r="854" spans="2:13" s="518" customFormat="1" ht="15.45">
      <c r="B854" s="652"/>
      <c r="C854" s="484"/>
      <c r="D854" s="484"/>
      <c r="E854" s="484"/>
      <c r="F854" s="484"/>
      <c r="G854" s="484"/>
      <c r="H854" s="484"/>
      <c r="I854" s="2148" t="str">
        <f>IF(L854&lt;&gt;0,'Cost Control'!B104," ")</f>
        <v xml:space="preserve"> </v>
      </c>
      <c r="J854" s="2149"/>
      <c r="K854" s="1161">
        <f>IF(L854&lt;&gt;0,'Cost Control'!A104,0)</f>
        <v>0</v>
      </c>
      <c r="L854" s="2151">
        <f>'Cost Control'!J104</f>
        <v>0</v>
      </c>
      <c r="M854" s="2152"/>
    </row>
    <row r="855" spans="2:13" s="518" customFormat="1" ht="15.45">
      <c r="B855" s="652"/>
      <c r="C855" s="484"/>
      <c r="D855" s="484"/>
      <c r="E855" s="484"/>
      <c r="F855" s="484"/>
      <c r="G855" s="484"/>
      <c r="H855" s="484"/>
      <c r="I855" s="2148" t="str">
        <f>IF(L855&lt;&gt;0,'Cost Control'!B105," ")</f>
        <v xml:space="preserve"> </v>
      </c>
      <c r="J855" s="2149"/>
      <c r="K855" s="1161">
        <f>IF(L855&lt;&gt;0,'Cost Control'!A105,0)</f>
        <v>0</v>
      </c>
      <c r="L855" s="2151">
        <f>'Cost Control'!J105</f>
        <v>0</v>
      </c>
      <c r="M855" s="2152"/>
    </row>
    <row r="856" spans="2:13" s="518" customFormat="1" ht="15.45">
      <c r="B856" s="652"/>
      <c r="C856" s="484"/>
      <c r="D856" s="484"/>
      <c r="E856" s="484"/>
      <c r="F856" s="484"/>
      <c r="G856" s="484"/>
      <c r="H856" s="484"/>
      <c r="I856" s="2148" t="str">
        <f>IF(L856&lt;&gt;0,'Cost Control'!B106," ")</f>
        <v xml:space="preserve"> </v>
      </c>
      <c r="J856" s="2149"/>
      <c r="K856" s="1161">
        <f>IF(L856&lt;&gt;0,'Cost Control'!A106,0)</f>
        <v>0</v>
      </c>
      <c r="L856" s="2151">
        <f>'Cost Control'!J106</f>
        <v>0</v>
      </c>
      <c r="M856" s="2152"/>
    </row>
    <row r="857" spans="2:13" s="518" customFormat="1" ht="15.45">
      <c r="B857" s="652"/>
      <c r="C857" s="484"/>
      <c r="D857" s="484"/>
      <c r="E857" s="484"/>
      <c r="F857" s="484"/>
      <c r="G857" s="484"/>
      <c r="H857" s="484"/>
      <c r="I857" s="2148" t="str">
        <f>IF(L857&lt;&gt;0,'Cost Control'!B107," ")</f>
        <v xml:space="preserve"> </v>
      </c>
      <c r="J857" s="2149"/>
      <c r="K857" s="1161">
        <f>IF(L857&lt;&gt;0,'Cost Control'!A107,0)</f>
        <v>0</v>
      </c>
      <c r="L857" s="2151">
        <f>'Cost Control'!J107</f>
        <v>0</v>
      </c>
      <c r="M857" s="2152"/>
    </row>
    <row r="858" spans="2:13" s="518" customFormat="1" ht="15.45">
      <c r="B858" s="652"/>
      <c r="C858" s="484"/>
      <c r="D858" s="484"/>
      <c r="E858" s="484"/>
      <c r="F858" s="484"/>
      <c r="G858" s="484"/>
      <c r="H858" s="484"/>
      <c r="I858" s="2148" t="str">
        <f>IF(L858&lt;&gt;0,'Cost Control'!B108," ")</f>
        <v xml:space="preserve"> </v>
      </c>
      <c r="J858" s="2149"/>
      <c r="K858" s="1161">
        <f>IF(L858&lt;&gt;0,'Cost Control'!A108,0)</f>
        <v>0</v>
      </c>
      <c r="L858" s="2151">
        <f>'Cost Control'!J108</f>
        <v>0</v>
      </c>
      <c r="M858" s="2152"/>
    </row>
    <row r="859" spans="2:13" s="518" customFormat="1" ht="15.45">
      <c r="B859" s="652"/>
      <c r="C859" s="484"/>
      <c r="D859" s="484"/>
      <c r="E859" s="484"/>
      <c r="F859" s="484"/>
      <c r="G859" s="484"/>
      <c r="H859" s="484"/>
      <c r="I859" s="2148" t="str">
        <f>IF(L859&lt;&gt;0,'Cost Control'!B109," ")</f>
        <v xml:space="preserve"> </v>
      </c>
      <c r="J859" s="2149"/>
      <c r="K859" s="1161">
        <f>IF(L859&lt;&gt;0,'Cost Control'!A109,0)</f>
        <v>0</v>
      </c>
      <c r="L859" s="2151">
        <f>'Cost Control'!J109</f>
        <v>0</v>
      </c>
      <c r="M859" s="2152"/>
    </row>
    <row r="860" spans="2:13" s="518" customFormat="1" ht="15.45">
      <c r="B860" s="652"/>
      <c r="C860" s="484"/>
      <c r="D860" s="484"/>
      <c r="E860" s="484"/>
      <c r="F860" s="484"/>
      <c r="G860" s="484"/>
      <c r="H860" s="484"/>
      <c r="I860" s="2148" t="str">
        <f>IF(L860&lt;&gt;0,'Cost Control'!B110," ")</f>
        <v xml:space="preserve"> </v>
      </c>
      <c r="J860" s="2149"/>
      <c r="K860" s="1161">
        <f>IF(L860&lt;&gt;0,'Cost Control'!A110,0)</f>
        <v>0</v>
      </c>
      <c r="L860" s="2151">
        <f>'Cost Control'!J110</f>
        <v>0</v>
      </c>
      <c r="M860" s="2152"/>
    </row>
    <row r="861" spans="2:13" s="518" customFormat="1" ht="15.45">
      <c r="B861" s="652"/>
      <c r="C861" s="484"/>
      <c r="D861" s="484"/>
      <c r="E861" s="484"/>
      <c r="F861" s="484"/>
      <c r="G861" s="484"/>
      <c r="H861" s="484"/>
      <c r="I861" s="2148" t="str">
        <f>IF(L861&lt;&gt;0,'Cost Control'!B111," ")</f>
        <v xml:space="preserve"> </v>
      </c>
      <c r="J861" s="2149"/>
      <c r="K861" s="1161">
        <f>IF(L861&lt;&gt;0,'Cost Control'!A111,0)</f>
        <v>0</v>
      </c>
      <c r="L861" s="2151">
        <f>'Cost Control'!J111</f>
        <v>0</v>
      </c>
      <c r="M861" s="2152"/>
    </row>
    <row r="862" spans="2:13" s="518" customFormat="1" ht="15.45">
      <c r="B862" s="652"/>
      <c r="C862" s="484"/>
      <c r="D862" s="484"/>
      <c r="E862" s="484"/>
      <c r="F862" s="484"/>
      <c r="G862" s="484"/>
      <c r="H862" s="484"/>
      <c r="I862" s="2148" t="str">
        <f>IF(L862&lt;&gt;0,'Cost Control'!B112," ")</f>
        <v xml:space="preserve"> </v>
      </c>
      <c r="J862" s="2149"/>
      <c r="K862" s="1161">
        <f>IF(L862&lt;&gt;0,'Cost Control'!A112,0)</f>
        <v>0</v>
      </c>
      <c r="L862" s="2151">
        <f>'Cost Control'!J112</f>
        <v>0</v>
      </c>
      <c r="M862" s="2152"/>
    </row>
    <row r="863" spans="2:13" s="518" customFormat="1" ht="15.45">
      <c r="B863" s="652"/>
      <c r="C863" s="484"/>
      <c r="D863" s="484"/>
      <c r="E863" s="484"/>
      <c r="F863" s="484"/>
      <c r="G863" s="484"/>
      <c r="H863" s="484"/>
      <c r="I863" s="2148" t="str">
        <f>IF(L863&lt;&gt;0,'Cost Control'!B113," ")</f>
        <v xml:space="preserve"> </v>
      </c>
      <c r="J863" s="2149"/>
      <c r="K863" s="1161">
        <f>IF(L863&lt;&gt;0,'Cost Control'!A113,0)</f>
        <v>0</v>
      </c>
      <c r="L863" s="2151">
        <f>'Cost Control'!J113</f>
        <v>0</v>
      </c>
      <c r="M863" s="2152"/>
    </row>
    <row r="864" spans="2:13" s="518" customFormat="1" ht="15.45">
      <c r="B864" s="652"/>
      <c r="C864" s="484"/>
      <c r="D864" s="484"/>
      <c r="E864" s="484"/>
      <c r="F864" s="484"/>
      <c r="G864" s="484"/>
      <c r="H864" s="484"/>
      <c r="I864" s="2148" t="str">
        <f>IF(L864&lt;&gt;0,'Cost Control'!B114," ")</f>
        <v xml:space="preserve"> </v>
      </c>
      <c r="J864" s="2149"/>
      <c r="K864" s="1161">
        <f>IF(L864&lt;&gt;0,'Cost Control'!A114,0)</f>
        <v>0</v>
      </c>
      <c r="L864" s="2151">
        <f>'Cost Control'!J114</f>
        <v>0</v>
      </c>
      <c r="M864" s="2152"/>
    </row>
    <row r="865" spans="2:13" s="518" customFormat="1" ht="15.45">
      <c r="B865" s="652"/>
      <c r="C865" s="484"/>
      <c r="D865" s="484"/>
      <c r="E865" s="484"/>
      <c r="F865" s="484"/>
      <c r="G865" s="484"/>
      <c r="H865" s="484"/>
      <c r="I865" s="2148" t="str">
        <f>IF(L865&lt;&gt;0,'Cost Control'!B115," ")</f>
        <v xml:space="preserve"> </v>
      </c>
      <c r="J865" s="2149"/>
      <c r="K865" s="1161">
        <f>IF(L865&lt;&gt;0,'Cost Control'!A115,0)</f>
        <v>0</v>
      </c>
      <c r="L865" s="2151">
        <f>'Cost Control'!J115</f>
        <v>0</v>
      </c>
      <c r="M865" s="2152"/>
    </row>
    <row r="866" spans="2:13" s="518" customFormat="1" ht="15.45">
      <c r="B866" s="652"/>
      <c r="C866" s="484"/>
      <c r="D866" s="484"/>
      <c r="E866" s="484"/>
      <c r="F866" s="484"/>
      <c r="G866" s="484"/>
      <c r="H866" s="484"/>
      <c r="I866" s="2148" t="str">
        <f>IF(L866&lt;&gt;0,'Cost Control'!B116," ")</f>
        <v xml:space="preserve"> </v>
      </c>
      <c r="J866" s="2149"/>
      <c r="K866" s="1161">
        <f>IF(L866&lt;&gt;0,'Cost Control'!A116,0)</f>
        <v>0</v>
      </c>
      <c r="L866" s="2151">
        <f>'Cost Control'!J116</f>
        <v>0</v>
      </c>
      <c r="M866" s="2152"/>
    </row>
    <row r="867" spans="2:13" s="518" customFormat="1" ht="16.100000000000001" thickBot="1">
      <c r="B867" s="652"/>
      <c r="C867" s="484"/>
      <c r="D867" s="484"/>
      <c r="E867" s="484"/>
      <c r="F867" s="484"/>
      <c r="G867" s="484"/>
      <c r="H867" s="484"/>
      <c r="I867" s="2148" t="str">
        <f>IF(L867&lt;&gt;0,'Cost Control'!B117," ")</f>
        <v xml:space="preserve"> </v>
      </c>
      <c r="J867" s="2149"/>
      <c r="K867" s="1637">
        <f>IF(L867&lt;&gt;0,'Cost Control'!A117,0)</f>
        <v>0</v>
      </c>
      <c r="L867" s="2151">
        <f>'Cost Control'!J117</f>
        <v>0</v>
      </c>
      <c r="M867" s="2152"/>
    </row>
    <row r="868" spans="2:13" ht="13.95">
      <c r="B868" s="141" t="s">
        <v>695</v>
      </c>
      <c r="C868" s="50"/>
      <c r="D868" s="50"/>
      <c r="E868" s="2150">
        <f>K884</f>
        <v>16</v>
      </c>
      <c r="F868" s="2150"/>
      <c r="G868" s="50"/>
      <c r="H868" s="50"/>
      <c r="I868" s="50"/>
      <c r="J868" s="50"/>
      <c r="K868" s="1633">
        <f>IF(L868&lt;&gt;0,'Cost Control'!A118,0)</f>
        <v>0</v>
      </c>
      <c r="L868" s="50"/>
      <c r="M868" s="43"/>
    </row>
    <row r="869" spans="2:13">
      <c r="B869" s="1628"/>
      <c r="C869" s="1629"/>
      <c r="D869" s="1629"/>
      <c r="E869" s="1629"/>
      <c r="F869" s="1629"/>
      <c r="G869" s="1629"/>
      <c r="H869" s="1629"/>
      <c r="I869" s="1629"/>
      <c r="J869" s="1629"/>
      <c r="K869" s="1629"/>
      <c r="L869" s="1629"/>
      <c r="M869" s="1630"/>
    </row>
    <row r="870" spans="2:13" ht="13.5" thickBot="1">
      <c r="B870" s="1480"/>
      <c r="C870" s="1479"/>
      <c r="D870" s="1479"/>
      <c r="E870" s="1479"/>
      <c r="F870" s="1479"/>
      <c r="G870" s="1479"/>
      <c r="H870" s="1631"/>
      <c r="I870" s="1631"/>
      <c r="J870" s="1631"/>
      <c r="K870" s="1631"/>
      <c r="L870" s="1631"/>
      <c r="M870" s="1555"/>
    </row>
    <row r="871" spans="2:13" ht="15.45">
      <c r="B871" s="307" t="s">
        <v>645</v>
      </c>
      <c r="C871" s="308"/>
      <c r="D871" s="2135">
        <f>D816</f>
        <v>0</v>
      </c>
      <c r="E871" s="2135"/>
      <c r="F871" s="309" t="s">
        <v>647</v>
      </c>
      <c r="G871" s="310">
        <f>G816</f>
        <v>0</v>
      </c>
      <c r="H871" s="172" t="s">
        <v>648</v>
      </c>
      <c r="I871" s="472">
        <v>0</v>
      </c>
      <c r="J871" s="2173" t="s">
        <v>650</v>
      </c>
      <c r="K871" s="2173"/>
      <c r="L871" s="1378"/>
      <c r="M871" s="486" t="str">
        <f>M816</f>
        <v>° F</v>
      </c>
    </row>
    <row r="872" spans="2:13">
      <c r="B872" s="44" t="s">
        <v>644</v>
      </c>
      <c r="E872" t="s">
        <v>655</v>
      </c>
      <c r="G872">
        <f>IF('Daily Load'!P290="Yes",Operations!D833,IF('Daily Load'!V290="Yes",Operations!D835,Operations!D836))</f>
        <v>0</v>
      </c>
      <c r="I872" s="195" t="s">
        <v>651</v>
      </c>
      <c r="L872" s="2170">
        <f>'Cost Control'!J152</f>
        <v>0</v>
      </c>
      <c r="M872" s="2171"/>
    </row>
    <row r="873" spans="2:13">
      <c r="B873" s="44"/>
      <c r="E873" s="223" t="s">
        <v>193</v>
      </c>
      <c r="F873" s="223" t="s">
        <v>194</v>
      </c>
      <c r="G873" s="223" t="str">
        <f>G818</f>
        <v>Other</v>
      </c>
      <c r="H873" s="1627" t="s">
        <v>587</v>
      </c>
      <c r="I873" s="31" t="s">
        <v>652</v>
      </c>
      <c r="L873" s="2170">
        <f>L819</f>
        <v>0</v>
      </c>
      <c r="M873" s="2171"/>
    </row>
    <row r="874" spans="2:13" ht="13.5" thickBot="1">
      <c r="B874" s="44" t="s">
        <v>643</v>
      </c>
      <c r="E874" s="361">
        <f>IF(E878&gt;0,E876-E878,E876+E877+E875)</f>
        <v>0</v>
      </c>
      <c r="F874" s="361">
        <f>IF(F878&gt;0,F876-F878,F876+F877+F875)</f>
        <v>0</v>
      </c>
      <c r="G874" s="361">
        <f>IF(G878&gt;0,G876-G878,G876+G877+G875)</f>
        <v>0</v>
      </c>
      <c r="H874" t="str">
        <f>H823</f>
        <v>bbl</v>
      </c>
      <c r="I874" s="31" t="s">
        <v>653</v>
      </c>
      <c r="L874" s="2163">
        <f>L872+L873</f>
        <v>0</v>
      </c>
      <c r="M874" s="2164"/>
    </row>
    <row r="875" spans="2:13" ht="13.5" thickTop="1">
      <c r="B875" s="311" t="s">
        <v>642</v>
      </c>
      <c r="E875" s="361">
        <f>IF('Daily Load'!P290="Yes",'Daily Load'!L285,IF('Daily Load'!V290="Yes",'Daily Load'!R285,'Daily Load'!X285))</f>
        <v>0</v>
      </c>
      <c r="F875" s="361">
        <f>IF('Daily Load'!P290="Yes",'Daily Load'!N285,IF('Daily Load'!V290="Yes",'Daily Load'!T285,'Daily Load'!Z285))</f>
        <v>0</v>
      </c>
      <c r="G875" s="361">
        <f>IF('Daily Load'!P290="Yes",'Daily Load'!P285,IF('Daily Load'!V290="Yes",'Daily Load'!V285,'Daily Load'!AB285))</f>
        <v>0</v>
      </c>
      <c r="H875" t="str">
        <f>H874</f>
        <v>bbl</v>
      </c>
      <c r="I875" s="31"/>
      <c r="L875" s="521"/>
      <c r="M875" s="522"/>
    </row>
    <row r="876" spans="2:13">
      <c r="B876" s="44" t="s">
        <v>641</v>
      </c>
      <c r="E876" s="361">
        <f>IF(G872=D9,'Daily Load'!F289+E821,IF(G872=G817,'Daily Load'!F289+E821,'Daily Load'!F289))</f>
        <v>0</v>
      </c>
      <c r="F876" s="361">
        <f>IF(G872=D9,'Daily Load'!H289+F821,IF(G872=G817,'Daily Load'!H289+F821,'Daily Load'!H289))</f>
        <v>0</v>
      </c>
      <c r="G876" s="361">
        <f>IF(G872=D9,'Daily Load'!J289+G821,IF(G872=G817,'Daily Load'!J289+G821,'Daily Load'!J289))</f>
        <v>0</v>
      </c>
      <c r="H876" t="str">
        <f>H875</f>
        <v>bbl</v>
      </c>
      <c r="I876" s="33" t="s">
        <v>654</v>
      </c>
      <c r="J876" s="19"/>
      <c r="K876" s="19"/>
      <c r="L876" s="2165">
        <f>L821</f>
        <v>0</v>
      </c>
      <c r="M876" s="2166"/>
    </row>
    <row r="877" spans="2:13">
      <c r="B877" s="44" t="s">
        <v>640</v>
      </c>
      <c r="E877" s="361">
        <f>IF('Daily Load'!P290="Yes",'Daily Load'!L287,IF('Daily Load'!V290="Yes",'Daily Load'!R287,'Daily Load'!X287))</f>
        <v>0</v>
      </c>
      <c r="F877" s="361">
        <f>IF('Daily Load'!P290="Yes",'Daily Load'!N287,IF('Daily Load'!V290="Yes",'Daily Load'!T287,'Daily Load'!Z287))</f>
        <v>0</v>
      </c>
      <c r="G877" s="361">
        <f>IF('Daily Load'!P290="Yes",'Daily Load'!P287,IF('Daily Load'!V290="Yes",'Daily Load'!V287,'Daily Load'!AB287))</f>
        <v>0</v>
      </c>
      <c r="H877" t="str">
        <f>H876</f>
        <v>bbl</v>
      </c>
      <c r="I877" s="2160" t="str">
        <f>I822</f>
        <v xml:space="preserve"> </v>
      </c>
      <c r="J877" s="2059"/>
      <c r="K877" s="2161"/>
      <c r="L877" s="2162" t="str">
        <f>L822</f>
        <v xml:space="preserve">0 </v>
      </c>
      <c r="M877" s="2155"/>
    </row>
    <row r="878" spans="2:13" ht="13.5" thickBot="1">
      <c r="B878" s="46" t="s">
        <v>639</v>
      </c>
      <c r="C878" s="21"/>
      <c r="D878" s="21"/>
      <c r="E878" s="380">
        <f>IF('Daily Load'!P290="Yes",'Daily Load'!L288,IF('Daily Load'!V290="Yes",'Daily Load'!R288,'Daily Load'!X288))</f>
        <v>0</v>
      </c>
      <c r="F878" s="380">
        <f>IF('Daily Load'!P290="Yes",'Daily Load'!N288,IF('Daily Load'!V290="Yes",'Daily Load'!T288,'Daily Load'!Z288))</f>
        <v>0</v>
      </c>
      <c r="G878" s="380">
        <f>IF('Daily Load'!P290="Yes",'Daily Load'!P288,IF('Daily Load'!V290="Yes",'Daily Load'!V288,'Daily Load'!AB288))</f>
        <v>0</v>
      </c>
      <c r="H878" s="21" t="str">
        <f>H877</f>
        <v>bbl</v>
      </c>
      <c r="I878" s="2167" t="s">
        <v>677</v>
      </c>
      <c r="J878" s="2168"/>
      <c r="K878" s="2169"/>
      <c r="L878" s="2167" t="s">
        <v>826</v>
      </c>
      <c r="M878" s="2172"/>
    </row>
    <row r="879" spans="2:13">
      <c r="B879" s="50"/>
      <c r="C879" s="50"/>
      <c r="D879" s="50"/>
      <c r="E879" s="1185"/>
      <c r="F879" s="1185"/>
      <c r="G879" s="1185"/>
      <c r="H879" s="50"/>
      <c r="I879" s="1186"/>
      <c r="J879" s="1186"/>
      <c r="K879" s="1186"/>
      <c r="L879" s="1186"/>
      <c r="M879" s="1186"/>
    </row>
    <row r="880" spans="2:13" ht="13.5" thickBot="1">
      <c r="B880" s="21"/>
      <c r="C880" s="21"/>
      <c r="D880" s="21"/>
      <c r="E880" s="21"/>
      <c r="F880" s="21"/>
      <c r="G880" s="21"/>
      <c r="H880" s="21"/>
      <c r="I880" s="21"/>
      <c r="J880" s="21"/>
      <c r="K880" s="21"/>
      <c r="L880" s="21"/>
      <c r="M880" s="21"/>
    </row>
    <row r="881" spans="2:13">
      <c r="B881" s="44"/>
      <c r="M881" s="45"/>
    </row>
    <row r="882" spans="2:13">
      <c r="B882" s="44"/>
      <c r="J882" s="2143">
        <f>J827</f>
        <v>0</v>
      </c>
      <c r="K882" s="2143"/>
      <c r="L882" s="2143"/>
      <c r="M882" s="45"/>
    </row>
    <row r="883" spans="2:13">
      <c r="B883" s="44"/>
      <c r="M883" s="45"/>
    </row>
    <row r="884" spans="2:13" ht="13.1">
      <c r="B884" s="137" t="s">
        <v>634</v>
      </c>
      <c r="C884">
        <f>Summary!$C$6</f>
        <v>0</v>
      </c>
      <c r="H884" s="22" t="s">
        <v>636</v>
      </c>
      <c r="I884" s="22"/>
      <c r="K884" s="2158">
        <f>'Cost Control'!K83</f>
        <v>16</v>
      </c>
      <c r="L884" s="2158"/>
      <c r="M884" s="2159"/>
    </row>
    <row r="885" spans="2:13" ht="13.1">
      <c r="B885" s="44"/>
      <c r="H885" s="22"/>
      <c r="I885" s="22"/>
      <c r="M885" s="45"/>
    </row>
    <row r="886" spans="2:13" ht="13.1">
      <c r="B886" s="137" t="s">
        <v>635</v>
      </c>
      <c r="D886" s="2136">
        <f>D831</f>
        <v>0</v>
      </c>
      <c r="E886" s="2136"/>
      <c r="F886" s="2136"/>
      <c r="G886" s="2136"/>
      <c r="H886" s="2136"/>
      <c r="I886" s="22" t="s">
        <v>637</v>
      </c>
      <c r="J886" s="3">
        <f>J831+1</f>
        <v>17</v>
      </c>
      <c r="M886" s="45"/>
    </row>
    <row r="887" spans="2:13" ht="13.1">
      <c r="B887" s="137"/>
      <c r="D887" s="2136"/>
      <c r="E887" s="2136"/>
      <c r="F887" s="2136"/>
      <c r="G887" s="2136"/>
      <c r="H887" s="2136"/>
      <c r="I887" t="s">
        <v>63</v>
      </c>
      <c r="J887" s="2142">
        <f>J832</f>
        <v>0</v>
      </c>
      <c r="K887" s="2143"/>
      <c r="M887" s="45"/>
    </row>
    <row r="888" spans="2:13" ht="13.1">
      <c r="B888" s="137" t="s">
        <v>146</v>
      </c>
      <c r="D888">
        <f>Summary!$C$32</f>
        <v>0</v>
      </c>
      <c r="F888" s="1819" t="str">
        <f>F833</f>
        <v>OPEN HOLE INTERVAL:</v>
      </c>
      <c r="G888" s="1819"/>
      <c r="H888" s="2147">
        <f>H833</f>
        <v>0</v>
      </c>
      <c r="I888" s="2147"/>
      <c r="J888" s="2147">
        <f>J833</f>
        <v>0</v>
      </c>
      <c r="K888" s="2147"/>
      <c r="L888" s="2147">
        <f>L833</f>
        <v>0</v>
      </c>
      <c r="M888" s="2154"/>
    </row>
    <row r="889" spans="2:13">
      <c r="B889" s="44"/>
      <c r="H889" s="2153"/>
      <c r="I889" s="2153"/>
      <c r="J889" s="1145"/>
      <c r="K889" s="1145"/>
      <c r="L889" s="1145"/>
      <c r="M889" s="1146"/>
    </row>
    <row r="890" spans="2:13" ht="13.1">
      <c r="B890" s="44"/>
      <c r="D890">
        <f>Summary!$F$32</f>
        <v>0</v>
      </c>
      <c r="F890" s="1819" t="str">
        <f>F835</f>
        <v xml:space="preserve"> </v>
      </c>
      <c r="G890" s="1819"/>
      <c r="H890" s="2137">
        <f>H835</f>
        <v>0</v>
      </c>
      <c r="I890" s="2137"/>
      <c r="J890" s="2137">
        <f>J835</f>
        <v>0</v>
      </c>
      <c r="K890" s="2137"/>
      <c r="L890" s="2137">
        <f>L835</f>
        <v>0</v>
      </c>
      <c r="M890" s="2155"/>
    </row>
    <row r="891" spans="2:13" ht="13.1">
      <c r="B891" s="44"/>
      <c r="D891">
        <f>D836</f>
        <v>0</v>
      </c>
      <c r="F891" s="1819" t="str">
        <f>F836</f>
        <v xml:space="preserve"> </v>
      </c>
      <c r="G891" s="1819"/>
      <c r="H891" s="1737">
        <f>H836</f>
        <v>0</v>
      </c>
      <c r="I891" s="1737"/>
      <c r="J891" s="1737">
        <f>J836</f>
        <v>0</v>
      </c>
      <c r="K891" s="1737"/>
      <c r="L891" s="1737">
        <f>L836</f>
        <v>0</v>
      </c>
      <c r="M891" s="1791"/>
    </row>
    <row r="892" spans="2:13">
      <c r="B892" s="44"/>
      <c r="M892" s="45"/>
    </row>
    <row r="893" spans="2:13" ht="13.75" thickBot="1">
      <c r="B893" s="46"/>
      <c r="C893" s="21"/>
      <c r="D893" s="21"/>
      <c r="E893" s="1664" t="s">
        <v>638</v>
      </c>
      <c r="F893" s="1664"/>
      <c r="G893" s="1664"/>
      <c r="H893" s="1664"/>
      <c r="I893" s="1664"/>
      <c r="J893" s="21"/>
      <c r="K893" s="21"/>
      <c r="L893" s="21"/>
      <c r="M893" s="47"/>
    </row>
    <row r="894" spans="2:13" s="518" customFormat="1" ht="16.100000000000001" thickBot="1">
      <c r="B894" s="651"/>
      <c r="C894" s="484"/>
      <c r="D894" s="484"/>
      <c r="E894" s="484"/>
      <c r="F894" s="484"/>
      <c r="G894" s="484"/>
      <c r="H894" s="484"/>
      <c r="I894" s="2138" t="s">
        <v>61</v>
      </c>
      <c r="J894" s="2139"/>
      <c r="K894" s="2139"/>
      <c r="L894" s="2139"/>
      <c r="M894" s="2140"/>
    </row>
    <row r="895" spans="2:13" s="518" customFormat="1" ht="16.100000000000001" thickBot="1">
      <c r="B895" s="652"/>
      <c r="C895" s="484"/>
      <c r="D895" s="484"/>
      <c r="E895" s="484"/>
      <c r="F895" s="484"/>
      <c r="G895" s="484"/>
      <c r="H895" s="484"/>
      <c r="I895" s="2141" t="str">
        <f>I840</f>
        <v>Service</v>
      </c>
      <c r="J895" s="2141"/>
      <c r="K895" s="1159" t="s">
        <v>62</v>
      </c>
      <c r="L895" s="2144" t="s">
        <v>1454</v>
      </c>
      <c r="M895" s="2144"/>
    </row>
    <row r="896" spans="2:13" s="518" customFormat="1" ht="16.100000000000001" thickBot="1">
      <c r="B896" s="652"/>
      <c r="C896" s="484"/>
      <c r="D896" s="484"/>
      <c r="E896" s="484"/>
      <c r="F896" s="484"/>
      <c r="G896" s="484"/>
      <c r="H896" s="484"/>
      <c r="I896" s="2145" t="s">
        <v>1538</v>
      </c>
      <c r="J896" s="2146"/>
      <c r="K896" s="1160">
        <f>IF(L896&lt;&gt;0," ",0)</f>
        <v>0</v>
      </c>
      <c r="L896" s="2156">
        <f>SUM('Cost Control'!K85:K94)</f>
        <v>0</v>
      </c>
      <c r="M896" s="2157"/>
    </row>
    <row r="897" spans="2:13" s="518" customFormat="1" ht="16.100000000000001" thickBot="1">
      <c r="B897" s="652"/>
      <c r="C897" s="484"/>
      <c r="D897" s="484"/>
      <c r="E897" s="484"/>
      <c r="F897" s="484"/>
      <c r="G897" s="484"/>
      <c r="H897" s="484"/>
      <c r="I897" s="2145" t="s">
        <v>1539</v>
      </c>
      <c r="J897" s="2146"/>
      <c r="K897" s="1161">
        <f>IF(L897&lt;&gt;0,'Cost Control'!A131,0)</f>
        <v>0</v>
      </c>
      <c r="L897" s="2151">
        <f>SUM('Cost Control'!K131:K136)</f>
        <v>0</v>
      </c>
      <c r="M897" s="2152"/>
    </row>
    <row r="898" spans="2:13" s="518" customFormat="1" ht="16.100000000000001" thickBot="1">
      <c r="B898" s="652"/>
      <c r="C898" s="484"/>
      <c r="D898" s="484"/>
      <c r="E898" s="484"/>
      <c r="F898" s="484"/>
      <c r="G898" s="484"/>
      <c r="H898" s="484"/>
      <c r="I898" s="2145" t="s">
        <v>903</v>
      </c>
      <c r="J898" s="2146"/>
      <c r="K898" s="1161">
        <f>IF(L898&lt;&gt;0,'Cost Control'!A118,0)</f>
        <v>0</v>
      </c>
      <c r="L898" s="2151">
        <f>SUM('Cost Control'!K118:K129)</f>
        <v>0</v>
      </c>
      <c r="M898" s="2152"/>
    </row>
    <row r="899" spans="2:13" s="518" customFormat="1" ht="16.100000000000001" thickBot="1">
      <c r="B899" s="652"/>
      <c r="C899" s="484"/>
      <c r="D899" s="484"/>
      <c r="E899" s="484"/>
      <c r="F899" s="484"/>
      <c r="G899" s="484"/>
      <c r="H899" s="484"/>
      <c r="I899" s="2145" t="s">
        <v>1540</v>
      </c>
      <c r="J899" s="2146"/>
      <c r="K899" s="1161" t="str">
        <f>IF(L899&lt;&gt;0,'Cost Control'!A138," ")</f>
        <v xml:space="preserve"> </v>
      </c>
      <c r="L899" s="2151">
        <f>SUM('Cost Control'!K138:K144)</f>
        <v>0</v>
      </c>
      <c r="M899" s="2152"/>
    </row>
    <row r="900" spans="2:13" s="518" customFormat="1" ht="15.45">
      <c r="B900" s="652"/>
      <c r="C900" s="484"/>
      <c r="D900" s="484"/>
      <c r="E900" s="484"/>
      <c r="F900" s="484"/>
      <c r="G900" s="484"/>
      <c r="H900" s="484"/>
      <c r="I900" s="2145" t="s">
        <v>1451</v>
      </c>
      <c r="J900" s="2146"/>
      <c r="K900" s="1161">
        <f>IF(L900&lt;&gt;0,'Cost Control'!A146,0)</f>
        <v>0</v>
      </c>
      <c r="L900" s="2151">
        <f>SUM('Cost Control'!K146:K151)</f>
        <v>0</v>
      </c>
      <c r="M900" s="2152"/>
    </row>
    <row r="901" spans="2:13" s="518" customFormat="1" ht="15.45">
      <c r="B901" s="652"/>
      <c r="C901" s="484"/>
      <c r="D901" s="484"/>
      <c r="E901" s="484"/>
      <c r="F901" s="484"/>
      <c r="G901" s="484"/>
      <c r="H901" s="484"/>
      <c r="I901" s="2148" t="str">
        <f>IF(L901&lt;&gt;0,'Cost Control'!B96," ")</f>
        <v xml:space="preserve"> </v>
      </c>
      <c r="J901" s="2149"/>
      <c r="K901" s="1161">
        <f>IF(L901&lt;&gt;0,'Cost Control'!A96,0)</f>
        <v>0</v>
      </c>
      <c r="L901" s="2151">
        <f>'Cost Control'!K96</f>
        <v>0</v>
      </c>
      <c r="M901" s="2152"/>
    </row>
    <row r="902" spans="2:13" s="518" customFormat="1" ht="15.45">
      <c r="B902" s="652"/>
      <c r="C902" s="484"/>
      <c r="D902" s="484"/>
      <c r="E902" s="484"/>
      <c r="F902" s="484"/>
      <c r="G902" s="484"/>
      <c r="H902" s="484"/>
      <c r="I902" s="2148" t="str">
        <f>IF(L902&lt;&gt;0,'Cost Control'!B97," ")</f>
        <v xml:space="preserve"> </v>
      </c>
      <c r="J902" s="2149"/>
      <c r="K902" s="1161">
        <f>IF(L902&lt;&gt;0,'Cost Control'!A97,0)</f>
        <v>0</v>
      </c>
      <c r="L902" s="2151">
        <f>'Cost Control'!K97</f>
        <v>0</v>
      </c>
      <c r="M902" s="2152"/>
    </row>
    <row r="903" spans="2:13" s="518" customFormat="1" ht="15.45">
      <c r="B903" s="652"/>
      <c r="C903" s="484"/>
      <c r="D903" s="484"/>
      <c r="E903" s="484"/>
      <c r="F903" s="484"/>
      <c r="G903" s="484"/>
      <c r="H903" s="484"/>
      <c r="I903" s="2148" t="str">
        <f>IF(L903&lt;&gt;0,'Cost Control'!B98," ")</f>
        <v xml:space="preserve"> </v>
      </c>
      <c r="J903" s="2149"/>
      <c r="K903" s="1161">
        <f>IF(L903&lt;&gt;0,'Cost Control'!A98,0)</f>
        <v>0</v>
      </c>
      <c r="L903" s="2151">
        <f>'Cost Control'!K98</f>
        <v>0</v>
      </c>
      <c r="M903" s="2152"/>
    </row>
    <row r="904" spans="2:13" s="518" customFormat="1" ht="15.45">
      <c r="B904" s="652"/>
      <c r="C904" s="484"/>
      <c r="D904" s="484"/>
      <c r="E904" s="484"/>
      <c r="F904" s="484"/>
      <c r="G904" s="484"/>
      <c r="H904" s="484"/>
      <c r="I904" s="2148" t="str">
        <f>IF(L904&lt;&gt;0,'Cost Control'!B99," ")</f>
        <v xml:space="preserve"> </v>
      </c>
      <c r="J904" s="2149"/>
      <c r="K904" s="1161">
        <f>IF(L904&lt;&gt;0,'Cost Control'!A99,0)</f>
        <v>0</v>
      </c>
      <c r="L904" s="2151">
        <f>'Cost Control'!K99</f>
        <v>0</v>
      </c>
      <c r="M904" s="2152"/>
    </row>
    <row r="905" spans="2:13" s="518" customFormat="1" ht="15.45">
      <c r="B905" s="652"/>
      <c r="C905" s="484"/>
      <c r="D905" s="484"/>
      <c r="E905" s="484"/>
      <c r="F905" s="484"/>
      <c r="G905" s="484"/>
      <c r="H905" s="484"/>
      <c r="I905" s="2148" t="str">
        <f>IF(L905&lt;&gt;0,'Cost Control'!B100," ")</f>
        <v xml:space="preserve"> </v>
      </c>
      <c r="J905" s="2149"/>
      <c r="K905" s="1161">
        <f>IF(L905&lt;&gt;0,'Cost Control'!A100,0)</f>
        <v>0</v>
      </c>
      <c r="L905" s="2151">
        <f>'Cost Control'!K100</f>
        <v>0</v>
      </c>
      <c r="M905" s="2152"/>
    </row>
    <row r="906" spans="2:13" s="518" customFormat="1" ht="15.45">
      <c r="B906" s="652"/>
      <c r="C906" s="484"/>
      <c r="D906" s="484"/>
      <c r="E906" s="484"/>
      <c r="F906" s="484"/>
      <c r="G906" s="484"/>
      <c r="H906" s="484"/>
      <c r="I906" s="2148" t="str">
        <f>IF(L906&lt;&gt;0,'Cost Control'!B101," ")</f>
        <v xml:space="preserve"> </v>
      </c>
      <c r="J906" s="2149"/>
      <c r="K906" s="1161">
        <f>IF(L906&lt;&gt;0,'Cost Control'!A101,0)</f>
        <v>0</v>
      </c>
      <c r="L906" s="2151">
        <f>'Cost Control'!K101</f>
        <v>0</v>
      </c>
      <c r="M906" s="2152"/>
    </row>
    <row r="907" spans="2:13" s="518" customFormat="1" ht="15.45">
      <c r="B907" s="652"/>
      <c r="C907" s="484"/>
      <c r="D907" s="484"/>
      <c r="E907" s="484"/>
      <c r="F907" s="484"/>
      <c r="G907" s="484"/>
      <c r="H907" s="484"/>
      <c r="I907" s="2148" t="str">
        <f>IF(L907&lt;&gt;0,'Cost Control'!B102," ")</f>
        <v xml:space="preserve"> </v>
      </c>
      <c r="J907" s="2149"/>
      <c r="K907" s="1161">
        <f>IF(L907&lt;&gt;0,'Cost Control'!A102,0)</f>
        <v>0</v>
      </c>
      <c r="L907" s="2151">
        <f>'Cost Control'!K102</f>
        <v>0</v>
      </c>
      <c r="M907" s="2152"/>
    </row>
    <row r="908" spans="2:13" s="518" customFormat="1" ht="15.45">
      <c r="B908" s="652"/>
      <c r="C908" s="484"/>
      <c r="D908" s="484"/>
      <c r="E908" s="484"/>
      <c r="F908" s="484"/>
      <c r="G908" s="484"/>
      <c r="H908" s="484"/>
      <c r="I908" s="2148" t="str">
        <f>IF(L908&lt;&gt;0,'Cost Control'!B103," ")</f>
        <v xml:space="preserve"> </v>
      </c>
      <c r="J908" s="2149"/>
      <c r="K908" s="1161">
        <f>IF(L908&lt;&gt;0,'Cost Control'!A103,0)</f>
        <v>0</v>
      </c>
      <c r="L908" s="2151">
        <f>'Cost Control'!K103</f>
        <v>0</v>
      </c>
      <c r="M908" s="2152"/>
    </row>
    <row r="909" spans="2:13" s="518" customFormat="1" ht="15.45">
      <c r="B909" s="652"/>
      <c r="C909" s="484"/>
      <c r="D909" s="484"/>
      <c r="E909" s="484"/>
      <c r="F909" s="484"/>
      <c r="G909" s="484"/>
      <c r="H909" s="484"/>
      <c r="I909" s="2148" t="str">
        <f>IF(L909&lt;&gt;0,'Cost Control'!B104," ")</f>
        <v xml:space="preserve"> </v>
      </c>
      <c r="J909" s="2149"/>
      <c r="K909" s="1161">
        <f>IF(L909&lt;&gt;0,'Cost Control'!A104,0)</f>
        <v>0</v>
      </c>
      <c r="L909" s="2151">
        <f>'Cost Control'!K104</f>
        <v>0</v>
      </c>
      <c r="M909" s="2152"/>
    </row>
    <row r="910" spans="2:13" s="518" customFormat="1" ht="15.45">
      <c r="B910" s="652"/>
      <c r="C910" s="484"/>
      <c r="D910" s="484"/>
      <c r="E910" s="484"/>
      <c r="F910" s="484"/>
      <c r="G910" s="484"/>
      <c r="H910" s="484"/>
      <c r="I910" s="2148" t="str">
        <f>IF(L910&lt;&gt;0,'Cost Control'!B105," ")</f>
        <v xml:space="preserve"> </v>
      </c>
      <c r="J910" s="2149"/>
      <c r="K910" s="1161">
        <f>IF(L910&lt;&gt;0,'Cost Control'!A105,0)</f>
        <v>0</v>
      </c>
      <c r="L910" s="2151">
        <f>'Cost Control'!K105</f>
        <v>0</v>
      </c>
      <c r="M910" s="2152"/>
    </row>
    <row r="911" spans="2:13" s="518" customFormat="1" ht="15.45">
      <c r="B911" s="652"/>
      <c r="C911" s="484"/>
      <c r="D911" s="484"/>
      <c r="E911" s="484"/>
      <c r="F911" s="484"/>
      <c r="G911" s="484"/>
      <c r="H911" s="484"/>
      <c r="I911" s="2148" t="str">
        <f>IF(L911&lt;&gt;0,'Cost Control'!B106," ")</f>
        <v xml:space="preserve"> </v>
      </c>
      <c r="J911" s="2149"/>
      <c r="K911" s="1161">
        <f>IF(L911&lt;&gt;0,'Cost Control'!A106,0)</f>
        <v>0</v>
      </c>
      <c r="L911" s="2151">
        <f>'Cost Control'!K106</f>
        <v>0</v>
      </c>
      <c r="M911" s="2152"/>
    </row>
    <row r="912" spans="2:13" s="518" customFormat="1" ht="15.45">
      <c r="B912" s="652"/>
      <c r="C912" s="484"/>
      <c r="D912" s="484"/>
      <c r="E912" s="484"/>
      <c r="F912" s="484"/>
      <c r="G912" s="484"/>
      <c r="H912" s="484"/>
      <c r="I912" s="2148" t="str">
        <f>IF(L912&lt;&gt;0,'Cost Control'!B107," ")</f>
        <v xml:space="preserve"> </v>
      </c>
      <c r="J912" s="2149"/>
      <c r="K912" s="1161">
        <f>IF(L912&lt;&gt;0,'Cost Control'!A107,0)</f>
        <v>0</v>
      </c>
      <c r="L912" s="2151">
        <f>'Cost Control'!K107</f>
        <v>0</v>
      </c>
      <c r="M912" s="2152"/>
    </row>
    <row r="913" spans="2:13" s="518" customFormat="1" ht="15.45">
      <c r="B913" s="652"/>
      <c r="C913" s="484"/>
      <c r="D913" s="484"/>
      <c r="E913" s="484"/>
      <c r="F913" s="484"/>
      <c r="G913" s="484"/>
      <c r="H913" s="484"/>
      <c r="I913" s="2148" t="str">
        <f>IF(L913&lt;&gt;0,'Cost Control'!B108," ")</f>
        <v xml:space="preserve"> </v>
      </c>
      <c r="J913" s="2149"/>
      <c r="K913" s="1161">
        <f>IF(L913&lt;&gt;0,'Cost Control'!A108,0)</f>
        <v>0</v>
      </c>
      <c r="L913" s="2151">
        <f>'Cost Control'!K108</f>
        <v>0</v>
      </c>
      <c r="M913" s="2152"/>
    </row>
    <row r="914" spans="2:13" s="518" customFormat="1" ht="15.45">
      <c r="B914" s="652"/>
      <c r="C914" s="484"/>
      <c r="D914" s="484"/>
      <c r="E914" s="484"/>
      <c r="F914" s="484"/>
      <c r="G914" s="484"/>
      <c r="H914" s="484"/>
      <c r="I914" s="2148" t="str">
        <f>IF(L914&lt;&gt;0,'Cost Control'!B109," ")</f>
        <v xml:space="preserve"> </v>
      </c>
      <c r="J914" s="2149"/>
      <c r="K914" s="1161">
        <f>IF(L914&lt;&gt;0,'Cost Control'!A109,0)</f>
        <v>0</v>
      </c>
      <c r="L914" s="2151">
        <f>'Cost Control'!K109</f>
        <v>0</v>
      </c>
      <c r="M914" s="2152"/>
    </row>
    <row r="915" spans="2:13" s="518" customFormat="1" ht="15.45">
      <c r="B915" s="652"/>
      <c r="C915" s="484"/>
      <c r="D915" s="484"/>
      <c r="E915" s="484"/>
      <c r="F915" s="484"/>
      <c r="G915" s="484"/>
      <c r="H915" s="484"/>
      <c r="I915" s="2148" t="str">
        <f>IF(L915&lt;&gt;0,'Cost Control'!B110," ")</f>
        <v xml:space="preserve"> </v>
      </c>
      <c r="J915" s="2149"/>
      <c r="K915" s="1161">
        <f>IF(L915&lt;&gt;0,'Cost Control'!A110,0)</f>
        <v>0</v>
      </c>
      <c r="L915" s="2151">
        <f>'Cost Control'!K110</f>
        <v>0</v>
      </c>
      <c r="M915" s="2152"/>
    </row>
    <row r="916" spans="2:13" s="518" customFormat="1" ht="15.45">
      <c r="B916" s="652"/>
      <c r="C916" s="484"/>
      <c r="D916" s="484"/>
      <c r="E916" s="484"/>
      <c r="F916" s="484"/>
      <c r="G916" s="484"/>
      <c r="H916" s="484"/>
      <c r="I916" s="2148" t="str">
        <f>IF(L916&lt;&gt;0,'Cost Control'!B111," ")</f>
        <v xml:space="preserve"> </v>
      </c>
      <c r="J916" s="2149"/>
      <c r="K916" s="1161">
        <f>IF(L916&lt;&gt;0,'Cost Control'!A111,0)</f>
        <v>0</v>
      </c>
      <c r="L916" s="2151">
        <f>'Cost Control'!K111</f>
        <v>0</v>
      </c>
      <c r="M916" s="2152"/>
    </row>
    <row r="917" spans="2:13" s="518" customFormat="1" ht="15.45">
      <c r="B917" s="652"/>
      <c r="C917" s="484"/>
      <c r="D917" s="484"/>
      <c r="E917" s="484"/>
      <c r="F917" s="484"/>
      <c r="G917" s="484"/>
      <c r="H917" s="484"/>
      <c r="I917" s="2148" t="str">
        <f>IF(L917&lt;&gt;0,'Cost Control'!B112," ")</f>
        <v xml:space="preserve"> </v>
      </c>
      <c r="J917" s="2149"/>
      <c r="K917" s="1161">
        <f>IF(L917&lt;&gt;0,'Cost Control'!A112,0)</f>
        <v>0</v>
      </c>
      <c r="L917" s="2151">
        <f>'Cost Control'!K112</f>
        <v>0</v>
      </c>
      <c r="M917" s="2152"/>
    </row>
    <row r="918" spans="2:13" s="518" customFormat="1" ht="15.45">
      <c r="B918" s="652"/>
      <c r="C918" s="484"/>
      <c r="D918" s="484"/>
      <c r="E918" s="484"/>
      <c r="F918" s="484"/>
      <c r="G918" s="484"/>
      <c r="H918" s="484"/>
      <c r="I918" s="2148" t="str">
        <f>IF(L918&lt;&gt;0,'Cost Control'!B113," ")</f>
        <v xml:space="preserve"> </v>
      </c>
      <c r="J918" s="2149"/>
      <c r="K918" s="1161">
        <f>IF(L918&lt;&gt;0,'Cost Control'!A113,0)</f>
        <v>0</v>
      </c>
      <c r="L918" s="2151">
        <f>'Cost Control'!K113</f>
        <v>0</v>
      </c>
      <c r="M918" s="2152"/>
    </row>
    <row r="919" spans="2:13" s="518" customFormat="1" ht="15.45">
      <c r="B919" s="652"/>
      <c r="C919" s="484"/>
      <c r="D919" s="484"/>
      <c r="E919" s="484"/>
      <c r="F919" s="484"/>
      <c r="G919" s="484"/>
      <c r="H919" s="484"/>
      <c r="I919" s="2148" t="str">
        <f>IF(L919&lt;&gt;0,'Cost Control'!B114," ")</f>
        <v xml:space="preserve"> </v>
      </c>
      <c r="J919" s="2149"/>
      <c r="K919" s="1161">
        <f>IF(L919&lt;&gt;0,'Cost Control'!A114,0)</f>
        <v>0</v>
      </c>
      <c r="L919" s="2151">
        <f>'Cost Control'!K114</f>
        <v>0</v>
      </c>
      <c r="M919" s="2152"/>
    </row>
    <row r="920" spans="2:13" s="518" customFormat="1" ht="15.45">
      <c r="B920" s="652"/>
      <c r="C920" s="484"/>
      <c r="D920" s="484"/>
      <c r="E920" s="484"/>
      <c r="F920" s="484"/>
      <c r="G920" s="484"/>
      <c r="H920" s="484"/>
      <c r="I920" s="2148" t="str">
        <f>IF(L920&lt;&gt;0,'Cost Control'!B115," ")</f>
        <v xml:space="preserve"> </v>
      </c>
      <c r="J920" s="2149"/>
      <c r="K920" s="1161">
        <f>IF(L920&lt;&gt;0,'Cost Control'!A115,0)</f>
        <v>0</v>
      </c>
      <c r="L920" s="2151">
        <f>'Cost Control'!K115</f>
        <v>0</v>
      </c>
      <c r="M920" s="2152"/>
    </row>
    <row r="921" spans="2:13" s="518" customFormat="1" ht="15.45">
      <c r="B921" s="652"/>
      <c r="C921" s="484"/>
      <c r="D921" s="484"/>
      <c r="E921" s="484"/>
      <c r="F921" s="484"/>
      <c r="G921" s="484"/>
      <c r="H921" s="484"/>
      <c r="I921" s="2148" t="str">
        <f>IF(L921&lt;&gt;0,'Cost Control'!B116," ")</f>
        <v xml:space="preserve"> </v>
      </c>
      <c r="J921" s="2149"/>
      <c r="K921" s="1161">
        <f>IF(L921&lt;&gt;0,'Cost Control'!A116,0)</f>
        <v>0</v>
      </c>
      <c r="L921" s="2151">
        <f>'Cost Control'!K116</f>
        <v>0</v>
      </c>
      <c r="M921" s="2152"/>
    </row>
    <row r="922" spans="2:13" s="518" customFormat="1" ht="16.100000000000001" thickBot="1">
      <c r="B922" s="652"/>
      <c r="C922" s="484"/>
      <c r="D922" s="484"/>
      <c r="E922" s="484"/>
      <c r="F922" s="484"/>
      <c r="G922" s="484"/>
      <c r="H922" s="484"/>
      <c r="I922" s="2148" t="str">
        <f>IF(L922&lt;&gt;0,'Cost Control'!B117," ")</f>
        <v xml:space="preserve"> </v>
      </c>
      <c r="J922" s="2149"/>
      <c r="K922" s="1161">
        <f>IF(L922&lt;&gt;0,'Cost Control'!A117,0)</f>
        <v>0</v>
      </c>
      <c r="L922" s="2151">
        <f>'Cost Control'!K117</f>
        <v>0</v>
      </c>
      <c r="M922" s="2152"/>
    </row>
    <row r="923" spans="2:13" ht="13.1">
      <c r="B923" s="141" t="s">
        <v>695</v>
      </c>
      <c r="C923" s="50"/>
      <c r="D923" s="50"/>
      <c r="E923" s="2150">
        <f>K939</f>
        <v>17</v>
      </c>
      <c r="F923" s="2150"/>
      <c r="G923" s="50"/>
      <c r="H923" s="50"/>
      <c r="I923" s="50"/>
      <c r="J923" s="50"/>
      <c r="K923" s="50"/>
      <c r="L923" s="50"/>
      <c r="M923" s="43"/>
    </row>
    <row r="924" spans="2:13">
      <c r="B924" s="1628"/>
      <c r="C924" s="1629"/>
      <c r="D924" s="1629"/>
      <c r="E924" s="1629"/>
      <c r="F924" s="1629"/>
      <c r="G924" s="1629"/>
      <c r="H924" s="1629"/>
      <c r="I924" s="1629"/>
      <c r="J924" s="1629"/>
      <c r="K924" s="1629"/>
      <c r="L924" s="1629"/>
      <c r="M924" s="1630"/>
    </row>
    <row r="925" spans="2:13" ht="13.5" thickBot="1">
      <c r="B925" s="1480"/>
      <c r="C925" s="1479"/>
      <c r="D925" s="1479"/>
      <c r="E925" s="1479"/>
      <c r="F925" s="1479"/>
      <c r="G925" s="1479"/>
      <c r="H925" s="1631"/>
      <c r="I925" s="1631"/>
      <c r="J925" s="1631"/>
      <c r="K925" s="1631"/>
      <c r="L925" s="1631"/>
      <c r="M925" s="1555"/>
    </row>
    <row r="926" spans="2:13" ht="15.45">
      <c r="B926" s="307" t="s">
        <v>645</v>
      </c>
      <c r="C926" s="308"/>
      <c r="D926" s="2135">
        <f>D871</f>
        <v>0</v>
      </c>
      <c r="E926" s="2135"/>
      <c r="F926" s="309" t="s">
        <v>647</v>
      </c>
      <c r="G926" s="310">
        <f>G871</f>
        <v>0</v>
      </c>
      <c r="H926" s="172" t="s">
        <v>648</v>
      </c>
      <c r="I926" s="472">
        <v>0</v>
      </c>
      <c r="J926" s="2173" t="s">
        <v>650</v>
      </c>
      <c r="K926" s="2173"/>
      <c r="L926" s="1378"/>
      <c r="M926" s="486" t="str">
        <f>M871</f>
        <v>° F</v>
      </c>
    </row>
    <row r="927" spans="2:13">
      <c r="B927" s="44" t="s">
        <v>644</v>
      </c>
      <c r="E927" t="s">
        <v>655</v>
      </c>
      <c r="G927">
        <f>IF('Daily Load'!P308="Yes",Operations!D888,IF('Daily Load'!V308="Yes",Operations!D890,Operations!D891))</f>
        <v>0</v>
      </c>
      <c r="I927" s="195" t="s">
        <v>651</v>
      </c>
      <c r="L927" s="2170">
        <f>'Cost Control'!K152</f>
        <v>0</v>
      </c>
      <c r="M927" s="2171"/>
    </row>
    <row r="928" spans="2:13">
      <c r="B928" s="44"/>
      <c r="E928" s="223" t="s">
        <v>193</v>
      </c>
      <c r="F928" s="223" t="s">
        <v>194</v>
      </c>
      <c r="G928" s="223" t="str">
        <f>G873</f>
        <v>Other</v>
      </c>
      <c r="H928" s="1627" t="s">
        <v>587</v>
      </c>
      <c r="I928" s="31" t="s">
        <v>652</v>
      </c>
      <c r="L928" s="2170">
        <f>L874</f>
        <v>0</v>
      </c>
      <c r="M928" s="2171"/>
    </row>
    <row r="929" spans="2:13" ht="13.5" thickBot="1">
      <c r="B929" s="44" t="s">
        <v>643</v>
      </c>
      <c r="E929" s="361">
        <f>IF(E933&gt;0,E931-E933,E931+E932+E930)</f>
        <v>0</v>
      </c>
      <c r="F929" s="361">
        <f>IF(F933&gt;0,F931-F933,F931+F932+F930)</f>
        <v>0</v>
      </c>
      <c r="G929" s="361">
        <f>IF(G933&gt;0,G931-G933,G931+G932+G930)</f>
        <v>0</v>
      </c>
      <c r="H929" t="str">
        <f>H878</f>
        <v>bbl</v>
      </c>
      <c r="I929" s="31" t="s">
        <v>653</v>
      </c>
      <c r="L929" s="2163">
        <f>L927+L928</f>
        <v>0</v>
      </c>
      <c r="M929" s="2164"/>
    </row>
    <row r="930" spans="2:13" ht="13.5" thickTop="1">
      <c r="B930" s="311" t="s">
        <v>642</v>
      </c>
      <c r="E930" s="361">
        <f>IF('Daily Load'!P308="Yes",'Daily Load'!L303,IF('Daily Load'!V308="Yes",'Daily Load'!R303,'Daily Load'!X303))</f>
        <v>0</v>
      </c>
      <c r="F930" s="361">
        <f>IF('Daily Load'!P308="Yes",'Daily Load'!N303,IF('Daily Load'!V308="Yes",'Daily Load'!T303,'Daily Load'!Z303))</f>
        <v>0</v>
      </c>
      <c r="G930" s="361">
        <f>IF('Daily Load'!P308="Yes",'Daily Load'!P303,IF('Daily Load'!V308="Yes",'Daily Load'!V303,'Daily Load'!AB303))</f>
        <v>0</v>
      </c>
      <c r="H930" t="str">
        <f>H929</f>
        <v>bbl</v>
      </c>
      <c r="I930" s="31"/>
      <c r="L930" s="521"/>
      <c r="M930" s="522"/>
    </row>
    <row r="931" spans="2:13">
      <c r="B931" s="44" t="s">
        <v>641</v>
      </c>
      <c r="E931" s="361">
        <f>IF(G927=D9,'Daily Load'!F307+E876,IF(G927=G872,'Daily Load'!F307+E876,'Daily Load'!F307))</f>
        <v>0</v>
      </c>
      <c r="F931" s="361">
        <f>IF(G927=D9,'Daily Load'!H307+F876,IF(G927=G872,'Daily Load'!H307+F876,'Daily Load'!H307))</f>
        <v>0</v>
      </c>
      <c r="G931" s="361">
        <f>IF(G927=D9,'Daily Load'!J307+G876,IF(G927=G872,'Daily Load'!J307+G876,'Daily Load'!J307))</f>
        <v>0</v>
      </c>
      <c r="H931" t="str">
        <f>H930</f>
        <v>bbl</v>
      </c>
      <c r="I931" s="33" t="s">
        <v>654</v>
      </c>
      <c r="J931" s="19"/>
      <c r="K931" s="19"/>
      <c r="L931" s="2165">
        <f>L876</f>
        <v>0</v>
      </c>
      <c r="M931" s="2166"/>
    </row>
    <row r="932" spans="2:13">
      <c r="B932" s="44" t="s">
        <v>640</v>
      </c>
      <c r="E932" s="361">
        <f>IF('Daily Load'!P308="Yes",'Daily Load'!L305,IF('Daily Load'!V308="Yes",'Daily Load'!R305,'Daily Load'!X305))</f>
        <v>0</v>
      </c>
      <c r="F932" s="361">
        <f>IF('Daily Load'!P308="Yes",'Daily Load'!N305,IF('Daily Load'!V308="Yes",'Daily Load'!T305,'Daily Load'!Z305))</f>
        <v>0</v>
      </c>
      <c r="G932" s="361">
        <f>IF('Daily Load'!P308="Yes",'Daily Load'!P305,IF('Daily Load'!V308="Yes",'Daily Load'!V305,'Daily Load'!AB305))</f>
        <v>0</v>
      </c>
      <c r="H932" t="str">
        <f>H931</f>
        <v>bbl</v>
      </c>
      <c r="I932" s="2160" t="str">
        <f>I877</f>
        <v xml:space="preserve"> </v>
      </c>
      <c r="J932" s="2059"/>
      <c r="K932" s="2161"/>
      <c r="L932" s="2162" t="str">
        <f>L877</f>
        <v xml:space="preserve">0 </v>
      </c>
      <c r="M932" s="2155"/>
    </row>
    <row r="933" spans="2:13" ht="13.5" thickBot="1">
      <c r="B933" s="46" t="s">
        <v>639</v>
      </c>
      <c r="C933" s="21"/>
      <c r="D933" s="21"/>
      <c r="E933" s="380">
        <f>IF('Daily Load'!P308="Yes",'Daily Load'!L306,IF('Daily Load'!V308="Yes",'Daily Load'!R306,'Daily Load'!X306))</f>
        <v>0</v>
      </c>
      <c r="F933" s="380">
        <f>IF('Daily Load'!P308="Yes",'Daily Load'!N306,IF('Daily Load'!V308="Yes",'Daily Load'!T306,'Daily Load'!Z306))</f>
        <v>0</v>
      </c>
      <c r="G933" s="380">
        <f>IF('Daily Load'!P308="Yes",'Daily Load'!P306,IF('Daily Load'!V308="Yes",'Daily Load'!V306,'Daily Load'!AB306))</f>
        <v>0</v>
      </c>
      <c r="H933" s="21" t="str">
        <f>H932</f>
        <v>bbl</v>
      </c>
      <c r="I933" s="2167" t="s">
        <v>677</v>
      </c>
      <c r="J933" s="2168"/>
      <c r="K933" s="2169"/>
      <c r="L933" s="2167" t="s">
        <v>826</v>
      </c>
      <c r="M933" s="2172"/>
    </row>
    <row r="934" spans="2:13">
      <c r="B934" s="50"/>
      <c r="C934" s="50"/>
      <c r="D934" s="50"/>
      <c r="E934" s="1185"/>
      <c r="F934" s="1185"/>
      <c r="G934" s="1185"/>
      <c r="H934" s="50"/>
      <c r="I934" s="1186"/>
      <c r="J934" s="1186"/>
      <c r="K934" s="1186"/>
      <c r="L934" s="1186"/>
      <c r="M934" s="1186"/>
    </row>
    <row r="935" spans="2:13" ht="13.5" thickBot="1">
      <c r="B935" s="21"/>
      <c r="C935" s="21"/>
      <c r="D935" s="21"/>
      <c r="E935" s="21"/>
      <c r="F935" s="21"/>
      <c r="G935" s="21"/>
      <c r="H935" s="21"/>
      <c r="I935" s="21"/>
      <c r="J935" s="21"/>
      <c r="K935" s="21"/>
      <c r="L935" s="21"/>
      <c r="M935" s="21"/>
    </row>
    <row r="936" spans="2:13">
      <c r="B936" s="44"/>
      <c r="M936" s="45"/>
    </row>
    <row r="937" spans="2:13">
      <c r="B937" s="44"/>
      <c r="J937" s="2143">
        <f>J882</f>
        <v>0</v>
      </c>
      <c r="K937" s="2143"/>
      <c r="L937" s="2143"/>
      <c r="M937" s="45"/>
    </row>
    <row r="938" spans="2:13">
      <c r="B938" s="44"/>
      <c r="M938" s="45"/>
    </row>
    <row r="939" spans="2:13" ht="13.1">
      <c r="B939" s="137" t="s">
        <v>634</v>
      </c>
      <c r="C939">
        <f>Summary!$C$6</f>
        <v>0</v>
      </c>
      <c r="H939" s="22" t="s">
        <v>636</v>
      </c>
      <c r="I939" s="22"/>
      <c r="K939" s="2158">
        <f>'Cost Control'!L83</f>
        <v>17</v>
      </c>
      <c r="L939" s="2158"/>
      <c r="M939" s="2159"/>
    </row>
    <row r="940" spans="2:13" ht="13.1">
      <c r="B940" s="44"/>
      <c r="H940" s="22"/>
      <c r="I940" s="22"/>
      <c r="M940" s="45"/>
    </row>
    <row r="941" spans="2:13" ht="13.1">
      <c r="B941" s="137" t="s">
        <v>635</v>
      </c>
      <c r="D941" s="2136">
        <f>D886</f>
        <v>0</v>
      </c>
      <c r="E941" s="2136"/>
      <c r="F941" s="2136"/>
      <c r="G941" s="2136"/>
      <c r="H941" s="2136"/>
      <c r="I941" s="22" t="s">
        <v>637</v>
      </c>
      <c r="J941" s="3">
        <f>J886+1</f>
        <v>18</v>
      </c>
      <c r="M941" s="45"/>
    </row>
    <row r="942" spans="2:13" ht="13.1">
      <c r="B942" s="137"/>
      <c r="D942" s="2136"/>
      <c r="E942" s="2136"/>
      <c r="F942" s="2136"/>
      <c r="G942" s="2136"/>
      <c r="H942" s="2136"/>
      <c r="I942" t="s">
        <v>63</v>
      </c>
      <c r="J942" s="2142">
        <f>J887</f>
        <v>0</v>
      </c>
      <c r="K942" s="2143"/>
      <c r="M942" s="45"/>
    </row>
    <row r="943" spans="2:13" ht="13.1">
      <c r="B943" s="137" t="s">
        <v>146</v>
      </c>
      <c r="D943">
        <f>Summary!$C$32</f>
        <v>0</v>
      </c>
      <c r="F943" s="1819" t="str">
        <f>F888</f>
        <v>OPEN HOLE INTERVAL:</v>
      </c>
      <c r="G943" s="1819"/>
      <c r="H943" s="2147">
        <f>H888</f>
        <v>0</v>
      </c>
      <c r="I943" s="2147"/>
      <c r="J943" s="2147">
        <f>J888</f>
        <v>0</v>
      </c>
      <c r="K943" s="2147"/>
      <c r="L943" s="2147">
        <f>L888</f>
        <v>0</v>
      </c>
      <c r="M943" s="2154"/>
    </row>
    <row r="944" spans="2:13">
      <c r="B944" s="44"/>
      <c r="H944" s="2153"/>
      <c r="I944" s="2153"/>
      <c r="J944" s="1145"/>
      <c r="K944" s="1145"/>
      <c r="L944" s="1145"/>
      <c r="M944" s="1146"/>
    </row>
    <row r="945" spans="2:13" ht="13.1">
      <c r="B945" s="44"/>
      <c r="D945">
        <f>Summary!$F$32</f>
        <v>0</v>
      </c>
      <c r="F945" s="1819" t="str">
        <f>F890</f>
        <v xml:space="preserve"> </v>
      </c>
      <c r="G945" s="1819"/>
      <c r="H945" s="2137">
        <f>H890</f>
        <v>0</v>
      </c>
      <c r="I945" s="2137"/>
      <c r="J945" s="2137">
        <f>J890</f>
        <v>0</v>
      </c>
      <c r="K945" s="2137"/>
      <c r="L945" s="2137">
        <f>L890</f>
        <v>0</v>
      </c>
      <c r="M945" s="2155"/>
    </row>
    <row r="946" spans="2:13" ht="13.1">
      <c r="B946" s="44"/>
      <c r="D946">
        <f>D891</f>
        <v>0</v>
      </c>
      <c r="F946" s="1819" t="str">
        <f>F891</f>
        <v xml:space="preserve"> </v>
      </c>
      <c r="G946" s="1819"/>
      <c r="H946" s="1737">
        <f>H891</f>
        <v>0</v>
      </c>
      <c r="I946" s="1737"/>
      <c r="J946" s="1737">
        <f>J891</f>
        <v>0</v>
      </c>
      <c r="K946" s="1737"/>
      <c r="L946" s="1737">
        <f>L891</f>
        <v>0</v>
      </c>
      <c r="M946" s="1791"/>
    </row>
    <row r="947" spans="2:13">
      <c r="B947" s="44"/>
      <c r="M947" s="45"/>
    </row>
    <row r="948" spans="2:13" ht="13.75" thickBot="1">
      <c r="B948" s="46"/>
      <c r="C948" s="21"/>
      <c r="D948" s="21"/>
      <c r="E948" s="1664" t="s">
        <v>638</v>
      </c>
      <c r="F948" s="1664"/>
      <c r="G948" s="1664"/>
      <c r="H948" s="1664"/>
      <c r="I948" s="1664"/>
      <c r="J948" s="21"/>
      <c r="K948" s="21"/>
      <c r="L948" s="21"/>
      <c r="M948" s="47"/>
    </row>
    <row r="949" spans="2:13" s="518" customFormat="1" ht="16.100000000000001" thickBot="1">
      <c r="B949" s="651"/>
      <c r="C949" s="484"/>
      <c r="D949" s="484"/>
      <c r="E949" s="484"/>
      <c r="F949" s="484"/>
      <c r="G949" s="484"/>
      <c r="H949" s="484"/>
      <c r="I949" s="2138" t="s">
        <v>61</v>
      </c>
      <c r="J949" s="2139"/>
      <c r="K949" s="2139"/>
      <c r="L949" s="2139"/>
      <c r="M949" s="2140"/>
    </row>
    <row r="950" spans="2:13" s="518" customFormat="1" ht="16.100000000000001" thickBot="1">
      <c r="B950" s="652"/>
      <c r="C950" s="484"/>
      <c r="D950" s="484"/>
      <c r="E950" s="484"/>
      <c r="F950" s="484"/>
      <c r="G950" s="484"/>
      <c r="H950" s="484"/>
      <c r="I950" s="2141" t="str">
        <f>I895</f>
        <v>Service</v>
      </c>
      <c r="J950" s="2141"/>
      <c r="K950" s="1159" t="s">
        <v>62</v>
      </c>
      <c r="L950" s="2144" t="s">
        <v>1454</v>
      </c>
      <c r="M950" s="2144"/>
    </row>
    <row r="951" spans="2:13" s="518" customFormat="1" ht="16.100000000000001" thickBot="1">
      <c r="B951" s="652"/>
      <c r="C951" s="484"/>
      <c r="D951" s="484"/>
      <c r="E951" s="484"/>
      <c r="F951" s="484"/>
      <c r="G951" s="484"/>
      <c r="H951" s="484"/>
      <c r="I951" s="2145" t="s">
        <v>1538</v>
      </c>
      <c r="J951" s="2146"/>
      <c r="K951" s="1160">
        <f>IF(L951&lt;&gt;0," ",0)</f>
        <v>0</v>
      </c>
      <c r="L951" s="2156">
        <f>SUM('Cost Control'!L85:L94)</f>
        <v>0</v>
      </c>
      <c r="M951" s="2157"/>
    </row>
    <row r="952" spans="2:13" s="518" customFormat="1" ht="16.100000000000001" thickBot="1">
      <c r="B952" s="652"/>
      <c r="C952" s="484"/>
      <c r="D952" s="484"/>
      <c r="E952" s="484"/>
      <c r="F952" s="484"/>
      <c r="G952" s="484"/>
      <c r="H952" s="484"/>
      <c r="I952" s="2145" t="s">
        <v>1539</v>
      </c>
      <c r="J952" s="2146"/>
      <c r="K952" s="1161">
        <f>IF(L952&lt;&gt;0,'Cost Control'!A131,0)</f>
        <v>0</v>
      </c>
      <c r="L952" s="2151">
        <f>SUM('Cost Control'!L131:L136)</f>
        <v>0</v>
      </c>
      <c r="M952" s="2152"/>
    </row>
    <row r="953" spans="2:13" s="518" customFormat="1" ht="16.100000000000001" thickBot="1">
      <c r="B953" s="652"/>
      <c r="C953" s="484"/>
      <c r="D953" s="484"/>
      <c r="E953" s="484"/>
      <c r="F953" s="484"/>
      <c r="G953" s="484"/>
      <c r="H953" s="484"/>
      <c r="I953" s="2145" t="s">
        <v>903</v>
      </c>
      <c r="J953" s="2146"/>
      <c r="K953" s="1161">
        <f>IF(L953&lt;&gt;0,'Cost Control'!A118,0)</f>
        <v>0</v>
      </c>
      <c r="L953" s="2151">
        <f>SUM('Cost Control'!L118:L129)</f>
        <v>0</v>
      </c>
      <c r="M953" s="2152"/>
    </row>
    <row r="954" spans="2:13" s="518" customFormat="1" ht="16.100000000000001" thickBot="1">
      <c r="B954" s="652"/>
      <c r="C954" s="484"/>
      <c r="D954" s="484"/>
      <c r="E954" s="484"/>
      <c r="F954" s="484"/>
      <c r="G954" s="484"/>
      <c r="H954" s="484"/>
      <c r="I954" s="2145" t="s">
        <v>1540</v>
      </c>
      <c r="J954" s="2146"/>
      <c r="K954" s="1161" t="str">
        <f>IF(L954&lt;&gt;0,'Cost Control'!A138," ")</f>
        <v xml:space="preserve"> </v>
      </c>
      <c r="L954" s="2151">
        <f>SUM('Cost Control'!L138:L144)</f>
        <v>0</v>
      </c>
      <c r="M954" s="2152"/>
    </row>
    <row r="955" spans="2:13" s="518" customFormat="1" ht="15.45">
      <c r="B955" s="652"/>
      <c r="C955" s="484"/>
      <c r="D955" s="484"/>
      <c r="E955" s="484"/>
      <c r="F955" s="484"/>
      <c r="G955" s="484"/>
      <c r="H955" s="484"/>
      <c r="I955" s="2145" t="s">
        <v>1451</v>
      </c>
      <c r="J955" s="2146"/>
      <c r="K955" s="1161">
        <f>IF(L955&lt;&gt;0,'Cost Control'!A146,0)</f>
        <v>0</v>
      </c>
      <c r="L955" s="2151">
        <f>SUM('Cost Control'!L146:L151)</f>
        <v>0</v>
      </c>
      <c r="M955" s="2152"/>
    </row>
    <row r="956" spans="2:13" s="518" customFormat="1" ht="15.45">
      <c r="B956" s="652"/>
      <c r="C956" s="484"/>
      <c r="D956" s="484"/>
      <c r="E956" s="484"/>
      <c r="F956" s="484"/>
      <c r="G956" s="484"/>
      <c r="H956" s="484"/>
      <c r="I956" s="2148" t="str">
        <f>IF(L956&lt;&gt;0,'Cost Control'!B96," ")</f>
        <v xml:space="preserve"> </v>
      </c>
      <c r="J956" s="2149"/>
      <c r="K956" s="1161">
        <f>IF(L956&lt;&gt;0,'Cost Control'!A96,0)</f>
        <v>0</v>
      </c>
      <c r="L956" s="2151">
        <f>'Cost Control'!L96</f>
        <v>0</v>
      </c>
      <c r="M956" s="2152"/>
    </row>
    <row r="957" spans="2:13" s="518" customFormat="1" ht="15.45">
      <c r="B957" s="652"/>
      <c r="C957" s="484"/>
      <c r="D957" s="484"/>
      <c r="E957" s="484"/>
      <c r="F957" s="484"/>
      <c r="G957" s="484"/>
      <c r="H957" s="484"/>
      <c r="I957" s="2148" t="str">
        <f>IF(L957&lt;&gt;0,'Cost Control'!B97," ")</f>
        <v xml:space="preserve"> </v>
      </c>
      <c r="J957" s="2149"/>
      <c r="K957" s="1161">
        <f>IF(L957&lt;&gt;0,'Cost Control'!A97,0)</f>
        <v>0</v>
      </c>
      <c r="L957" s="2151">
        <f>'Cost Control'!L97</f>
        <v>0</v>
      </c>
      <c r="M957" s="2152"/>
    </row>
    <row r="958" spans="2:13" s="518" customFormat="1" ht="15.45">
      <c r="B958" s="652"/>
      <c r="C958" s="484"/>
      <c r="D958" s="484"/>
      <c r="E958" s="484"/>
      <c r="F958" s="484"/>
      <c r="G958" s="484"/>
      <c r="H958" s="484"/>
      <c r="I958" s="2148" t="str">
        <f>IF(L958&lt;&gt;0,'Cost Control'!B98," ")</f>
        <v xml:space="preserve"> </v>
      </c>
      <c r="J958" s="2149"/>
      <c r="K958" s="1161">
        <f>IF(L958&lt;&gt;0,'Cost Control'!A98,0)</f>
        <v>0</v>
      </c>
      <c r="L958" s="2151">
        <f>'Cost Control'!L98</f>
        <v>0</v>
      </c>
      <c r="M958" s="2152"/>
    </row>
    <row r="959" spans="2:13" s="518" customFormat="1" ht="15.45">
      <c r="B959" s="652"/>
      <c r="C959" s="484"/>
      <c r="D959" s="484"/>
      <c r="E959" s="484"/>
      <c r="F959" s="484"/>
      <c r="G959" s="484"/>
      <c r="H959" s="484"/>
      <c r="I959" s="2148" t="str">
        <f>IF(L959&lt;&gt;0,'Cost Control'!B99," ")</f>
        <v xml:space="preserve"> </v>
      </c>
      <c r="J959" s="2149"/>
      <c r="K959" s="1161">
        <f>IF(L959&lt;&gt;0,'Cost Control'!A99,0)</f>
        <v>0</v>
      </c>
      <c r="L959" s="2151">
        <f>'Cost Control'!L99</f>
        <v>0</v>
      </c>
      <c r="M959" s="2152"/>
    </row>
    <row r="960" spans="2:13" s="518" customFormat="1" ht="15.45">
      <c r="B960" s="652"/>
      <c r="C960" s="484"/>
      <c r="D960" s="484"/>
      <c r="E960" s="484"/>
      <c r="F960" s="484"/>
      <c r="G960" s="484"/>
      <c r="H960" s="484"/>
      <c r="I960" s="2148" t="str">
        <f>IF(L960&lt;&gt;0,'Cost Control'!B100," ")</f>
        <v xml:space="preserve"> </v>
      </c>
      <c r="J960" s="2149"/>
      <c r="K960" s="1161">
        <f>IF(L960&lt;&gt;0,'Cost Control'!A100,0)</f>
        <v>0</v>
      </c>
      <c r="L960" s="2151">
        <f>'Cost Control'!L100</f>
        <v>0</v>
      </c>
      <c r="M960" s="2152"/>
    </row>
    <row r="961" spans="2:13" s="518" customFormat="1" ht="15.45">
      <c r="B961" s="652"/>
      <c r="C961" s="484"/>
      <c r="D961" s="484"/>
      <c r="E961" s="484"/>
      <c r="F961" s="484"/>
      <c r="G961" s="484"/>
      <c r="H961" s="484"/>
      <c r="I961" s="2148" t="str">
        <f>IF(L961&lt;&gt;0,'Cost Control'!B101," ")</f>
        <v xml:space="preserve"> </v>
      </c>
      <c r="J961" s="2149"/>
      <c r="K961" s="1161">
        <f>IF(L961&lt;&gt;0,'Cost Control'!A101,0)</f>
        <v>0</v>
      </c>
      <c r="L961" s="2151">
        <f>'Cost Control'!L101</f>
        <v>0</v>
      </c>
      <c r="M961" s="2152"/>
    </row>
    <row r="962" spans="2:13" s="518" customFormat="1" ht="15.45">
      <c r="B962" s="652"/>
      <c r="C962" s="484"/>
      <c r="D962" s="484"/>
      <c r="E962" s="484"/>
      <c r="F962" s="484"/>
      <c r="G962" s="484"/>
      <c r="H962" s="484"/>
      <c r="I962" s="2148" t="str">
        <f>IF(L962&lt;&gt;0,'Cost Control'!B102," ")</f>
        <v xml:space="preserve"> </v>
      </c>
      <c r="J962" s="2149"/>
      <c r="K962" s="1161">
        <f>IF(L962&lt;&gt;0,'Cost Control'!A102,0)</f>
        <v>0</v>
      </c>
      <c r="L962" s="2151">
        <f>'Cost Control'!L102</f>
        <v>0</v>
      </c>
      <c r="M962" s="2152"/>
    </row>
    <row r="963" spans="2:13" s="518" customFormat="1" ht="15.45">
      <c r="B963" s="652"/>
      <c r="C963" s="484"/>
      <c r="D963" s="484"/>
      <c r="E963" s="484"/>
      <c r="F963" s="484"/>
      <c r="G963" s="484"/>
      <c r="H963" s="484"/>
      <c r="I963" s="2148" t="str">
        <f>IF(L963&lt;&gt;0,'Cost Control'!B103," ")</f>
        <v xml:space="preserve"> </v>
      </c>
      <c r="J963" s="2149"/>
      <c r="K963" s="1161">
        <f>IF(L963&lt;&gt;0,'Cost Control'!A103,0)</f>
        <v>0</v>
      </c>
      <c r="L963" s="2151">
        <f>'Cost Control'!L103</f>
        <v>0</v>
      </c>
      <c r="M963" s="2152"/>
    </row>
    <row r="964" spans="2:13" s="518" customFormat="1" ht="15.45">
      <c r="B964" s="652"/>
      <c r="C964" s="484"/>
      <c r="D964" s="484"/>
      <c r="E964" s="484"/>
      <c r="F964" s="484"/>
      <c r="G964" s="484"/>
      <c r="H964" s="484"/>
      <c r="I964" s="2148" t="str">
        <f>IF(L964&lt;&gt;0,'Cost Control'!B104," ")</f>
        <v xml:space="preserve"> </v>
      </c>
      <c r="J964" s="2149"/>
      <c r="K964" s="1161">
        <f>IF(L964&lt;&gt;0,'Cost Control'!A104,0)</f>
        <v>0</v>
      </c>
      <c r="L964" s="2151">
        <f>'Cost Control'!L104</f>
        <v>0</v>
      </c>
      <c r="M964" s="2152"/>
    </row>
    <row r="965" spans="2:13" s="518" customFormat="1" ht="15.45">
      <c r="B965" s="652"/>
      <c r="C965" s="484"/>
      <c r="D965" s="484"/>
      <c r="E965" s="484"/>
      <c r="F965" s="484"/>
      <c r="G965" s="484"/>
      <c r="H965" s="484"/>
      <c r="I965" s="2148" t="str">
        <f>IF(L965&lt;&gt;0,'Cost Control'!B105," ")</f>
        <v xml:space="preserve"> </v>
      </c>
      <c r="J965" s="2149"/>
      <c r="K965" s="1161">
        <f>IF(L965&lt;&gt;0,'Cost Control'!A105,0)</f>
        <v>0</v>
      </c>
      <c r="L965" s="2151">
        <f>'Cost Control'!L105</f>
        <v>0</v>
      </c>
      <c r="M965" s="2152"/>
    </row>
    <row r="966" spans="2:13" s="518" customFormat="1" ht="15.45">
      <c r="B966" s="652"/>
      <c r="C966" s="484"/>
      <c r="D966" s="484"/>
      <c r="E966" s="484"/>
      <c r="F966" s="484"/>
      <c r="G966" s="484"/>
      <c r="H966" s="484"/>
      <c r="I966" s="2148" t="str">
        <f>IF(L966&lt;&gt;0,'Cost Control'!B106," ")</f>
        <v xml:space="preserve"> </v>
      </c>
      <c r="J966" s="2149"/>
      <c r="K966" s="1161">
        <f>IF(L966&lt;&gt;0,'Cost Control'!A106,0)</f>
        <v>0</v>
      </c>
      <c r="L966" s="2151">
        <f>'Cost Control'!L106</f>
        <v>0</v>
      </c>
      <c r="M966" s="2152"/>
    </row>
    <row r="967" spans="2:13" s="518" customFormat="1" ht="15.45">
      <c r="B967" s="652"/>
      <c r="C967" s="484"/>
      <c r="D967" s="484"/>
      <c r="E967" s="484"/>
      <c r="F967" s="484"/>
      <c r="G967" s="484"/>
      <c r="H967" s="484"/>
      <c r="I967" s="2148" t="str">
        <f>IF(L967&lt;&gt;0,'Cost Control'!B107," ")</f>
        <v xml:space="preserve"> </v>
      </c>
      <c r="J967" s="2149"/>
      <c r="K967" s="1161">
        <f>IF(L967&lt;&gt;0,'Cost Control'!A107,0)</f>
        <v>0</v>
      </c>
      <c r="L967" s="2151">
        <f>'Cost Control'!L107</f>
        <v>0</v>
      </c>
      <c r="M967" s="2152"/>
    </row>
    <row r="968" spans="2:13" s="518" customFormat="1" ht="15.45">
      <c r="B968" s="652"/>
      <c r="C968" s="484"/>
      <c r="D968" s="484"/>
      <c r="E968" s="484"/>
      <c r="F968" s="484"/>
      <c r="G968" s="484"/>
      <c r="H968" s="484"/>
      <c r="I968" s="2148" t="str">
        <f>IF(L968&lt;&gt;0,'Cost Control'!B108," ")</f>
        <v xml:space="preserve"> </v>
      </c>
      <c r="J968" s="2149"/>
      <c r="K968" s="1161">
        <f>IF(L968&lt;&gt;0,'Cost Control'!A108,0)</f>
        <v>0</v>
      </c>
      <c r="L968" s="2151">
        <f>'Cost Control'!L108</f>
        <v>0</v>
      </c>
      <c r="M968" s="2152"/>
    </row>
    <row r="969" spans="2:13" s="518" customFormat="1" ht="15.45">
      <c r="B969" s="652"/>
      <c r="C969" s="484"/>
      <c r="D969" s="484"/>
      <c r="E969" s="484"/>
      <c r="F969" s="484"/>
      <c r="G969" s="484"/>
      <c r="H969" s="484"/>
      <c r="I969" s="2148" t="str">
        <f>IF(L969&lt;&gt;0,'Cost Control'!B109," ")</f>
        <v xml:space="preserve"> </v>
      </c>
      <c r="J969" s="2149"/>
      <c r="K969" s="1161">
        <f>IF(L969&lt;&gt;0,'Cost Control'!A109,0)</f>
        <v>0</v>
      </c>
      <c r="L969" s="2151">
        <f>'Cost Control'!L109</f>
        <v>0</v>
      </c>
      <c r="M969" s="2152"/>
    </row>
    <row r="970" spans="2:13" s="518" customFormat="1" ht="15.45">
      <c r="B970" s="652"/>
      <c r="C970" s="484"/>
      <c r="D970" s="484"/>
      <c r="E970" s="484"/>
      <c r="F970" s="484"/>
      <c r="G970" s="484"/>
      <c r="H970" s="484"/>
      <c r="I970" s="2148" t="str">
        <f>IF(L970&lt;&gt;0,'Cost Control'!B110," ")</f>
        <v xml:space="preserve"> </v>
      </c>
      <c r="J970" s="2149"/>
      <c r="K970" s="1161">
        <f>IF(L970&lt;&gt;0,'Cost Control'!A110,0)</f>
        <v>0</v>
      </c>
      <c r="L970" s="2151">
        <f>'Cost Control'!L110</f>
        <v>0</v>
      </c>
      <c r="M970" s="2152"/>
    </row>
    <row r="971" spans="2:13" s="518" customFormat="1" ht="15.45">
      <c r="B971" s="652"/>
      <c r="C971" s="484"/>
      <c r="D971" s="484"/>
      <c r="E971" s="484"/>
      <c r="F971" s="484"/>
      <c r="G971" s="484"/>
      <c r="H971" s="484"/>
      <c r="I971" s="2148" t="str">
        <f>IF(L971&lt;&gt;0,'Cost Control'!B111," ")</f>
        <v xml:space="preserve"> </v>
      </c>
      <c r="J971" s="2149"/>
      <c r="K971" s="1161">
        <f>IF(L971&lt;&gt;0,'Cost Control'!A111,0)</f>
        <v>0</v>
      </c>
      <c r="L971" s="2151">
        <f>'Cost Control'!L111</f>
        <v>0</v>
      </c>
      <c r="M971" s="2152"/>
    </row>
    <row r="972" spans="2:13" s="518" customFormat="1" ht="15.45">
      <c r="B972" s="652"/>
      <c r="C972" s="484"/>
      <c r="D972" s="484"/>
      <c r="E972" s="484"/>
      <c r="F972" s="484"/>
      <c r="G972" s="484"/>
      <c r="H972" s="484"/>
      <c r="I972" s="2148" t="str">
        <f>IF(L972&lt;&gt;0,'Cost Control'!B112," ")</f>
        <v xml:space="preserve"> </v>
      </c>
      <c r="J972" s="2149"/>
      <c r="K972" s="1161">
        <f>IF(L972&lt;&gt;0,'Cost Control'!A112,0)</f>
        <v>0</v>
      </c>
      <c r="L972" s="2151">
        <f>'Cost Control'!L112</f>
        <v>0</v>
      </c>
      <c r="M972" s="2152"/>
    </row>
    <row r="973" spans="2:13" s="518" customFormat="1" ht="15.45">
      <c r="B973" s="652"/>
      <c r="C973" s="484"/>
      <c r="D973" s="484"/>
      <c r="E973" s="484"/>
      <c r="F973" s="484"/>
      <c r="G973" s="484"/>
      <c r="H973" s="484"/>
      <c r="I973" s="2148" t="str">
        <f>IF(L973&lt;&gt;0,'Cost Control'!B113," ")</f>
        <v xml:space="preserve"> </v>
      </c>
      <c r="J973" s="2149"/>
      <c r="K973" s="1161">
        <f>IF(L973&lt;&gt;0,'Cost Control'!A113,0)</f>
        <v>0</v>
      </c>
      <c r="L973" s="2151">
        <f>'Cost Control'!L113</f>
        <v>0</v>
      </c>
      <c r="M973" s="2152"/>
    </row>
    <row r="974" spans="2:13" s="518" customFormat="1" ht="15.45">
      <c r="B974" s="652"/>
      <c r="C974" s="484"/>
      <c r="D974" s="484"/>
      <c r="E974" s="484"/>
      <c r="F974" s="484"/>
      <c r="G974" s="484"/>
      <c r="H974" s="484"/>
      <c r="I974" s="2148" t="str">
        <f>IF(L974&lt;&gt;0,'Cost Control'!B114," ")</f>
        <v xml:space="preserve"> </v>
      </c>
      <c r="J974" s="2149"/>
      <c r="K974" s="1161">
        <f>IF(L974&lt;&gt;0,'Cost Control'!A114,0)</f>
        <v>0</v>
      </c>
      <c r="L974" s="2151">
        <f>'Cost Control'!L114</f>
        <v>0</v>
      </c>
      <c r="M974" s="2152"/>
    </row>
    <row r="975" spans="2:13" s="518" customFormat="1" ht="15.45">
      <c r="B975" s="652"/>
      <c r="C975" s="484"/>
      <c r="D975" s="484"/>
      <c r="E975" s="484"/>
      <c r="F975" s="484"/>
      <c r="G975" s="484"/>
      <c r="H975" s="484"/>
      <c r="I975" s="2148" t="str">
        <f>IF(L975&lt;&gt;0,'Cost Control'!B115," ")</f>
        <v xml:space="preserve"> </v>
      </c>
      <c r="J975" s="2149"/>
      <c r="K975" s="1161">
        <f>IF(L975&lt;&gt;0,'Cost Control'!A115,0)</f>
        <v>0</v>
      </c>
      <c r="L975" s="2151">
        <f>'Cost Control'!L115</f>
        <v>0</v>
      </c>
      <c r="M975" s="2152"/>
    </row>
    <row r="976" spans="2:13" s="518" customFormat="1" ht="15.45">
      <c r="B976" s="652"/>
      <c r="C976" s="484"/>
      <c r="D976" s="484"/>
      <c r="E976" s="484"/>
      <c r="F976" s="484"/>
      <c r="G976" s="484"/>
      <c r="H976" s="484"/>
      <c r="I976" s="2148" t="str">
        <f>IF(L976&lt;&gt;0,'Cost Control'!B116," ")</f>
        <v xml:space="preserve"> </v>
      </c>
      <c r="J976" s="2149"/>
      <c r="K976" s="1161">
        <f>IF(L976&lt;&gt;0,'Cost Control'!A116,0)</f>
        <v>0</v>
      </c>
      <c r="L976" s="2151">
        <f>'Cost Control'!L116</f>
        <v>0</v>
      </c>
      <c r="M976" s="2152"/>
    </row>
    <row r="977" spans="2:13" s="518" customFormat="1" ht="16.100000000000001" thickBot="1">
      <c r="B977" s="652"/>
      <c r="C977" s="484"/>
      <c r="D977" s="484"/>
      <c r="E977" s="484"/>
      <c r="F977" s="484"/>
      <c r="G977" s="484"/>
      <c r="H977" s="484"/>
      <c r="I977" s="2148" t="str">
        <f>IF(L977&lt;&gt;0,'Cost Control'!B117," ")</f>
        <v xml:space="preserve"> </v>
      </c>
      <c r="J977" s="2149"/>
      <c r="K977" s="1161">
        <f>IF(L977&lt;&gt;0,'Cost Control'!A117,0)</f>
        <v>0</v>
      </c>
      <c r="L977" s="2151">
        <f>'Cost Control'!L117</f>
        <v>0</v>
      </c>
      <c r="M977" s="2152"/>
    </row>
    <row r="978" spans="2:13" ht="13.1">
      <c r="B978" s="141" t="s">
        <v>695</v>
      </c>
      <c r="C978" s="50"/>
      <c r="D978" s="50"/>
      <c r="E978" s="2150">
        <f>K994</f>
        <v>18</v>
      </c>
      <c r="F978" s="2150"/>
      <c r="G978" s="50"/>
      <c r="H978" s="50"/>
      <c r="I978" s="50"/>
      <c r="J978" s="50"/>
      <c r="K978" s="50"/>
      <c r="L978" s="50"/>
      <c r="M978" s="43"/>
    </row>
    <row r="979" spans="2:13">
      <c r="B979" s="1628"/>
      <c r="C979" s="1629"/>
      <c r="D979" s="1629"/>
      <c r="E979" s="1629"/>
      <c r="F979" s="1629"/>
      <c r="G979" s="1629"/>
      <c r="H979" s="1629"/>
      <c r="I979" s="1629"/>
      <c r="J979" s="1629"/>
      <c r="K979" s="1629"/>
      <c r="L979" s="1629"/>
      <c r="M979" s="1630"/>
    </row>
    <row r="980" spans="2:13" ht="13.5" thickBot="1">
      <c r="B980" s="1480"/>
      <c r="C980" s="1479"/>
      <c r="D980" s="1479"/>
      <c r="E980" s="1479"/>
      <c r="F980" s="1479"/>
      <c r="G980" s="1479"/>
      <c r="H980" s="1631"/>
      <c r="I980" s="1631"/>
      <c r="J980" s="1631"/>
      <c r="K980" s="1631"/>
      <c r="L980" s="1631"/>
      <c r="M980" s="1555"/>
    </row>
    <row r="981" spans="2:13" ht="15.45">
      <c r="B981" s="307" t="s">
        <v>645</v>
      </c>
      <c r="C981" s="308"/>
      <c r="D981" s="2135">
        <f>D926</f>
        <v>0</v>
      </c>
      <c r="E981" s="2135"/>
      <c r="F981" s="309" t="s">
        <v>647</v>
      </c>
      <c r="G981" s="310">
        <f>G926</f>
        <v>0</v>
      </c>
      <c r="H981" s="172" t="s">
        <v>648</v>
      </c>
      <c r="I981" s="472">
        <v>0</v>
      </c>
      <c r="J981" s="2173" t="s">
        <v>650</v>
      </c>
      <c r="K981" s="2173"/>
      <c r="L981" s="1378"/>
      <c r="M981" s="486" t="str">
        <f>M926</f>
        <v>° F</v>
      </c>
    </row>
    <row r="982" spans="2:13">
      <c r="B982" s="44" t="s">
        <v>644</v>
      </c>
      <c r="E982" t="s">
        <v>655</v>
      </c>
      <c r="G982">
        <f>IF('Daily Load'!P326="Yes",Operations!D943,IF('Daily Load'!V326="Yes",Operations!D945,Operations!D946))</f>
        <v>0</v>
      </c>
      <c r="I982" s="195" t="s">
        <v>651</v>
      </c>
      <c r="L982" s="2170">
        <f>'Cost Control'!L152</f>
        <v>0</v>
      </c>
      <c r="M982" s="2171"/>
    </row>
    <row r="983" spans="2:13">
      <c r="B983" s="44"/>
      <c r="E983" s="223" t="s">
        <v>193</v>
      </c>
      <c r="F983" s="223" t="s">
        <v>194</v>
      </c>
      <c r="G983" s="223" t="str">
        <f>G928</f>
        <v>Other</v>
      </c>
      <c r="H983" s="1627" t="s">
        <v>587</v>
      </c>
      <c r="I983" s="31" t="s">
        <v>652</v>
      </c>
      <c r="L983" s="2170">
        <f>L929</f>
        <v>0</v>
      </c>
      <c r="M983" s="2171"/>
    </row>
    <row r="984" spans="2:13" ht="13.5" thickBot="1">
      <c r="B984" s="44" t="s">
        <v>643</v>
      </c>
      <c r="E984" s="361">
        <f>IF(E988&gt;0,E986-E988,E986+E987+E985)</f>
        <v>0</v>
      </c>
      <c r="F984" s="361">
        <f>IF(F988&gt;0,F986-F988,F986+F987+F985)</f>
        <v>0</v>
      </c>
      <c r="G984" s="361">
        <f>IF(G988&gt;0,G986-G988,G986+G987+G985)</f>
        <v>0</v>
      </c>
      <c r="H984" t="str">
        <f>H933</f>
        <v>bbl</v>
      </c>
      <c r="I984" s="31" t="s">
        <v>653</v>
      </c>
      <c r="L984" s="2163">
        <f>L982+L983</f>
        <v>0</v>
      </c>
      <c r="M984" s="2164"/>
    </row>
    <row r="985" spans="2:13" ht="13.5" thickTop="1">
      <c r="B985" s="311" t="s">
        <v>642</v>
      </c>
      <c r="E985" s="361">
        <f>IF('Daily Load'!P326="Yes",'Daily Load'!L321,IF('Daily Load'!V326="Yes",'Daily Load'!R321,'Daily Load'!X321))</f>
        <v>0</v>
      </c>
      <c r="F985" s="361">
        <f>IF('Daily Load'!P326="Yes",'Daily Load'!N321,IF('Daily Load'!V326="Yes",'Daily Load'!T321,'Daily Load'!Z321))</f>
        <v>0</v>
      </c>
      <c r="G985" s="361">
        <f>IF('Daily Load'!P326="Yes",'Daily Load'!P321,IF('Daily Load'!V326="Yes",'Daily Load'!V321,'Daily Load'!AB321))</f>
        <v>0</v>
      </c>
      <c r="H985" t="str">
        <f>H984</f>
        <v>bbl</v>
      </c>
      <c r="I985" s="31"/>
      <c r="L985" s="521"/>
      <c r="M985" s="522"/>
    </row>
    <row r="986" spans="2:13">
      <c r="B986" s="44" t="s">
        <v>641</v>
      </c>
      <c r="E986" s="361">
        <f>IF(G982=D9,'Daily Load'!F325+E931,IF(G982=G927,'Daily Load'!F325+E931,'Daily Load'!F325))</f>
        <v>0</v>
      </c>
      <c r="F986" s="361">
        <f>IF(G982=D9,'Daily Load'!H363+F931,IF(G982=G927,'Daily Load'!H325+F931,'Daily Load'!H325))</f>
        <v>0</v>
      </c>
      <c r="G986" s="361">
        <f>IF(G982=D9,'Daily Load'!J363+G931,IF(G982=G927,'Daily Load'!J325+G931,'Daily Load'!J325))</f>
        <v>0</v>
      </c>
      <c r="H986" t="str">
        <f>H985</f>
        <v>bbl</v>
      </c>
      <c r="I986" s="33" t="s">
        <v>654</v>
      </c>
      <c r="J986" s="19"/>
      <c r="K986" s="19"/>
      <c r="L986" s="2165">
        <f>L931</f>
        <v>0</v>
      </c>
      <c r="M986" s="2166"/>
    </row>
    <row r="987" spans="2:13">
      <c r="B987" s="44" t="s">
        <v>640</v>
      </c>
      <c r="E987" s="361">
        <f>IF('Daily Load'!P326="Yes",'Daily Load'!L323,IF('Daily Load'!V326="Yes",'Daily Load'!R323,'Daily Load'!X323))</f>
        <v>0</v>
      </c>
      <c r="F987" s="361">
        <f>IF('Daily Load'!P326="Yes",'Daily Load'!N323,IF('Daily Load'!V326="Yes",'Daily Load'!T323,'Daily Load'!Z323))</f>
        <v>0</v>
      </c>
      <c r="G987" s="361">
        <f>IF('Daily Load'!P326="Yes",'Daily Load'!P323,IF('Daily Load'!V326="Yes",'Daily Load'!V323,'Daily Load'!AB323))</f>
        <v>0</v>
      </c>
      <c r="H987" t="str">
        <f>H986</f>
        <v>bbl</v>
      </c>
      <c r="I987" s="2160" t="str">
        <f>I932</f>
        <v xml:space="preserve"> </v>
      </c>
      <c r="J987" s="2059"/>
      <c r="K987" s="2161"/>
      <c r="L987" s="2162" t="str">
        <f>L932</f>
        <v xml:space="preserve">0 </v>
      </c>
      <c r="M987" s="2155"/>
    </row>
    <row r="988" spans="2:13" ht="13.5" thickBot="1">
      <c r="B988" s="46" t="s">
        <v>639</v>
      </c>
      <c r="C988" s="21"/>
      <c r="D988" s="21"/>
      <c r="E988" s="380">
        <f>IF('Daily Load'!P326="Yes",'Daily Load'!L324,IF('Daily Load'!V326="Yes",'Daily Load'!R324,'Daily Load'!X324))</f>
        <v>0</v>
      </c>
      <c r="F988" s="380">
        <f>IF('Daily Load'!P326="Yes",'Daily Load'!N324,IF('Daily Load'!V326="Yes",'Daily Load'!T324,'Daily Load'!Z324))</f>
        <v>0</v>
      </c>
      <c r="G988" s="380">
        <f>IF('Daily Load'!P326="Yes",'Daily Load'!P324,IF('Daily Load'!V326="Yes",'Daily Load'!V324,'Daily Load'!AB324))</f>
        <v>0</v>
      </c>
      <c r="H988" s="21" t="str">
        <f>H987</f>
        <v>bbl</v>
      </c>
      <c r="I988" s="2167" t="s">
        <v>677</v>
      </c>
      <c r="J988" s="2168"/>
      <c r="K988" s="2169"/>
      <c r="L988" s="2167" t="s">
        <v>826</v>
      </c>
      <c r="M988" s="2172"/>
    </row>
    <row r="989" spans="2:13">
      <c r="B989" s="50"/>
      <c r="C989" s="50"/>
      <c r="D989" s="50"/>
      <c r="E989" s="1185"/>
      <c r="F989" s="1185"/>
      <c r="G989" s="1185"/>
      <c r="H989" s="50"/>
      <c r="I989" s="1186"/>
      <c r="J989" s="1186"/>
      <c r="K989" s="1186"/>
      <c r="L989" s="1186"/>
      <c r="M989" s="1186"/>
    </row>
    <row r="990" spans="2:13" ht="13.5" thickBot="1">
      <c r="B990" s="21"/>
      <c r="C990" s="21"/>
      <c r="D990" s="21"/>
      <c r="E990" s="21"/>
      <c r="F990" s="21"/>
      <c r="G990" s="21"/>
      <c r="H990" s="21"/>
      <c r="I990" s="21"/>
      <c r="J990" s="21"/>
      <c r="K990" s="21"/>
      <c r="L990" s="21"/>
      <c r="M990" s="21"/>
    </row>
    <row r="991" spans="2:13">
      <c r="B991" s="44"/>
      <c r="M991" s="45"/>
    </row>
    <row r="992" spans="2:13">
      <c r="B992" s="44"/>
      <c r="J992" s="2143">
        <f>J937</f>
        <v>0</v>
      </c>
      <c r="K992" s="2143"/>
      <c r="L992" s="2143"/>
      <c r="M992" s="45"/>
    </row>
    <row r="993" spans="2:13">
      <c r="B993" s="44"/>
      <c r="M993" s="45"/>
    </row>
    <row r="994" spans="2:13" ht="13.1">
      <c r="B994" s="137" t="s">
        <v>634</v>
      </c>
      <c r="C994">
        <f>Summary!$C$6</f>
        <v>0</v>
      </c>
      <c r="H994" s="22" t="s">
        <v>636</v>
      </c>
      <c r="I994" s="22"/>
      <c r="K994" s="2158">
        <f>'Cost Control'!M83</f>
        <v>18</v>
      </c>
      <c r="L994" s="2158"/>
      <c r="M994" s="2159"/>
    </row>
    <row r="995" spans="2:13" ht="13.1">
      <c r="B995" s="44"/>
      <c r="H995" s="22"/>
      <c r="I995" s="22"/>
      <c r="M995" s="45"/>
    </row>
    <row r="996" spans="2:13" ht="13.1">
      <c r="B996" s="137" t="s">
        <v>635</v>
      </c>
      <c r="D996" s="2136">
        <f>D941</f>
        <v>0</v>
      </c>
      <c r="E996" s="2136"/>
      <c r="F996" s="2136"/>
      <c r="G996" s="2136"/>
      <c r="H996" s="2136"/>
      <c r="I996" s="22" t="s">
        <v>637</v>
      </c>
      <c r="J996" s="3">
        <f>J941+1</f>
        <v>19</v>
      </c>
      <c r="M996" s="45"/>
    </row>
    <row r="997" spans="2:13" ht="13.1">
      <c r="B997" s="137"/>
      <c r="D997" s="2136"/>
      <c r="E997" s="2136"/>
      <c r="F997" s="2136"/>
      <c r="G997" s="2136"/>
      <c r="H997" s="2136"/>
      <c r="I997" t="s">
        <v>63</v>
      </c>
      <c r="J997" s="2142">
        <f>J942</f>
        <v>0</v>
      </c>
      <c r="K997" s="2143"/>
      <c r="M997" s="45"/>
    </row>
    <row r="998" spans="2:13" ht="13.1">
      <c r="B998" s="137" t="s">
        <v>146</v>
      </c>
      <c r="D998">
        <f>Summary!$C$32</f>
        <v>0</v>
      </c>
      <c r="F998" s="1819" t="str">
        <f>F943</f>
        <v>OPEN HOLE INTERVAL:</v>
      </c>
      <c r="G998" s="1819"/>
      <c r="H998" s="2147">
        <f>H943</f>
        <v>0</v>
      </c>
      <c r="I998" s="2147"/>
      <c r="J998" s="2147">
        <f>J943</f>
        <v>0</v>
      </c>
      <c r="K998" s="2147"/>
      <c r="L998" s="2147">
        <f>L943</f>
        <v>0</v>
      </c>
      <c r="M998" s="2154"/>
    </row>
    <row r="999" spans="2:13">
      <c r="B999" s="44"/>
      <c r="H999" s="2153"/>
      <c r="I999" s="2153"/>
      <c r="J999" s="1145"/>
      <c r="K999" s="1145"/>
      <c r="L999" s="1145"/>
      <c r="M999" s="1146"/>
    </row>
    <row r="1000" spans="2:13" ht="13.1">
      <c r="B1000" s="44"/>
      <c r="D1000">
        <f>Summary!$F$32</f>
        <v>0</v>
      </c>
      <c r="F1000" s="1819" t="str">
        <f>F945</f>
        <v xml:space="preserve"> </v>
      </c>
      <c r="G1000" s="1819"/>
      <c r="H1000" s="2137">
        <f>H945</f>
        <v>0</v>
      </c>
      <c r="I1000" s="2137"/>
      <c r="J1000" s="2137">
        <f>J945</f>
        <v>0</v>
      </c>
      <c r="K1000" s="2137"/>
      <c r="L1000" s="2137">
        <f>L945</f>
        <v>0</v>
      </c>
      <c r="M1000" s="2155"/>
    </row>
    <row r="1001" spans="2:13" ht="13.1">
      <c r="B1001" s="44"/>
      <c r="D1001">
        <f>D946</f>
        <v>0</v>
      </c>
      <c r="F1001" s="1819" t="str">
        <f>F946</f>
        <v xml:space="preserve"> </v>
      </c>
      <c r="G1001" s="1819"/>
      <c r="H1001" s="1737">
        <f>H946</f>
        <v>0</v>
      </c>
      <c r="I1001" s="1737"/>
      <c r="J1001" s="1737">
        <f>J946</f>
        <v>0</v>
      </c>
      <c r="K1001" s="1737"/>
      <c r="L1001" s="1737">
        <f>L946</f>
        <v>0</v>
      </c>
      <c r="M1001" s="1791"/>
    </row>
    <row r="1002" spans="2:13">
      <c r="B1002" s="44"/>
      <c r="M1002" s="45"/>
    </row>
    <row r="1003" spans="2:13" ht="13.75" thickBot="1">
      <c r="B1003" s="46"/>
      <c r="C1003" s="21"/>
      <c r="D1003" s="21"/>
      <c r="E1003" s="1664" t="s">
        <v>638</v>
      </c>
      <c r="F1003" s="1664"/>
      <c r="G1003" s="1664"/>
      <c r="H1003" s="1664"/>
      <c r="I1003" s="1664"/>
      <c r="J1003" s="21"/>
      <c r="K1003" s="21"/>
      <c r="L1003" s="21"/>
      <c r="M1003" s="47"/>
    </row>
    <row r="1004" spans="2:13" s="518" customFormat="1" ht="16.100000000000001" thickBot="1">
      <c r="B1004" s="651"/>
      <c r="C1004" s="484"/>
      <c r="D1004" s="484"/>
      <c r="E1004" s="484"/>
      <c r="F1004" s="484"/>
      <c r="G1004" s="484"/>
      <c r="H1004" s="484"/>
      <c r="I1004" s="2138" t="s">
        <v>61</v>
      </c>
      <c r="J1004" s="2139"/>
      <c r="K1004" s="2139"/>
      <c r="L1004" s="2139"/>
      <c r="M1004" s="2140"/>
    </row>
    <row r="1005" spans="2:13" s="518" customFormat="1" ht="16.100000000000001" thickBot="1">
      <c r="B1005" s="652"/>
      <c r="C1005" s="484"/>
      <c r="D1005" s="484"/>
      <c r="E1005" s="484"/>
      <c r="F1005" s="484"/>
      <c r="G1005" s="484"/>
      <c r="H1005" s="484"/>
      <c r="I1005" s="2141" t="str">
        <f>I950</f>
        <v>Service</v>
      </c>
      <c r="J1005" s="2141"/>
      <c r="K1005" s="1159" t="s">
        <v>62</v>
      </c>
      <c r="L1005" s="2144" t="s">
        <v>1454</v>
      </c>
      <c r="M1005" s="2144"/>
    </row>
    <row r="1006" spans="2:13" s="518" customFormat="1" ht="16.100000000000001" thickBot="1">
      <c r="B1006" s="652"/>
      <c r="C1006" s="484"/>
      <c r="D1006" s="484"/>
      <c r="E1006" s="484"/>
      <c r="F1006" s="484"/>
      <c r="G1006" s="484"/>
      <c r="H1006" s="484"/>
      <c r="I1006" s="2145" t="s">
        <v>1538</v>
      </c>
      <c r="J1006" s="2146"/>
      <c r="K1006" s="1160">
        <f>IF(L1006&lt;&gt;0," ",0)</f>
        <v>0</v>
      </c>
      <c r="L1006" s="2156">
        <f>SUM('Cost Control'!M85:M94)</f>
        <v>0</v>
      </c>
      <c r="M1006" s="2157"/>
    </row>
    <row r="1007" spans="2:13" s="518" customFormat="1" ht="16.100000000000001" thickBot="1">
      <c r="B1007" s="652"/>
      <c r="C1007" s="484"/>
      <c r="D1007" s="484"/>
      <c r="E1007" s="484"/>
      <c r="F1007" s="484"/>
      <c r="G1007" s="484"/>
      <c r="H1007" s="484"/>
      <c r="I1007" s="2145" t="s">
        <v>1539</v>
      </c>
      <c r="J1007" s="2146"/>
      <c r="K1007" s="1161">
        <f>IF(L1007&lt;&gt;0,'Cost Control'!A131,0)</f>
        <v>0</v>
      </c>
      <c r="L1007" s="2151">
        <f>SUM('Cost Control'!M131:M136)</f>
        <v>0</v>
      </c>
      <c r="M1007" s="2152"/>
    </row>
    <row r="1008" spans="2:13" s="518" customFormat="1" ht="16.100000000000001" thickBot="1">
      <c r="B1008" s="652"/>
      <c r="C1008" s="484"/>
      <c r="D1008" s="484"/>
      <c r="E1008" s="484"/>
      <c r="F1008" s="484"/>
      <c r="G1008" s="484"/>
      <c r="H1008" s="484"/>
      <c r="I1008" s="2145" t="s">
        <v>903</v>
      </c>
      <c r="J1008" s="2146"/>
      <c r="K1008" s="1161">
        <f>IF(L1008&lt;&gt;0,'Cost Control'!A118,0)</f>
        <v>0</v>
      </c>
      <c r="L1008" s="2151">
        <f>SUM('Cost Control'!M118:M129)</f>
        <v>0</v>
      </c>
      <c r="M1008" s="2152"/>
    </row>
    <row r="1009" spans="2:13" s="518" customFormat="1" ht="16.100000000000001" thickBot="1">
      <c r="B1009" s="652"/>
      <c r="C1009" s="484"/>
      <c r="D1009" s="484"/>
      <c r="E1009" s="484"/>
      <c r="F1009" s="484"/>
      <c r="G1009" s="484"/>
      <c r="H1009" s="484"/>
      <c r="I1009" s="2145" t="s">
        <v>1540</v>
      </c>
      <c r="J1009" s="2146"/>
      <c r="K1009" s="1161" t="str">
        <f>IF(L1009&lt;&gt;0,'Cost Control'!A138," ")</f>
        <v xml:space="preserve"> </v>
      </c>
      <c r="L1009" s="2151">
        <f>SUM('Cost Control'!M138:M144)</f>
        <v>0</v>
      </c>
      <c r="M1009" s="2152"/>
    </row>
    <row r="1010" spans="2:13" s="518" customFormat="1" ht="15.45">
      <c r="B1010" s="652"/>
      <c r="C1010" s="484"/>
      <c r="D1010" s="484"/>
      <c r="E1010" s="484"/>
      <c r="F1010" s="484"/>
      <c r="G1010" s="484"/>
      <c r="H1010" s="484"/>
      <c r="I1010" s="2145" t="s">
        <v>1451</v>
      </c>
      <c r="J1010" s="2146"/>
      <c r="K1010" s="1161">
        <f>IF(L1010&lt;&gt;0,'Cost Control'!A146,0)</f>
        <v>0</v>
      </c>
      <c r="L1010" s="2151">
        <f>SUM('Cost Control'!M146:M151)</f>
        <v>0</v>
      </c>
      <c r="M1010" s="2152"/>
    </row>
    <row r="1011" spans="2:13" s="518" customFormat="1" ht="15.45">
      <c r="B1011" s="652"/>
      <c r="C1011" s="484"/>
      <c r="D1011" s="484"/>
      <c r="E1011" s="484"/>
      <c r="F1011" s="484"/>
      <c r="G1011" s="484"/>
      <c r="H1011" s="484"/>
      <c r="I1011" s="2148" t="str">
        <f>IF(L1011&lt;&gt;0,'Cost Control'!B96," ")</f>
        <v xml:space="preserve"> </v>
      </c>
      <c r="J1011" s="2149"/>
      <c r="K1011" s="1161">
        <f>IF(L1011&lt;&gt;0,'Cost Control'!A96,0)</f>
        <v>0</v>
      </c>
      <c r="L1011" s="2151">
        <f>'Cost Control'!M96</f>
        <v>0</v>
      </c>
      <c r="M1011" s="2152"/>
    </row>
    <row r="1012" spans="2:13" s="518" customFormat="1" ht="15.45">
      <c r="B1012" s="652"/>
      <c r="C1012" s="484"/>
      <c r="D1012" s="484"/>
      <c r="E1012" s="484"/>
      <c r="F1012" s="484"/>
      <c r="G1012" s="484"/>
      <c r="H1012" s="484"/>
      <c r="I1012" s="2148" t="str">
        <f>IF(L1012&lt;&gt;0,'Cost Control'!B97," ")</f>
        <v xml:space="preserve"> </v>
      </c>
      <c r="J1012" s="2149"/>
      <c r="K1012" s="1161">
        <f>IF(L1012&lt;&gt;0,'Cost Control'!A97,0)</f>
        <v>0</v>
      </c>
      <c r="L1012" s="2151">
        <f>'Cost Control'!M97</f>
        <v>0</v>
      </c>
      <c r="M1012" s="2152"/>
    </row>
    <row r="1013" spans="2:13" s="518" customFormat="1" ht="15.45">
      <c r="B1013" s="652"/>
      <c r="C1013" s="484"/>
      <c r="D1013" s="484"/>
      <c r="E1013" s="484"/>
      <c r="F1013" s="484"/>
      <c r="G1013" s="484"/>
      <c r="H1013" s="484"/>
      <c r="I1013" s="2148" t="str">
        <f>IF(L1013&lt;&gt;0,'Cost Control'!B98," ")</f>
        <v xml:space="preserve"> </v>
      </c>
      <c r="J1013" s="2149"/>
      <c r="K1013" s="1161">
        <f>IF(L1013&lt;&gt;0,'Cost Control'!A98,0)</f>
        <v>0</v>
      </c>
      <c r="L1013" s="2151">
        <f>'Cost Control'!M98</f>
        <v>0</v>
      </c>
      <c r="M1013" s="2152"/>
    </row>
    <row r="1014" spans="2:13" s="518" customFormat="1" ht="15.45">
      <c r="B1014" s="652"/>
      <c r="C1014" s="484"/>
      <c r="D1014" s="484"/>
      <c r="E1014" s="484"/>
      <c r="F1014" s="484"/>
      <c r="G1014" s="484"/>
      <c r="H1014" s="484"/>
      <c r="I1014" s="2148" t="str">
        <f>IF(L1014&lt;&gt;0,'Cost Control'!B99," ")</f>
        <v xml:space="preserve"> </v>
      </c>
      <c r="J1014" s="2149"/>
      <c r="K1014" s="1161">
        <f>IF(L1014&lt;&gt;0,'Cost Control'!A99,0)</f>
        <v>0</v>
      </c>
      <c r="L1014" s="2151">
        <f>'Cost Control'!M99</f>
        <v>0</v>
      </c>
      <c r="M1014" s="2152"/>
    </row>
    <row r="1015" spans="2:13" s="518" customFormat="1" ht="15.45">
      <c r="B1015" s="652"/>
      <c r="C1015" s="484"/>
      <c r="D1015" s="484"/>
      <c r="E1015" s="484"/>
      <c r="F1015" s="484"/>
      <c r="G1015" s="484"/>
      <c r="H1015" s="484"/>
      <c r="I1015" s="2148" t="str">
        <f>IF(L1015&lt;&gt;0,'Cost Control'!B100," ")</f>
        <v xml:space="preserve"> </v>
      </c>
      <c r="J1015" s="2149"/>
      <c r="K1015" s="1161">
        <f>IF(L1015&lt;&gt;0,'Cost Control'!A100,0)</f>
        <v>0</v>
      </c>
      <c r="L1015" s="2151">
        <f>'Cost Control'!M100</f>
        <v>0</v>
      </c>
      <c r="M1015" s="2152"/>
    </row>
    <row r="1016" spans="2:13" s="518" customFormat="1" ht="15.45">
      <c r="B1016" s="652"/>
      <c r="C1016" s="484"/>
      <c r="D1016" s="484"/>
      <c r="E1016" s="484"/>
      <c r="F1016" s="484"/>
      <c r="G1016" s="484"/>
      <c r="H1016" s="484"/>
      <c r="I1016" s="2148" t="str">
        <f>IF(L1016&lt;&gt;0,'Cost Control'!B101," ")</f>
        <v xml:space="preserve"> </v>
      </c>
      <c r="J1016" s="2149"/>
      <c r="K1016" s="1161">
        <f>IF(L1016&lt;&gt;0,'Cost Control'!A101,0)</f>
        <v>0</v>
      </c>
      <c r="L1016" s="2151">
        <f>'Cost Control'!M101</f>
        <v>0</v>
      </c>
      <c r="M1016" s="2152"/>
    </row>
    <row r="1017" spans="2:13" s="518" customFormat="1" ht="15.45">
      <c r="B1017" s="652"/>
      <c r="C1017" s="484"/>
      <c r="D1017" s="484"/>
      <c r="E1017" s="484"/>
      <c r="F1017" s="484"/>
      <c r="G1017" s="484"/>
      <c r="H1017" s="484"/>
      <c r="I1017" s="2148" t="str">
        <f>IF(L1017&lt;&gt;0,'Cost Control'!B102," ")</f>
        <v xml:space="preserve"> </v>
      </c>
      <c r="J1017" s="2149"/>
      <c r="K1017" s="1161">
        <f>IF(L1017&lt;&gt;0,'Cost Control'!A102,0)</f>
        <v>0</v>
      </c>
      <c r="L1017" s="2151">
        <f>'Cost Control'!M102</f>
        <v>0</v>
      </c>
      <c r="M1017" s="2152"/>
    </row>
    <row r="1018" spans="2:13" s="518" customFormat="1" ht="15.45">
      <c r="B1018" s="652"/>
      <c r="C1018" s="484"/>
      <c r="D1018" s="484"/>
      <c r="E1018" s="484"/>
      <c r="F1018" s="484"/>
      <c r="G1018" s="484"/>
      <c r="H1018" s="484"/>
      <c r="I1018" s="2148" t="str">
        <f>IF(L1018&lt;&gt;0,'Cost Control'!B103," ")</f>
        <v xml:space="preserve"> </v>
      </c>
      <c r="J1018" s="2149"/>
      <c r="K1018" s="1161">
        <f>IF(L1018&lt;&gt;0,'Cost Control'!A103,0)</f>
        <v>0</v>
      </c>
      <c r="L1018" s="2151">
        <f>'Cost Control'!M103</f>
        <v>0</v>
      </c>
      <c r="M1018" s="2152"/>
    </row>
    <row r="1019" spans="2:13" s="518" customFormat="1" ht="15.45">
      <c r="B1019" s="652"/>
      <c r="C1019" s="484"/>
      <c r="D1019" s="484"/>
      <c r="E1019" s="484"/>
      <c r="F1019" s="484"/>
      <c r="G1019" s="484"/>
      <c r="H1019" s="484"/>
      <c r="I1019" s="2148" t="str">
        <f>IF(L1019&lt;&gt;0,'Cost Control'!B104," ")</f>
        <v xml:space="preserve"> </v>
      </c>
      <c r="J1019" s="2149"/>
      <c r="K1019" s="1161">
        <f>IF(L1019&lt;&gt;0,'Cost Control'!A104,0)</f>
        <v>0</v>
      </c>
      <c r="L1019" s="2151">
        <f>'Cost Control'!M104</f>
        <v>0</v>
      </c>
      <c r="M1019" s="2152"/>
    </row>
    <row r="1020" spans="2:13" s="518" customFormat="1" ht="15.45">
      <c r="B1020" s="652"/>
      <c r="C1020" s="484"/>
      <c r="D1020" s="484"/>
      <c r="E1020" s="484"/>
      <c r="F1020" s="484"/>
      <c r="G1020" s="484"/>
      <c r="H1020" s="484"/>
      <c r="I1020" s="2148" t="str">
        <f>IF(L1020&lt;&gt;0,'Cost Control'!B105," ")</f>
        <v xml:space="preserve"> </v>
      </c>
      <c r="J1020" s="2149"/>
      <c r="K1020" s="1161">
        <f>IF(L1020&lt;&gt;0,'Cost Control'!A105,0)</f>
        <v>0</v>
      </c>
      <c r="L1020" s="2151">
        <f>'Cost Control'!M105</f>
        <v>0</v>
      </c>
      <c r="M1020" s="2152"/>
    </row>
    <row r="1021" spans="2:13" s="518" customFormat="1" ht="15.45">
      <c r="B1021" s="652"/>
      <c r="C1021" s="484"/>
      <c r="D1021" s="484"/>
      <c r="E1021" s="484"/>
      <c r="F1021" s="484"/>
      <c r="G1021" s="484"/>
      <c r="H1021" s="484"/>
      <c r="I1021" s="2148" t="str">
        <f>IF(L1021&lt;&gt;0,'Cost Control'!B106," ")</f>
        <v xml:space="preserve"> </v>
      </c>
      <c r="J1021" s="2149"/>
      <c r="K1021" s="1161">
        <f>IF(L1021&lt;&gt;0,'Cost Control'!A106,0)</f>
        <v>0</v>
      </c>
      <c r="L1021" s="2151">
        <f>'Cost Control'!M106</f>
        <v>0</v>
      </c>
      <c r="M1021" s="2152"/>
    </row>
    <row r="1022" spans="2:13" s="518" customFormat="1" ht="15.45">
      <c r="B1022" s="652"/>
      <c r="C1022" s="484"/>
      <c r="D1022" s="484"/>
      <c r="E1022" s="484"/>
      <c r="F1022" s="484"/>
      <c r="G1022" s="484"/>
      <c r="H1022" s="484"/>
      <c r="I1022" s="2148" t="str">
        <f>IF(L1022&lt;&gt;0,'Cost Control'!B107," ")</f>
        <v xml:space="preserve"> </v>
      </c>
      <c r="J1022" s="2149"/>
      <c r="K1022" s="1161">
        <f>IF(L1022&lt;&gt;0,'Cost Control'!A107,0)</f>
        <v>0</v>
      </c>
      <c r="L1022" s="2151">
        <f>'Cost Control'!M107</f>
        <v>0</v>
      </c>
      <c r="M1022" s="2152"/>
    </row>
    <row r="1023" spans="2:13" s="518" customFormat="1" ht="15.45">
      <c r="B1023" s="652"/>
      <c r="C1023" s="484"/>
      <c r="D1023" s="484"/>
      <c r="E1023" s="484"/>
      <c r="F1023" s="484"/>
      <c r="G1023" s="484"/>
      <c r="H1023" s="484"/>
      <c r="I1023" s="2148" t="str">
        <f>IF(L1023&lt;&gt;0,'Cost Control'!B108," ")</f>
        <v xml:space="preserve"> </v>
      </c>
      <c r="J1023" s="2149"/>
      <c r="K1023" s="1161">
        <f>IF(L1023&lt;&gt;0,'Cost Control'!A108,0)</f>
        <v>0</v>
      </c>
      <c r="L1023" s="2151">
        <f>'Cost Control'!M108</f>
        <v>0</v>
      </c>
      <c r="M1023" s="2152"/>
    </row>
    <row r="1024" spans="2:13" s="518" customFormat="1" ht="15.45">
      <c r="B1024" s="652"/>
      <c r="C1024" s="484"/>
      <c r="D1024" s="484"/>
      <c r="E1024" s="484"/>
      <c r="F1024" s="484"/>
      <c r="G1024" s="484"/>
      <c r="H1024" s="484"/>
      <c r="I1024" s="2148" t="str">
        <f>IF(L1024&lt;&gt;0,'Cost Control'!B109," ")</f>
        <v xml:space="preserve"> </v>
      </c>
      <c r="J1024" s="2149"/>
      <c r="K1024" s="1161">
        <f>IF(L1024&lt;&gt;0,'Cost Control'!A109,0)</f>
        <v>0</v>
      </c>
      <c r="L1024" s="2151">
        <f>'Cost Control'!M109</f>
        <v>0</v>
      </c>
      <c r="M1024" s="2152"/>
    </row>
    <row r="1025" spans="2:13" s="518" customFormat="1" ht="15.45">
      <c r="B1025" s="652"/>
      <c r="C1025" s="484"/>
      <c r="D1025" s="484"/>
      <c r="E1025" s="484"/>
      <c r="F1025" s="484"/>
      <c r="G1025" s="484"/>
      <c r="H1025" s="484"/>
      <c r="I1025" s="2148" t="str">
        <f>IF(L1025&lt;&gt;0,'Cost Control'!B110," ")</f>
        <v xml:space="preserve"> </v>
      </c>
      <c r="J1025" s="2149"/>
      <c r="K1025" s="1161">
        <f>IF(L1025&lt;&gt;0,'Cost Control'!A110,0)</f>
        <v>0</v>
      </c>
      <c r="L1025" s="2151">
        <f>'Cost Control'!M110</f>
        <v>0</v>
      </c>
      <c r="M1025" s="2152"/>
    </row>
    <row r="1026" spans="2:13" s="518" customFormat="1" ht="15.45">
      <c r="B1026" s="652"/>
      <c r="C1026" s="484"/>
      <c r="D1026" s="484"/>
      <c r="E1026" s="484"/>
      <c r="F1026" s="484"/>
      <c r="G1026" s="484"/>
      <c r="H1026" s="484"/>
      <c r="I1026" s="2148" t="str">
        <f>IF(L1026&lt;&gt;0,'Cost Control'!B111," ")</f>
        <v xml:space="preserve"> </v>
      </c>
      <c r="J1026" s="2149"/>
      <c r="K1026" s="1161">
        <f>IF(L1026&lt;&gt;0,'Cost Control'!A111,0)</f>
        <v>0</v>
      </c>
      <c r="L1026" s="2151">
        <f>'Cost Control'!M111</f>
        <v>0</v>
      </c>
      <c r="M1026" s="2152"/>
    </row>
    <row r="1027" spans="2:13" s="518" customFormat="1" ht="15.45">
      <c r="B1027" s="652"/>
      <c r="C1027" s="484"/>
      <c r="D1027" s="484"/>
      <c r="E1027" s="484"/>
      <c r="F1027" s="484"/>
      <c r="G1027" s="484"/>
      <c r="H1027" s="484"/>
      <c r="I1027" s="2148" t="str">
        <f>IF(L1027&lt;&gt;0,'Cost Control'!B112," ")</f>
        <v xml:space="preserve"> </v>
      </c>
      <c r="J1027" s="2149"/>
      <c r="K1027" s="1161">
        <f>IF(L1027&lt;&gt;0,'Cost Control'!A112,0)</f>
        <v>0</v>
      </c>
      <c r="L1027" s="2151">
        <f>'Cost Control'!M112</f>
        <v>0</v>
      </c>
      <c r="M1027" s="2152"/>
    </row>
    <row r="1028" spans="2:13" s="518" customFormat="1" ht="15.45">
      <c r="B1028" s="652"/>
      <c r="C1028" s="484"/>
      <c r="D1028" s="484"/>
      <c r="E1028" s="484"/>
      <c r="F1028" s="484"/>
      <c r="G1028" s="484"/>
      <c r="H1028" s="484"/>
      <c r="I1028" s="2148" t="str">
        <f>IF(L1028&lt;&gt;0,'Cost Control'!B113," ")</f>
        <v xml:space="preserve"> </v>
      </c>
      <c r="J1028" s="2149"/>
      <c r="K1028" s="1161">
        <f>IF(L1028&lt;&gt;0,'Cost Control'!A113,0)</f>
        <v>0</v>
      </c>
      <c r="L1028" s="2151">
        <f>'Cost Control'!M113</f>
        <v>0</v>
      </c>
      <c r="M1028" s="2152"/>
    </row>
    <row r="1029" spans="2:13" s="518" customFormat="1" ht="15.45">
      <c r="B1029" s="652"/>
      <c r="C1029" s="484"/>
      <c r="D1029" s="484"/>
      <c r="E1029" s="484"/>
      <c r="F1029" s="484"/>
      <c r="G1029" s="484"/>
      <c r="H1029" s="484"/>
      <c r="I1029" s="2148" t="str">
        <f>IF(L1029&lt;&gt;0,'Cost Control'!B114," ")</f>
        <v xml:space="preserve"> </v>
      </c>
      <c r="J1029" s="2149"/>
      <c r="K1029" s="1161">
        <f>IF(L1029&lt;&gt;0,'Cost Control'!A114,0)</f>
        <v>0</v>
      </c>
      <c r="L1029" s="2151">
        <f>'Cost Control'!M114</f>
        <v>0</v>
      </c>
      <c r="M1029" s="2152"/>
    </row>
    <row r="1030" spans="2:13" s="518" customFormat="1" ht="15.45">
      <c r="B1030" s="652"/>
      <c r="C1030" s="484"/>
      <c r="D1030" s="484"/>
      <c r="E1030" s="484"/>
      <c r="F1030" s="484"/>
      <c r="G1030" s="484"/>
      <c r="H1030" s="484"/>
      <c r="I1030" s="2148" t="str">
        <f>IF(L1030&lt;&gt;0,'Cost Control'!B115," ")</f>
        <v xml:space="preserve"> </v>
      </c>
      <c r="J1030" s="2149"/>
      <c r="K1030" s="1161">
        <f>IF(L1030&lt;&gt;0,'Cost Control'!A115,0)</f>
        <v>0</v>
      </c>
      <c r="L1030" s="2151">
        <f>'Cost Control'!M115</f>
        <v>0</v>
      </c>
      <c r="M1030" s="2152"/>
    </row>
    <row r="1031" spans="2:13" s="518" customFormat="1" ht="15.45">
      <c r="B1031" s="652"/>
      <c r="C1031" s="484"/>
      <c r="D1031" s="484"/>
      <c r="E1031" s="484"/>
      <c r="F1031" s="484"/>
      <c r="G1031" s="484"/>
      <c r="H1031" s="484"/>
      <c r="I1031" s="2148" t="str">
        <f>IF(L1031&lt;&gt;0,'Cost Control'!B116," ")</f>
        <v xml:space="preserve"> </v>
      </c>
      <c r="J1031" s="2149"/>
      <c r="K1031" s="1161">
        <f>IF(L1031&lt;&gt;0,'Cost Control'!A116,0)</f>
        <v>0</v>
      </c>
      <c r="L1031" s="2151">
        <f>'Cost Control'!M116</f>
        <v>0</v>
      </c>
      <c r="M1031" s="2152"/>
    </row>
    <row r="1032" spans="2:13" s="518" customFormat="1" ht="16.100000000000001" thickBot="1">
      <c r="B1032" s="652"/>
      <c r="C1032" s="484"/>
      <c r="D1032" s="484"/>
      <c r="E1032" s="484"/>
      <c r="F1032" s="484"/>
      <c r="G1032" s="484"/>
      <c r="H1032" s="484"/>
      <c r="I1032" s="2148" t="str">
        <f>IF(L1032&lt;&gt;0,'Cost Control'!B117," ")</f>
        <v xml:space="preserve"> </v>
      </c>
      <c r="J1032" s="2149"/>
      <c r="K1032" s="1161">
        <f>IF(L1032&lt;&gt;0,'Cost Control'!A117,0)</f>
        <v>0</v>
      </c>
      <c r="L1032" s="2151">
        <f>'Cost Control'!M117</f>
        <v>0</v>
      </c>
      <c r="M1032" s="2152"/>
    </row>
    <row r="1033" spans="2:13" ht="13.1">
      <c r="B1033" s="141" t="s">
        <v>695</v>
      </c>
      <c r="C1033" s="50"/>
      <c r="D1033" s="50"/>
      <c r="E1033" s="2150">
        <f>K1049</f>
        <v>19</v>
      </c>
      <c r="F1033" s="2150"/>
      <c r="G1033" s="50"/>
      <c r="H1033" s="50"/>
      <c r="I1033" s="50"/>
      <c r="J1033" s="50"/>
      <c r="K1033" s="50"/>
      <c r="L1033" s="50"/>
      <c r="M1033" s="43"/>
    </row>
    <row r="1034" spans="2:13">
      <c r="B1034" s="1628"/>
      <c r="C1034" s="1629"/>
      <c r="D1034" s="1629"/>
      <c r="E1034" s="1629"/>
      <c r="F1034" s="1629"/>
      <c r="G1034" s="1629"/>
      <c r="H1034" s="1629"/>
      <c r="I1034" s="1629"/>
      <c r="J1034" s="1629"/>
      <c r="K1034" s="1629"/>
      <c r="L1034" s="1629"/>
      <c r="M1034" s="1630"/>
    </row>
    <row r="1035" spans="2:13" ht="13.5" thickBot="1">
      <c r="B1035" s="1480"/>
      <c r="C1035" s="1479"/>
      <c r="D1035" s="1479"/>
      <c r="E1035" s="1479"/>
      <c r="F1035" s="1479"/>
      <c r="G1035" s="1479"/>
      <c r="H1035" s="1631"/>
      <c r="I1035" s="1631"/>
      <c r="J1035" s="1631"/>
      <c r="K1035" s="1631"/>
      <c r="L1035" s="1631"/>
      <c r="M1035" s="1555"/>
    </row>
    <row r="1036" spans="2:13" ht="15.45">
      <c r="B1036" s="307" t="s">
        <v>645</v>
      </c>
      <c r="C1036" s="308"/>
      <c r="D1036" s="2135">
        <f>D981</f>
        <v>0</v>
      </c>
      <c r="E1036" s="2135"/>
      <c r="F1036" s="309" t="s">
        <v>647</v>
      </c>
      <c r="G1036" s="310">
        <f>G981</f>
        <v>0</v>
      </c>
      <c r="H1036" s="172" t="s">
        <v>648</v>
      </c>
      <c r="I1036" s="472">
        <v>0</v>
      </c>
      <c r="J1036" s="2173" t="s">
        <v>650</v>
      </c>
      <c r="K1036" s="2173"/>
      <c r="L1036" s="1378"/>
      <c r="M1036" s="486" t="str">
        <f>M981</f>
        <v>° F</v>
      </c>
    </row>
    <row r="1037" spans="2:13">
      <c r="B1037" s="44" t="s">
        <v>644</v>
      </c>
      <c r="E1037" t="s">
        <v>655</v>
      </c>
      <c r="G1037">
        <f>IF('Daily Load'!P344="Yes",Operations!D998,IF('Daily Load'!V344="Yes",Operations!D1000,Operations!D1001))</f>
        <v>0</v>
      </c>
      <c r="I1037" s="195" t="s">
        <v>651</v>
      </c>
      <c r="L1037" s="2170">
        <f>'Cost Control'!M152</f>
        <v>0</v>
      </c>
      <c r="M1037" s="2171"/>
    </row>
    <row r="1038" spans="2:13">
      <c r="B1038" s="44"/>
      <c r="E1038" s="223" t="s">
        <v>193</v>
      </c>
      <c r="F1038" s="223" t="s">
        <v>194</v>
      </c>
      <c r="G1038" s="223" t="str">
        <f>G983</f>
        <v>Other</v>
      </c>
      <c r="H1038" s="1627" t="s">
        <v>587</v>
      </c>
      <c r="I1038" s="31" t="s">
        <v>652</v>
      </c>
      <c r="L1038" s="2170">
        <f>L984</f>
        <v>0</v>
      </c>
      <c r="M1038" s="2171"/>
    </row>
    <row r="1039" spans="2:13" ht="13.5" thickBot="1">
      <c r="B1039" s="44" t="s">
        <v>643</v>
      </c>
      <c r="E1039" s="361">
        <f>IF(E1043&gt;0,E1041-E1043,E1041+E1042+E1040)</f>
        <v>0</v>
      </c>
      <c r="F1039" s="361">
        <f>IF(F1043&gt;0,F1041-F1043,F1041+F1042+F1040)</f>
        <v>0</v>
      </c>
      <c r="G1039" s="361">
        <f>IF(G1043&gt;0,G1041-G1043,G1041+G1042+G1040)</f>
        <v>0</v>
      </c>
      <c r="H1039" t="str">
        <f>H988</f>
        <v>bbl</v>
      </c>
      <c r="I1039" s="31" t="s">
        <v>653</v>
      </c>
      <c r="L1039" s="2163">
        <f>L1037+L1038</f>
        <v>0</v>
      </c>
      <c r="M1039" s="2164"/>
    </row>
    <row r="1040" spans="2:13" ht="13.5" thickTop="1">
      <c r="B1040" s="311" t="s">
        <v>642</v>
      </c>
      <c r="E1040" s="361">
        <f>IF('Daily Load'!P344="Yes",'Daily Load'!L339,IF('Daily Load'!V344="Yes",'Daily Load'!R339,'Daily Load'!X339))</f>
        <v>0</v>
      </c>
      <c r="F1040" s="361">
        <f>IF('Daily Load'!P344="Yes",'Daily Load'!N339,IF('Daily Load'!V344="Yes",'Daily Load'!T339,'Daily Load'!Z339))</f>
        <v>0</v>
      </c>
      <c r="G1040" s="361">
        <f>IF('Daily Load'!P344="Yes",'Daily Load'!P339,IF('Daily Load'!V344="Yes",'Daily Load'!V339,'Daily Load'!AB339))</f>
        <v>0</v>
      </c>
      <c r="H1040" t="str">
        <f>H1039</f>
        <v>bbl</v>
      </c>
      <c r="I1040" s="31"/>
      <c r="L1040" s="521"/>
      <c r="M1040" s="522"/>
    </row>
    <row r="1041" spans="2:13">
      <c r="B1041" s="44" t="s">
        <v>641</v>
      </c>
      <c r="E1041" s="361">
        <f>IF(G1037=D9,'Daily Load'!F343+E986,IF(G1037=G982,'Daily Load'!F343+E986,'Daily Load'!F343))</f>
        <v>0</v>
      </c>
      <c r="F1041" s="361">
        <f>IF(G1037=D9,'Daily Load'!H343+F986,IF(G1037=G982,'Daily Load'!H343+F986,'Daily Load'!H343))</f>
        <v>0</v>
      </c>
      <c r="G1041" s="361">
        <f>IF(G1037=D9,'Daily Load'!J343+G986,IF(G1037=G982,'Daily Load'!J343+G986,'Daily Load'!J343))</f>
        <v>0</v>
      </c>
      <c r="H1041" t="str">
        <f>H1040</f>
        <v>bbl</v>
      </c>
      <c r="I1041" s="33" t="s">
        <v>654</v>
      </c>
      <c r="J1041" s="19"/>
      <c r="K1041" s="19"/>
      <c r="L1041" s="2165">
        <f>L986</f>
        <v>0</v>
      </c>
      <c r="M1041" s="2166"/>
    </row>
    <row r="1042" spans="2:13">
      <c r="B1042" s="44" t="s">
        <v>640</v>
      </c>
      <c r="E1042" s="361">
        <f>IF('Daily Load'!P344="Yes",'Daily Load'!L341,IF('Daily Load'!V344="Yes",'Daily Load'!R341,'Daily Load'!X341))</f>
        <v>0</v>
      </c>
      <c r="F1042" s="361">
        <f>IF('Daily Load'!P344="Yes",'Daily Load'!N341,IF('Daily Load'!V344="Yes",'Daily Load'!T341,'Daily Load'!Z341))</f>
        <v>0</v>
      </c>
      <c r="G1042" s="361">
        <f>IF('Daily Load'!P344="Yes",'Daily Load'!P341,IF('Daily Load'!V344="Yes",'Daily Load'!V341,'Daily Load'!AB341))</f>
        <v>0</v>
      </c>
      <c r="H1042" t="str">
        <f>H1041</f>
        <v>bbl</v>
      </c>
      <c r="I1042" s="2160" t="str">
        <f>I987</f>
        <v xml:space="preserve"> </v>
      </c>
      <c r="J1042" s="2059"/>
      <c r="K1042" s="2161"/>
      <c r="L1042" s="2162" t="str">
        <f>L987</f>
        <v xml:space="preserve">0 </v>
      </c>
      <c r="M1042" s="2155"/>
    </row>
    <row r="1043" spans="2:13" ht="13.5" thickBot="1">
      <c r="B1043" s="46" t="s">
        <v>639</v>
      </c>
      <c r="C1043" s="21"/>
      <c r="D1043" s="21"/>
      <c r="E1043" s="380">
        <f>IF('Daily Load'!P344="Yes",'Daily Load'!L342,IF('Daily Load'!V344="Yes",'Daily Load'!R342,'Daily Load'!X342))</f>
        <v>0</v>
      </c>
      <c r="F1043" s="380">
        <f>IF('Daily Load'!P344="Yes",'Daily Load'!N342,IF('Daily Load'!V344="Yes",'Daily Load'!T342,'Daily Load'!Z342))</f>
        <v>0</v>
      </c>
      <c r="G1043" s="380">
        <f>IF('Daily Load'!P344="Yes",'Daily Load'!P342,IF('Daily Load'!V344="Yes",'Daily Load'!V342,'Daily Load'!AB342))</f>
        <v>0</v>
      </c>
      <c r="H1043" s="21" t="str">
        <f>H1042</f>
        <v>bbl</v>
      </c>
      <c r="I1043" s="2167" t="s">
        <v>677</v>
      </c>
      <c r="J1043" s="2168"/>
      <c r="K1043" s="2169"/>
      <c r="L1043" s="2167" t="s">
        <v>826</v>
      </c>
      <c r="M1043" s="2172"/>
    </row>
    <row r="1044" spans="2:13">
      <c r="B1044" s="50"/>
      <c r="C1044" s="50"/>
      <c r="D1044" s="50"/>
      <c r="E1044" s="1185"/>
      <c r="F1044" s="1185"/>
      <c r="G1044" s="1185"/>
      <c r="H1044" s="50"/>
      <c r="I1044" s="1186"/>
      <c r="J1044" s="1186"/>
      <c r="K1044" s="1186"/>
      <c r="L1044" s="1186"/>
      <c r="M1044" s="1186"/>
    </row>
    <row r="1045" spans="2:13" ht="13.5" thickBot="1">
      <c r="B1045" s="21"/>
      <c r="C1045" s="21"/>
      <c r="D1045" s="21"/>
      <c r="E1045" s="21"/>
      <c r="F1045" s="21"/>
      <c r="G1045" s="21"/>
      <c r="H1045" s="21"/>
      <c r="I1045" s="21"/>
      <c r="J1045" s="21"/>
      <c r="K1045" s="21"/>
      <c r="L1045" s="21"/>
      <c r="M1045" s="21"/>
    </row>
    <row r="1046" spans="2:13">
      <c r="B1046" s="44"/>
      <c r="M1046" s="45"/>
    </row>
    <row r="1047" spans="2:13">
      <c r="B1047" s="44"/>
      <c r="J1047" s="2143">
        <f>J992</f>
        <v>0</v>
      </c>
      <c r="K1047" s="2143"/>
      <c r="L1047" s="2143"/>
      <c r="M1047" s="45"/>
    </row>
    <row r="1048" spans="2:13">
      <c r="B1048" s="44"/>
      <c r="M1048" s="45"/>
    </row>
    <row r="1049" spans="2:13" ht="13.1">
      <c r="B1049" s="137" t="s">
        <v>634</v>
      </c>
      <c r="C1049">
        <f>Summary!$C$6</f>
        <v>0</v>
      </c>
      <c r="H1049" s="22" t="s">
        <v>636</v>
      </c>
      <c r="I1049" s="22"/>
      <c r="K1049" s="2158">
        <f>'Cost Control'!N83</f>
        <v>19</v>
      </c>
      <c r="L1049" s="2158"/>
      <c r="M1049" s="2159"/>
    </row>
    <row r="1050" spans="2:13" ht="13.1">
      <c r="B1050" s="44"/>
      <c r="H1050" s="22"/>
      <c r="I1050" s="22"/>
      <c r="M1050" s="45"/>
    </row>
    <row r="1051" spans="2:13" ht="13.1">
      <c r="B1051" s="137" t="s">
        <v>635</v>
      </c>
      <c r="D1051" s="2136">
        <f>D996</f>
        <v>0</v>
      </c>
      <c r="E1051" s="2136"/>
      <c r="F1051" s="2136"/>
      <c r="G1051" s="2136"/>
      <c r="H1051" s="2136"/>
      <c r="I1051" s="22" t="s">
        <v>637</v>
      </c>
      <c r="J1051" s="3">
        <f>J996+1</f>
        <v>20</v>
      </c>
      <c r="M1051" s="45"/>
    </row>
    <row r="1052" spans="2:13" ht="13.1">
      <c r="B1052" s="137"/>
      <c r="D1052" s="2136"/>
      <c r="E1052" s="2136"/>
      <c r="F1052" s="2136"/>
      <c r="G1052" s="2136"/>
      <c r="H1052" s="2136"/>
      <c r="I1052" t="s">
        <v>63</v>
      </c>
      <c r="J1052" s="2142">
        <f>J997</f>
        <v>0</v>
      </c>
      <c r="K1052" s="2143"/>
      <c r="M1052" s="45"/>
    </row>
    <row r="1053" spans="2:13" ht="13.1">
      <c r="B1053" s="137" t="s">
        <v>146</v>
      </c>
      <c r="D1053">
        <f>Summary!$C$32</f>
        <v>0</v>
      </c>
      <c r="F1053" s="1819" t="str">
        <f>F998</f>
        <v>OPEN HOLE INTERVAL:</v>
      </c>
      <c r="G1053" s="1819"/>
      <c r="H1053" s="2147">
        <f>H998</f>
        <v>0</v>
      </c>
      <c r="I1053" s="2147"/>
      <c r="J1053" s="2147">
        <f>J998</f>
        <v>0</v>
      </c>
      <c r="K1053" s="2147"/>
      <c r="L1053" s="2147">
        <f>L998</f>
        <v>0</v>
      </c>
      <c r="M1053" s="2154"/>
    </row>
    <row r="1054" spans="2:13">
      <c r="B1054" s="44"/>
      <c r="H1054" s="2153"/>
      <c r="I1054" s="2153"/>
      <c r="J1054" s="1145"/>
      <c r="K1054" s="1145"/>
      <c r="L1054" s="1145"/>
      <c r="M1054" s="1146"/>
    </row>
    <row r="1055" spans="2:13" ht="13.1">
      <c r="B1055" s="44"/>
      <c r="D1055">
        <f>Summary!$F$32</f>
        <v>0</v>
      </c>
      <c r="F1055" s="1819" t="str">
        <f>F1000</f>
        <v xml:space="preserve"> </v>
      </c>
      <c r="G1055" s="1819"/>
      <c r="H1055" s="2137">
        <f>H1000</f>
        <v>0</v>
      </c>
      <c r="I1055" s="2137"/>
      <c r="J1055" s="2137">
        <f>J1000</f>
        <v>0</v>
      </c>
      <c r="K1055" s="2137"/>
      <c r="L1055" s="2137">
        <f>L1000</f>
        <v>0</v>
      </c>
      <c r="M1055" s="2155"/>
    </row>
    <row r="1056" spans="2:13" ht="13.1">
      <c r="B1056" s="44"/>
      <c r="D1056">
        <f>D1001</f>
        <v>0</v>
      </c>
      <c r="F1056" s="1819" t="str">
        <f>F1001</f>
        <v xml:space="preserve"> </v>
      </c>
      <c r="G1056" s="1819"/>
      <c r="H1056" s="1737">
        <f>H1001</f>
        <v>0</v>
      </c>
      <c r="I1056" s="1737"/>
      <c r="J1056" s="1737">
        <f>J1001</f>
        <v>0</v>
      </c>
      <c r="K1056" s="1737"/>
      <c r="L1056" s="1737">
        <f>L1001</f>
        <v>0</v>
      </c>
      <c r="M1056" s="1791"/>
    </row>
    <row r="1057" spans="2:13">
      <c r="B1057" s="44"/>
      <c r="M1057" s="45"/>
    </row>
    <row r="1058" spans="2:13" ht="13.75" thickBot="1">
      <c r="B1058" s="46"/>
      <c r="C1058" s="21"/>
      <c r="D1058" s="21"/>
      <c r="E1058" s="1664" t="s">
        <v>638</v>
      </c>
      <c r="F1058" s="1664"/>
      <c r="G1058" s="1664"/>
      <c r="H1058" s="1664"/>
      <c r="I1058" s="1664"/>
      <c r="J1058" s="21"/>
      <c r="K1058" s="21"/>
      <c r="L1058" s="21"/>
      <c r="M1058" s="47"/>
    </row>
    <row r="1059" spans="2:13" s="518" customFormat="1" ht="16.100000000000001" thickBot="1">
      <c r="B1059" s="651"/>
      <c r="C1059" s="484"/>
      <c r="D1059" s="484"/>
      <c r="E1059" s="484"/>
      <c r="F1059" s="484"/>
      <c r="G1059" s="484"/>
      <c r="H1059" s="484"/>
      <c r="I1059" s="2138" t="s">
        <v>61</v>
      </c>
      <c r="J1059" s="2139"/>
      <c r="K1059" s="2139"/>
      <c r="L1059" s="2139"/>
      <c r="M1059" s="2140"/>
    </row>
    <row r="1060" spans="2:13" s="518" customFormat="1" ht="16.100000000000001" thickBot="1">
      <c r="B1060" s="652"/>
      <c r="C1060" s="484"/>
      <c r="D1060" s="484"/>
      <c r="E1060" s="484"/>
      <c r="F1060" s="484"/>
      <c r="G1060" s="484"/>
      <c r="H1060" s="484"/>
      <c r="I1060" s="2141" t="str">
        <f>I1005</f>
        <v>Service</v>
      </c>
      <c r="J1060" s="2141"/>
      <c r="K1060" s="1159" t="s">
        <v>62</v>
      </c>
      <c r="L1060" s="2144" t="s">
        <v>1454</v>
      </c>
      <c r="M1060" s="2144"/>
    </row>
    <row r="1061" spans="2:13" s="518" customFormat="1" ht="16.100000000000001" thickBot="1">
      <c r="B1061" s="652"/>
      <c r="C1061" s="484"/>
      <c r="D1061" s="484"/>
      <c r="E1061" s="484"/>
      <c r="F1061" s="484"/>
      <c r="G1061" s="484"/>
      <c r="H1061" s="484"/>
      <c r="I1061" s="2145" t="s">
        <v>1538</v>
      </c>
      <c r="J1061" s="2146"/>
      <c r="K1061" s="1160">
        <f>IF(L1061&lt;&gt;0," ",0)</f>
        <v>0</v>
      </c>
      <c r="L1061" s="2156">
        <f>SUM('Cost Control'!N85:N94)</f>
        <v>0</v>
      </c>
      <c r="M1061" s="2157"/>
    </row>
    <row r="1062" spans="2:13" s="518" customFormat="1" ht="16.100000000000001" thickBot="1">
      <c r="B1062" s="652"/>
      <c r="C1062" s="484"/>
      <c r="D1062" s="484"/>
      <c r="E1062" s="484"/>
      <c r="F1062" s="484"/>
      <c r="G1062" s="484"/>
      <c r="H1062" s="484"/>
      <c r="I1062" s="2145" t="s">
        <v>1539</v>
      </c>
      <c r="J1062" s="2146"/>
      <c r="K1062" s="1161">
        <f>IF(L1062&lt;&gt;0,'Cost Control'!A131,0)</f>
        <v>0</v>
      </c>
      <c r="L1062" s="2151">
        <f>SUM('Cost Control'!N131:N136)</f>
        <v>0</v>
      </c>
      <c r="M1062" s="2152"/>
    </row>
    <row r="1063" spans="2:13" s="518" customFormat="1" ht="16.100000000000001" thickBot="1">
      <c r="B1063" s="652"/>
      <c r="C1063" s="484"/>
      <c r="D1063" s="484"/>
      <c r="E1063" s="484"/>
      <c r="F1063" s="484"/>
      <c r="G1063" s="484"/>
      <c r="H1063" s="484"/>
      <c r="I1063" s="2145" t="s">
        <v>903</v>
      </c>
      <c r="J1063" s="2146"/>
      <c r="K1063" s="1161">
        <f>IF(L1063&lt;&gt;0,'Cost Control'!A118,0)</f>
        <v>0</v>
      </c>
      <c r="L1063" s="2151">
        <f>SUM('Cost Control'!N118:N129)</f>
        <v>0</v>
      </c>
      <c r="M1063" s="2152"/>
    </row>
    <row r="1064" spans="2:13" s="518" customFormat="1" ht="16.100000000000001" thickBot="1">
      <c r="B1064" s="652"/>
      <c r="C1064" s="484"/>
      <c r="D1064" s="484"/>
      <c r="E1064" s="484"/>
      <c r="F1064" s="484"/>
      <c r="G1064" s="484"/>
      <c r="H1064" s="484"/>
      <c r="I1064" s="2145" t="s">
        <v>1540</v>
      </c>
      <c r="J1064" s="2146"/>
      <c r="K1064" s="1161" t="str">
        <f>IF(L1064&lt;&gt;0,'Cost Control'!A138," ")</f>
        <v xml:space="preserve"> </v>
      </c>
      <c r="L1064" s="2151">
        <f>SUM('Cost Control'!N138:N144)</f>
        <v>0</v>
      </c>
      <c r="M1064" s="2152"/>
    </row>
    <row r="1065" spans="2:13" s="518" customFormat="1" ht="15.45">
      <c r="B1065" s="652"/>
      <c r="C1065" s="484"/>
      <c r="D1065" s="484"/>
      <c r="E1065" s="484"/>
      <c r="F1065" s="484"/>
      <c r="G1065" s="484"/>
      <c r="H1065" s="484"/>
      <c r="I1065" s="2145" t="s">
        <v>1451</v>
      </c>
      <c r="J1065" s="2146"/>
      <c r="K1065" s="1161">
        <f>IF(L1065&lt;&gt;0,'Cost Control'!A146,0)</f>
        <v>0</v>
      </c>
      <c r="L1065" s="2151">
        <f>SUM('Cost Control'!N146:N151)</f>
        <v>0</v>
      </c>
      <c r="M1065" s="2152"/>
    </row>
    <row r="1066" spans="2:13" s="518" customFormat="1" ht="15.45">
      <c r="B1066" s="652"/>
      <c r="C1066" s="484"/>
      <c r="D1066" s="484"/>
      <c r="E1066" s="484"/>
      <c r="F1066" s="484"/>
      <c r="G1066" s="484"/>
      <c r="H1066" s="484"/>
      <c r="I1066" s="2148" t="str">
        <f>IF(L1066&lt;&gt;0,'Cost Control'!B96," ")</f>
        <v xml:space="preserve"> </v>
      </c>
      <c r="J1066" s="2149"/>
      <c r="K1066" s="1161">
        <f>IF(L1066&lt;&gt;0,'Cost Control'!A96,0)</f>
        <v>0</v>
      </c>
      <c r="L1066" s="2151">
        <f>'Cost Control'!N96</f>
        <v>0</v>
      </c>
      <c r="M1066" s="2152"/>
    </row>
    <row r="1067" spans="2:13" s="518" customFormat="1" ht="15.45">
      <c r="B1067" s="652"/>
      <c r="C1067" s="484"/>
      <c r="D1067" s="484"/>
      <c r="E1067" s="484"/>
      <c r="F1067" s="484"/>
      <c r="G1067" s="484"/>
      <c r="H1067" s="484"/>
      <c r="I1067" s="2148" t="str">
        <f>IF(L1067&lt;&gt;0,'Cost Control'!B97," ")</f>
        <v xml:space="preserve"> </v>
      </c>
      <c r="J1067" s="2149"/>
      <c r="K1067" s="1161">
        <f>IF(L1067&lt;&gt;0,'Cost Control'!A97,0)</f>
        <v>0</v>
      </c>
      <c r="L1067" s="2151">
        <f>'Cost Control'!N97</f>
        <v>0</v>
      </c>
      <c r="M1067" s="2152"/>
    </row>
    <row r="1068" spans="2:13" s="518" customFormat="1" ht="15.45">
      <c r="B1068" s="652"/>
      <c r="C1068" s="484"/>
      <c r="D1068" s="484"/>
      <c r="E1068" s="484"/>
      <c r="F1068" s="484"/>
      <c r="G1068" s="484"/>
      <c r="H1068" s="484"/>
      <c r="I1068" s="2148" t="str">
        <f>IF(L1068&lt;&gt;0,'Cost Control'!B98," ")</f>
        <v xml:space="preserve"> </v>
      </c>
      <c r="J1068" s="2149"/>
      <c r="K1068" s="1161">
        <f>IF(L1068&lt;&gt;0,'Cost Control'!A98,0)</f>
        <v>0</v>
      </c>
      <c r="L1068" s="2151">
        <f>'Cost Control'!N98</f>
        <v>0</v>
      </c>
      <c r="M1068" s="2152"/>
    </row>
    <row r="1069" spans="2:13" s="518" customFormat="1" ht="15.45">
      <c r="B1069" s="652"/>
      <c r="C1069" s="484"/>
      <c r="D1069" s="484"/>
      <c r="E1069" s="484"/>
      <c r="F1069" s="484"/>
      <c r="G1069" s="484"/>
      <c r="H1069" s="484"/>
      <c r="I1069" s="2148" t="str">
        <f>IF(L1069&lt;&gt;0,'Cost Control'!B99," ")</f>
        <v xml:space="preserve"> </v>
      </c>
      <c r="J1069" s="2149"/>
      <c r="K1069" s="1161">
        <f>IF(L1069&lt;&gt;0,'Cost Control'!A99,0)</f>
        <v>0</v>
      </c>
      <c r="L1069" s="2151">
        <f>'Cost Control'!N99</f>
        <v>0</v>
      </c>
      <c r="M1069" s="2152"/>
    </row>
    <row r="1070" spans="2:13" s="518" customFormat="1" ht="15.45">
      <c r="B1070" s="652"/>
      <c r="C1070" s="484"/>
      <c r="D1070" s="484"/>
      <c r="E1070" s="484"/>
      <c r="F1070" s="484"/>
      <c r="G1070" s="484"/>
      <c r="H1070" s="484"/>
      <c r="I1070" s="2148" t="str">
        <f>IF(L1070&lt;&gt;0,'Cost Control'!B100," ")</f>
        <v xml:space="preserve"> </v>
      </c>
      <c r="J1070" s="2149"/>
      <c r="K1070" s="1161">
        <f>IF(L1070&lt;&gt;0,'Cost Control'!A100,0)</f>
        <v>0</v>
      </c>
      <c r="L1070" s="2151">
        <f>'Cost Control'!N100</f>
        <v>0</v>
      </c>
      <c r="M1070" s="2152"/>
    </row>
    <row r="1071" spans="2:13" s="518" customFormat="1" ht="15.45">
      <c r="B1071" s="652"/>
      <c r="C1071" s="484"/>
      <c r="D1071" s="484"/>
      <c r="E1071" s="484"/>
      <c r="F1071" s="484"/>
      <c r="G1071" s="484"/>
      <c r="H1071" s="484"/>
      <c r="I1071" s="2148" t="str">
        <f>IF(L1071&lt;&gt;0,'Cost Control'!B101," ")</f>
        <v xml:space="preserve"> </v>
      </c>
      <c r="J1071" s="2149"/>
      <c r="K1071" s="1161">
        <f>IF(L1071&lt;&gt;0,'Cost Control'!A101,0)</f>
        <v>0</v>
      </c>
      <c r="L1071" s="2151">
        <f>'Cost Control'!N101</f>
        <v>0</v>
      </c>
      <c r="M1071" s="2152"/>
    </row>
    <row r="1072" spans="2:13" s="518" customFormat="1" ht="15.45">
      <c r="B1072" s="652"/>
      <c r="C1072" s="484"/>
      <c r="D1072" s="484"/>
      <c r="E1072" s="484"/>
      <c r="F1072" s="484"/>
      <c r="G1072" s="484"/>
      <c r="H1072" s="484"/>
      <c r="I1072" s="2148" t="str">
        <f>IF(L1072&lt;&gt;0,'Cost Control'!B102," ")</f>
        <v xml:space="preserve"> </v>
      </c>
      <c r="J1072" s="2149"/>
      <c r="K1072" s="1161">
        <f>IF(L1072&lt;&gt;0,'Cost Control'!A102,0)</f>
        <v>0</v>
      </c>
      <c r="L1072" s="2151">
        <f>'Cost Control'!N102</f>
        <v>0</v>
      </c>
      <c r="M1072" s="2152"/>
    </row>
    <row r="1073" spans="2:13" s="518" customFormat="1" ht="15.45">
      <c r="B1073" s="652"/>
      <c r="C1073" s="484"/>
      <c r="D1073" s="484"/>
      <c r="E1073" s="484"/>
      <c r="F1073" s="484"/>
      <c r="G1073" s="484"/>
      <c r="H1073" s="484"/>
      <c r="I1073" s="2148" t="str">
        <f>IF(L1073&lt;&gt;0,'Cost Control'!B103," ")</f>
        <v xml:space="preserve"> </v>
      </c>
      <c r="J1073" s="2149"/>
      <c r="K1073" s="1161">
        <f>IF(L1073&lt;&gt;0,'Cost Control'!A103,0)</f>
        <v>0</v>
      </c>
      <c r="L1073" s="2151">
        <f>'Cost Control'!N103</f>
        <v>0</v>
      </c>
      <c r="M1073" s="2152"/>
    </row>
    <row r="1074" spans="2:13" s="518" customFormat="1" ht="15.45">
      <c r="B1074" s="652"/>
      <c r="C1074" s="484"/>
      <c r="D1074" s="484"/>
      <c r="E1074" s="484"/>
      <c r="F1074" s="484"/>
      <c r="G1074" s="484"/>
      <c r="H1074" s="484"/>
      <c r="I1074" s="2148" t="str">
        <f>IF(L1074&lt;&gt;0,'Cost Control'!B104," ")</f>
        <v xml:space="preserve"> </v>
      </c>
      <c r="J1074" s="2149"/>
      <c r="K1074" s="1161">
        <f>IF(L1074&lt;&gt;0,'Cost Control'!A104,0)</f>
        <v>0</v>
      </c>
      <c r="L1074" s="2151">
        <f>'Cost Control'!N104</f>
        <v>0</v>
      </c>
      <c r="M1074" s="2152"/>
    </row>
    <row r="1075" spans="2:13" s="518" customFormat="1" ht="15.45">
      <c r="B1075" s="652"/>
      <c r="C1075" s="484"/>
      <c r="D1075" s="484"/>
      <c r="E1075" s="484"/>
      <c r="F1075" s="484"/>
      <c r="G1075" s="484"/>
      <c r="H1075" s="484"/>
      <c r="I1075" s="2148" t="str">
        <f>IF(L1075&lt;&gt;0,'Cost Control'!B105," ")</f>
        <v xml:space="preserve"> </v>
      </c>
      <c r="J1075" s="2149"/>
      <c r="K1075" s="1161">
        <f>IF(L1075&lt;&gt;0,'Cost Control'!A105,0)</f>
        <v>0</v>
      </c>
      <c r="L1075" s="2151">
        <f>'Cost Control'!N105</f>
        <v>0</v>
      </c>
      <c r="M1075" s="2152"/>
    </row>
    <row r="1076" spans="2:13" s="518" customFormat="1" ht="15.45">
      <c r="B1076" s="652"/>
      <c r="C1076" s="484"/>
      <c r="D1076" s="484"/>
      <c r="E1076" s="484"/>
      <c r="F1076" s="484"/>
      <c r="G1076" s="484"/>
      <c r="H1076" s="484"/>
      <c r="I1076" s="2148" t="str">
        <f>IF(L1076&lt;&gt;0,'Cost Control'!B106," ")</f>
        <v xml:space="preserve"> </v>
      </c>
      <c r="J1076" s="2149"/>
      <c r="K1076" s="1161">
        <f>IF(L1076&lt;&gt;0,'Cost Control'!A106,0)</f>
        <v>0</v>
      </c>
      <c r="L1076" s="2151">
        <f>'Cost Control'!N106</f>
        <v>0</v>
      </c>
      <c r="M1076" s="2152"/>
    </row>
    <row r="1077" spans="2:13" s="518" customFormat="1" ht="15.45">
      <c r="B1077" s="652"/>
      <c r="C1077" s="484"/>
      <c r="D1077" s="484"/>
      <c r="E1077" s="484"/>
      <c r="F1077" s="484"/>
      <c r="G1077" s="484"/>
      <c r="H1077" s="484"/>
      <c r="I1077" s="2148" t="str">
        <f>IF(L1077&lt;&gt;0,'Cost Control'!B107," ")</f>
        <v xml:space="preserve"> </v>
      </c>
      <c r="J1077" s="2149"/>
      <c r="K1077" s="1161">
        <f>IF(L1077&lt;&gt;0,'Cost Control'!A107,0)</f>
        <v>0</v>
      </c>
      <c r="L1077" s="2151">
        <f>'Cost Control'!N107</f>
        <v>0</v>
      </c>
      <c r="M1077" s="2152"/>
    </row>
    <row r="1078" spans="2:13" s="518" customFormat="1" ht="15.45">
      <c r="B1078" s="652"/>
      <c r="C1078" s="484"/>
      <c r="D1078" s="484"/>
      <c r="E1078" s="484"/>
      <c r="F1078" s="484"/>
      <c r="G1078" s="484"/>
      <c r="H1078" s="484"/>
      <c r="I1078" s="2148" t="str">
        <f>IF(L1078&lt;&gt;0,'Cost Control'!B108," ")</f>
        <v xml:space="preserve"> </v>
      </c>
      <c r="J1078" s="2149"/>
      <c r="K1078" s="1161">
        <f>IF(L1078&lt;&gt;0,'Cost Control'!A108,0)</f>
        <v>0</v>
      </c>
      <c r="L1078" s="2151">
        <f>'Cost Control'!N108</f>
        <v>0</v>
      </c>
      <c r="M1078" s="2152"/>
    </row>
    <row r="1079" spans="2:13" s="518" customFormat="1" ht="15.45">
      <c r="B1079" s="652"/>
      <c r="C1079" s="484"/>
      <c r="D1079" s="484"/>
      <c r="E1079" s="484"/>
      <c r="F1079" s="484"/>
      <c r="G1079" s="484"/>
      <c r="H1079" s="484"/>
      <c r="I1079" s="2148" t="str">
        <f>IF(L1079&lt;&gt;0,'Cost Control'!B109," ")</f>
        <v xml:space="preserve"> </v>
      </c>
      <c r="J1079" s="2149"/>
      <c r="K1079" s="1161">
        <f>IF(L1079&lt;&gt;0,'Cost Control'!A109,0)</f>
        <v>0</v>
      </c>
      <c r="L1079" s="2151">
        <f>'Cost Control'!N109</f>
        <v>0</v>
      </c>
      <c r="M1079" s="2152"/>
    </row>
    <row r="1080" spans="2:13" s="518" customFormat="1" ht="15.45">
      <c r="B1080" s="652"/>
      <c r="C1080" s="484"/>
      <c r="D1080" s="484"/>
      <c r="E1080" s="484"/>
      <c r="F1080" s="484"/>
      <c r="G1080" s="484"/>
      <c r="H1080" s="484"/>
      <c r="I1080" s="2148" t="str">
        <f>IF(L1080&lt;&gt;0,'Cost Control'!B110," ")</f>
        <v xml:space="preserve"> </v>
      </c>
      <c r="J1080" s="2149"/>
      <c r="K1080" s="1161">
        <f>IF(L1080&lt;&gt;0,'Cost Control'!A110,0)</f>
        <v>0</v>
      </c>
      <c r="L1080" s="2151">
        <f>'Cost Control'!N110</f>
        <v>0</v>
      </c>
      <c r="M1080" s="2152"/>
    </row>
    <row r="1081" spans="2:13" s="518" customFormat="1" ht="15.45">
      <c r="B1081" s="652"/>
      <c r="C1081" s="484"/>
      <c r="D1081" s="484"/>
      <c r="E1081" s="484"/>
      <c r="F1081" s="484"/>
      <c r="G1081" s="484"/>
      <c r="H1081" s="484"/>
      <c r="I1081" s="2148" t="str">
        <f>IF(L1081&lt;&gt;0,'Cost Control'!B111," ")</f>
        <v xml:space="preserve"> </v>
      </c>
      <c r="J1081" s="2149"/>
      <c r="K1081" s="1161">
        <f>IF(L1081&lt;&gt;0,'Cost Control'!A111,0)</f>
        <v>0</v>
      </c>
      <c r="L1081" s="2151">
        <f>'Cost Control'!N111</f>
        <v>0</v>
      </c>
      <c r="M1081" s="2152"/>
    </row>
    <row r="1082" spans="2:13" s="518" customFormat="1" ht="15.45">
      <c r="B1082" s="652"/>
      <c r="C1082" s="484"/>
      <c r="D1082" s="484"/>
      <c r="E1082" s="484"/>
      <c r="F1082" s="484"/>
      <c r="G1082" s="484"/>
      <c r="H1082" s="484"/>
      <c r="I1082" s="2148" t="str">
        <f>IF(L1082&lt;&gt;0,'Cost Control'!B112," ")</f>
        <v xml:space="preserve"> </v>
      </c>
      <c r="J1082" s="2149"/>
      <c r="K1082" s="1161">
        <f>IF(L1082&lt;&gt;0,'Cost Control'!A112,0)</f>
        <v>0</v>
      </c>
      <c r="L1082" s="2151">
        <f>'Cost Control'!N112</f>
        <v>0</v>
      </c>
      <c r="M1082" s="2152"/>
    </row>
    <row r="1083" spans="2:13" s="518" customFormat="1" ht="15.45">
      <c r="B1083" s="652"/>
      <c r="C1083" s="484"/>
      <c r="D1083" s="484"/>
      <c r="E1083" s="484"/>
      <c r="F1083" s="484"/>
      <c r="G1083" s="484"/>
      <c r="H1083" s="484"/>
      <c r="I1083" s="2148" t="str">
        <f>IF(L1083&lt;&gt;0,'Cost Control'!B113," ")</f>
        <v xml:space="preserve"> </v>
      </c>
      <c r="J1083" s="2149"/>
      <c r="K1083" s="1161">
        <f>IF(L1083&lt;&gt;0,'Cost Control'!A113,0)</f>
        <v>0</v>
      </c>
      <c r="L1083" s="2151">
        <f>'Cost Control'!N113</f>
        <v>0</v>
      </c>
      <c r="M1083" s="2152"/>
    </row>
    <row r="1084" spans="2:13" s="518" customFormat="1" ht="15.45">
      <c r="B1084" s="652"/>
      <c r="C1084" s="484"/>
      <c r="D1084" s="484"/>
      <c r="E1084" s="484"/>
      <c r="F1084" s="484"/>
      <c r="G1084" s="484"/>
      <c r="H1084" s="484"/>
      <c r="I1084" s="2148" t="str">
        <f>IF(L1084&lt;&gt;0,'Cost Control'!B114," ")</f>
        <v xml:space="preserve"> </v>
      </c>
      <c r="J1084" s="2149"/>
      <c r="K1084" s="1161">
        <f>IF(L1084&lt;&gt;0,'Cost Control'!A114,0)</f>
        <v>0</v>
      </c>
      <c r="L1084" s="2151">
        <f>'Cost Control'!N114</f>
        <v>0</v>
      </c>
      <c r="M1084" s="2152"/>
    </row>
    <row r="1085" spans="2:13" s="518" customFormat="1" ht="15.45">
      <c r="B1085" s="652"/>
      <c r="C1085" s="484"/>
      <c r="D1085" s="484"/>
      <c r="E1085" s="484"/>
      <c r="F1085" s="484"/>
      <c r="G1085" s="484"/>
      <c r="H1085" s="484"/>
      <c r="I1085" s="2148" t="str">
        <f>IF(L1085&lt;&gt;0,'Cost Control'!B115," ")</f>
        <v xml:space="preserve"> </v>
      </c>
      <c r="J1085" s="2149"/>
      <c r="K1085" s="1161">
        <f>IF(L1085&lt;&gt;0,'Cost Control'!A115,0)</f>
        <v>0</v>
      </c>
      <c r="L1085" s="2151">
        <f>'Cost Control'!N115</f>
        <v>0</v>
      </c>
      <c r="M1085" s="2152"/>
    </row>
    <row r="1086" spans="2:13" s="518" customFormat="1" ht="15.45">
      <c r="B1086" s="652"/>
      <c r="C1086" s="484"/>
      <c r="D1086" s="484"/>
      <c r="E1086" s="484"/>
      <c r="F1086" s="484"/>
      <c r="G1086" s="484"/>
      <c r="H1086" s="484"/>
      <c r="I1086" s="2148" t="str">
        <f>IF(L1086&lt;&gt;0,'Cost Control'!B116," ")</f>
        <v xml:space="preserve"> </v>
      </c>
      <c r="J1086" s="2149"/>
      <c r="K1086" s="1161">
        <f>IF(L1086&lt;&gt;0,'Cost Control'!A116,0)</f>
        <v>0</v>
      </c>
      <c r="L1086" s="2151">
        <f>'Cost Control'!N116</f>
        <v>0</v>
      </c>
      <c r="M1086" s="2152"/>
    </row>
    <row r="1087" spans="2:13" s="518" customFormat="1" ht="16.100000000000001" thickBot="1">
      <c r="B1087" s="652"/>
      <c r="C1087" s="484"/>
      <c r="D1087" s="484"/>
      <c r="E1087" s="484"/>
      <c r="F1087" s="484"/>
      <c r="G1087" s="484"/>
      <c r="H1087" s="484"/>
      <c r="I1087" s="2148" t="str">
        <f>IF(L1087&lt;&gt;0,'Cost Control'!B117," ")</f>
        <v xml:space="preserve"> </v>
      </c>
      <c r="J1087" s="2149"/>
      <c r="K1087" s="1161">
        <f>IF(L1087&lt;&gt;0,'Cost Control'!A117,0)</f>
        <v>0</v>
      </c>
      <c r="L1087" s="2151">
        <f>'Cost Control'!N117</f>
        <v>0</v>
      </c>
      <c r="M1087" s="2152"/>
    </row>
    <row r="1088" spans="2:13" ht="13.1">
      <c r="B1088" s="141" t="s">
        <v>695</v>
      </c>
      <c r="C1088" s="50"/>
      <c r="D1088" s="50"/>
      <c r="E1088" s="2150">
        <f>K1104</f>
        <v>20</v>
      </c>
      <c r="F1088" s="2150"/>
      <c r="G1088" s="50"/>
      <c r="H1088" s="50"/>
      <c r="I1088" s="50"/>
      <c r="J1088" s="50"/>
      <c r="K1088" s="50"/>
      <c r="L1088" s="50"/>
      <c r="M1088" s="43"/>
    </row>
    <row r="1089" spans="2:13">
      <c r="B1089" s="1628"/>
      <c r="C1089" s="1629"/>
      <c r="D1089" s="1629"/>
      <c r="E1089" s="1629"/>
      <c r="F1089" s="1629"/>
      <c r="G1089" s="1629"/>
      <c r="H1089" s="1629"/>
      <c r="I1089" s="1629"/>
      <c r="J1089" s="1629"/>
      <c r="K1089" s="1629"/>
      <c r="L1089" s="1629"/>
      <c r="M1089" s="1630"/>
    </row>
    <row r="1090" spans="2:13" ht="13.5" thickBot="1">
      <c r="B1090" s="1480"/>
      <c r="C1090" s="1479"/>
      <c r="D1090" s="1479"/>
      <c r="E1090" s="1479"/>
      <c r="F1090" s="1479"/>
      <c r="G1090" s="1479"/>
      <c r="H1090" s="1631"/>
      <c r="I1090" s="1631"/>
      <c r="J1090" s="1631"/>
      <c r="K1090" s="1631"/>
      <c r="L1090" s="1631"/>
      <c r="M1090" s="1555"/>
    </row>
    <row r="1091" spans="2:13" ht="15.45">
      <c r="B1091" s="307" t="s">
        <v>645</v>
      </c>
      <c r="C1091" s="308"/>
      <c r="D1091" s="2135">
        <f>D1036</f>
        <v>0</v>
      </c>
      <c r="E1091" s="2135"/>
      <c r="F1091" s="309" t="s">
        <v>647</v>
      </c>
      <c r="G1091" s="310">
        <f>G1036</f>
        <v>0</v>
      </c>
      <c r="H1091" s="172" t="s">
        <v>648</v>
      </c>
      <c r="I1091" s="472">
        <v>0</v>
      </c>
      <c r="J1091" s="2173" t="s">
        <v>650</v>
      </c>
      <c r="K1091" s="2173"/>
      <c r="L1091" s="1378"/>
      <c r="M1091" s="486" t="str">
        <f>M1036</f>
        <v>° F</v>
      </c>
    </row>
    <row r="1092" spans="2:13">
      <c r="B1092" s="44" t="s">
        <v>644</v>
      </c>
      <c r="E1092" t="s">
        <v>655</v>
      </c>
      <c r="G1092">
        <f>IF('Daily Load'!P362="Yes",Operations!D1053,IF('Daily Load'!V362="Yes",Operations!D1055,Operations!D1056))</f>
        <v>0</v>
      </c>
      <c r="I1092" s="195" t="s">
        <v>651</v>
      </c>
      <c r="L1092" s="2170">
        <f>'Cost Control'!N152</f>
        <v>0</v>
      </c>
      <c r="M1092" s="2171"/>
    </row>
    <row r="1093" spans="2:13">
      <c r="B1093" s="44"/>
      <c r="E1093" s="223" t="s">
        <v>193</v>
      </c>
      <c r="F1093" s="223" t="s">
        <v>194</v>
      </c>
      <c r="G1093" s="223" t="str">
        <f>G1038</f>
        <v>Other</v>
      </c>
      <c r="H1093" s="1627" t="s">
        <v>587</v>
      </c>
      <c r="I1093" s="31" t="s">
        <v>652</v>
      </c>
      <c r="L1093" s="2170">
        <f>L1039</f>
        <v>0</v>
      </c>
      <c r="M1093" s="2171"/>
    </row>
    <row r="1094" spans="2:13" ht="13.5" thickBot="1">
      <c r="B1094" s="44" t="s">
        <v>643</v>
      </c>
      <c r="E1094" s="361">
        <f>IF(E1098&gt;0,E1096-E1098,E1096+E1097+E1095)</f>
        <v>0</v>
      </c>
      <c r="F1094" s="361">
        <f>IF(F1098&gt;0,F1096-F1098,F1096+F1097+F1095)</f>
        <v>0</v>
      </c>
      <c r="G1094" s="361">
        <f>IF(G1098&gt;0,G1096-G1098,G1096+G1097+G1095)</f>
        <v>0</v>
      </c>
      <c r="H1094" t="str">
        <f>H1043</f>
        <v>bbl</v>
      </c>
      <c r="I1094" s="31" t="s">
        <v>653</v>
      </c>
      <c r="L1094" s="2163">
        <f>L1092+L1093</f>
        <v>0</v>
      </c>
      <c r="M1094" s="2164"/>
    </row>
    <row r="1095" spans="2:13" ht="13.5" thickTop="1">
      <c r="B1095" s="311" t="s">
        <v>642</v>
      </c>
      <c r="E1095" s="361">
        <f>IF('Daily Load'!P362="Yes",'Daily Load'!L357,IF('Daily Load'!V362="Yes",'Daily Load'!R357,'Daily Load'!X357))</f>
        <v>0</v>
      </c>
      <c r="F1095" s="361">
        <f>IF('Daily Load'!P362="Yes",'Daily Load'!N357,IF('Daily Load'!V362="Yes",'Daily Load'!T357,'Daily Load'!Z357))</f>
        <v>0</v>
      </c>
      <c r="G1095" s="361">
        <f>IF('Daily Load'!P362="Yes",'Daily Load'!P357,IF('Daily Load'!V362="Yes",'Daily Load'!V357,'Daily Load'!AB357))</f>
        <v>0</v>
      </c>
      <c r="H1095" t="str">
        <f>H1094</f>
        <v>bbl</v>
      </c>
      <c r="I1095" s="31"/>
      <c r="L1095" s="521"/>
      <c r="M1095" s="522"/>
    </row>
    <row r="1096" spans="2:13">
      <c r="B1096" s="44" t="s">
        <v>641</v>
      </c>
      <c r="E1096" s="361">
        <f>IF(G1092=D9,'Daily Load'!F361+E1041,IF(G1092=G1037,'Daily Load'!F361+E1041,'Daily Load'!F361))</f>
        <v>0</v>
      </c>
      <c r="F1096" s="361">
        <f>IF(G1092=D9,'Daily Load'!H361+F1041,IF(G1092=G1037,'Daily Load'!H361+F1041,'Daily Load'!H361))</f>
        <v>0</v>
      </c>
      <c r="G1096" s="361">
        <f>IF(G1092=D9,'Daily Load'!J361+G1041,IF(G1092=G1037,'Daily Load'!J361+G1041,'Daily Load'!J361))</f>
        <v>0</v>
      </c>
      <c r="H1096" t="str">
        <f>H1095</f>
        <v>bbl</v>
      </c>
      <c r="I1096" s="33" t="s">
        <v>654</v>
      </c>
      <c r="J1096" s="19"/>
      <c r="K1096" s="19"/>
      <c r="L1096" s="2165">
        <f>L1041</f>
        <v>0</v>
      </c>
      <c r="M1096" s="2166"/>
    </row>
    <row r="1097" spans="2:13">
      <c r="B1097" s="44" t="s">
        <v>640</v>
      </c>
      <c r="E1097" s="361">
        <f>IF('Daily Load'!P362="Yes",'Daily Load'!L359,IF('Daily Load'!V362="Yes",'Daily Load'!R359,'Daily Load'!X359))</f>
        <v>0</v>
      </c>
      <c r="F1097" s="361">
        <f>IF('Daily Load'!P362="Yes",'Daily Load'!N359,IF('Daily Load'!V362="Yes",'Daily Load'!T359,'Daily Load'!Z359))</f>
        <v>0</v>
      </c>
      <c r="G1097" s="361">
        <f>IF('Daily Load'!P362="Yes",'Daily Load'!P359,IF('Daily Load'!V362="Yes",'Daily Load'!V359,'Daily Load'!AB359))</f>
        <v>0</v>
      </c>
      <c r="H1097" t="str">
        <f>H1096</f>
        <v>bbl</v>
      </c>
      <c r="I1097" s="2160" t="str">
        <f>I1042</f>
        <v xml:space="preserve"> </v>
      </c>
      <c r="J1097" s="2059"/>
      <c r="K1097" s="2161"/>
      <c r="L1097" s="2162" t="str">
        <f>L1042</f>
        <v xml:space="preserve">0 </v>
      </c>
      <c r="M1097" s="2155"/>
    </row>
    <row r="1098" spans="2:13" ht="13.5" thickBot="1">
      <c r="B1098" s="46" t="s">
        <v>639</v>
      </c>
      <c r="C1098" s="21"/>
      <c r="D1098" s="21"/>
      <c r="E1098" s="380">
        <f>IF('Daily Load'!P362="Yes",'Daily Load'!L360,IF('Daily Load'!V362="Yes",'Daily Load'!R360,'Daily Load'!X360))</f>
        <v>0</v>
      </c>
      <c r="F1098" s="380">
        <f>IF('Daily Load'!P362="Yes",'Daily Load'!N360,IF('Daily Load'!V362="Yes",'Daily Load'!T360,'Daily Load'!Z360))</f>
        <v>0</v>
      </c>
      <c r="G1098" s="380">
        <f>IF('Daily Load'!P362="Yes",'Daily Load'!P360,IF('Daily Load'!V362="Yes",'Daily Load'!V360,'Daily Load'!AB360))</f>
        <v>0</v>
      </c>
      <c r="H1098" s="21" t="str">
        <f>H1097</f>
        <v>bbl</v>
      </c>
      <c r="I1098" s="2167" t="s">
        <v>677</v>
      </c>
      <c r="J1098" s="2168"/>
      <c r="K1098" s="2169"/>
      <c r="L1098" s="2167" t="s">
        <v>826</v>
      </c>
      <c r="M1098" s="2172"/>
    </row>
    <row r="1099" spans="2:13">
      <c r="B1099" s="50"/>
      <c r="C1099" s="50"/>
      <c r="D1099" s="50"/>
      <c r="E1099" s="1185"/>
      <c r="F1099" s="1185"/>
      <c r="G1099" s="1185"/>
      <c r="H1099" s="50"/>
      <c r="I1099" s="1186"/>
      <c r="J1099" s="1186"/>
      <c r="K1099" s="1186"/>
      <c r="L1099" s="1186"/>
      <c r="M1099" s="1186"/>
    </row>
    <row r="1100" spans="2:13" ht="13.5" thickBot="1">
      <c r="B1100" s="21"/>
      <c r="C1100" s="21"/>
      <c r="D1100" s="21"/>
      <c r="E1100" s="21"/>
      <c r="F1100" s="21"/>
      <c r="G1100" s="21"/>
      <c r="H1100" s="21"/>
      <c r="I1100" s="21"/>
      <c r="J1100" s="21"/>
      <c r="K1100" s="21"/>
      <c r="L1100" s="21"/>
      <c r="M1100" s="21"/>
    </row>
    <row r="1101" spans="2:13">
      <c r="B1101" s="44"/>
      <c r="M1101" s="45"/>
    </row>
    <row r="1102" spans="2:13">
      <c r="B1102" s="44"/>
      <c r="J1102" s="2143">
        <f>J1047</f>
        <v>0</v>
      </c>
      <c r="K1102" s="2143"/>
      <c r="L1102" s="2143"/>
      <c r="M1102" s="45"/>
    </row>
    <row r="1103" spans="2:13">
      <c r="B1103" s="44"/>
      <c r="M1103" s="45"/>
    </row>
    <row r="1104" spans="2:13" ht="13.1">
      <c r="B1104" s="137" t="s">
        <v>634</v>
      </c>
      <c r="C1104">
        <f>Summary!$C$6</f>
        <v>0</v>
      </c>
      <c r="H1104" s="22" t="s">
        <v>636</v>
      </c>
      <c r="I1104" s="22"/>
      <c r="K1104" s="2158">
        <f>'Cost Control'!E161</f>
        <v>20</v>
      </c>
      <c r="L1104" s="2158"/>
      <c r="M1104" s="2159"/>
    </row>
    <row r="1105" spans="2:13" ht="13.1">
      <c r="B1105" s="44"/>
      <c r="H1105" s="22"/>
      <c r="I1105" s="22"/>
      <c r="M1105" s="45"/>
    </row>
    <row r="1106" spans="2:13" ht="13.1">
      <c r="B1106" s="137" t="s">
        <v>635</v>
      </c>
      <c r="D1106" s="2136">
        <f>D1051</f>
        <v>0</v>
      </c>
      <c r="E1106" s="2136"/>
      <c r="F1106" s="2136"/>
      <c r="G1106" s="2136"/>
      <c r="H1106" s="2136"/>
      <c r="I1106" s="22" t="s">
        <v>637</v>
      </c>
      <c r="J1106" s="3">
        <f>J1051+1</f>
        <v>21</v>
      </c>
      <c r="M1106" s="45"/>
    </row>
    <row r="1107" spans="2:13" ht="13.1">
      <c r="B1107" s="137"/>
      <c r="D1107" s="2136"/>
      <c r="E1107" s="2136"/>
      <c r="F1107" s="2136"/>
      <c r="G1107" s="2136"/>
      <c r="H1107" s="2136"/>
      <c r="I1107" t="s">
        <v>63</v>
      </c>
      <c r="J1107" s="2142">
        <f>J1052</f>
        <v>0</v>
      </c>
      <c r="K1107" s="2143"/>
      <c r="M1107" s="45"/>
    </row>
    <row r="1108" spans="2:13" ht="13.1">
      <c r="B1108" s="137" t="s">
        <v>146</v>
      </c>
      <c r="D1108">
        <f>Summary!$C$32</f>
        <v>0</v>
      </c>
      <c r="F1108" s="1819" t="str">
        <f>F1053</f>
        <v>OPEN HOLE INTERVAL:</v>
      </c>
      <c r="G1108" s="1819"/>
      <c r="H1108" s="2147">
        <f>H1053</f>
        <v>0</v>
      </c>
      <c r="I1108" s="2147"/>
      <c r="J1108" s="2147">
        <f>J1053</f>
        <v>0</v>
      </c>
      <c r="K1108" s="2147"/>
      <c r="L1108" s="2147">
        <f>L1053</f>
        <v>0</v>
      </c>
      <c r="M1108" s="2154"/>
    </row>
    <row r="1109" spans="2:13">
      <c r="B1109" s="44"/>
      <c r="H1109" s="2153"/>
      <c r="I1109" s="2153"/>
      <c r="J1109" s="1145"/>
      <c r="K1109" s="1145"/>
      <c r="L1109" s="1145"/>
      <c r="M1109" s="1146"/>
    </row>
    <row r="1110" spans="2:13" ht="13.1">
      <c r="B1110" s="44"/>
      <c r="D1110">
        <f>Summary!$F$32</f>
        <v>0</v>
      </c>
      <c r="F1110" s="1819" t="str">
        <f>F1055</f>
        <v xml:space="preserve"> </v>
      </c>
      <c r="G1110" s="1819"/>
      <c r="H1110" s="2137">
        <f>H1055</f>
        <v>0</v>
      </c>
      <c r="I1110" s="2137"/>
      <c r="J1110" s="2137">
        <f>J1055</f>
        <v>0</v>
      </c>
      <c r="K1110" s="2137"/>
      <c r="L1110" s="2137">
        <f>L1055</f>
        <v>0</v>
      </c>
      <c r="M1110" s="2155"/>
    </row>
    <row r="1111" spans="2:13" ht="13.1">
      <c r="B1111" s="44"/>
      <c r="D1111">
        <f>D1056</f>
        <v>0</v>
      </c>
      <c r="F1111" s="1819" t="str">
        <f>F1056</f>
        <v xml:space="preserve"> </v>
      </c>
      <c r="G1111" s="1819"/>
      <c r="H1111" s="1737">
        <f>H1056</f>
        <v>0</v>
      </c>
      <c r="I1111" s="1737"/>
      <c r="J1111" s="1737">
        <f>J1056</f>
        <v>0</v>
      </c>
      <c r="K1111" s="1737"/>
      <c r="L1111" s="1737">
        <f>L1056</f>
        <v>0</v>
      </c>
      <c r="M1111" s="1791"/>
    </row>
    <row r="1112" spans="2:13">
      <c r="B1112" s="44"/>
      <c r="M1112" s="45"/>
    </row>
    <row r="1113" spans="2:13" ht="13.75" thickBot="1">
      <c r="B1113" s="46"/>
      <c r="C1113" s="21"/>
      <c r="D1113" s="21"/>
      <c r="E1113" s="1664" t="s">
        <v>638</v>
      </c>
      <c r="F1113" s="1664"/>
      <c r="G1113" s="1664"/>
      <c r="H1113" s="1664"/>
      <c r="I1113" s="1664"/>
      <c r="J1113" s="21"/>
      <c r="K1113" s="21"/>
      <c r="L1113" s="21"/>
      <c r="M1113" s="47"/>
    </row>
    <row r="1114" spans="2:13" s="518" customFormat="1" ht="16.100000000000001" thickBot="1">
      <c r="B1114" s="651"/>
      <c r="C1114" s="484"/>
      <c r="D1114" s="484"/>
      <c r="E1114" s="484"/>
      <c r="F1114" s="484"/>
      <c r="G1114" s="484"/>
      <c r="H1114" s="484"/>
      <c r="I1114" s="2138" t="s">
        <v>61</v>
      </c>
      <c r="J1114" s="2139"/>
      <c r="K1114" s="2139"/>
      <c r="L1114" s="2139"/>
      <c r="M1114" s="2140"/>
    </row>
    <row r="1115" spans="2:13" s="518" customFormat="1" ht="16.100000000000001" thickBot="1">
      <c r="B1115" s="652"/>
      <c r="C1115" s="484"/>
      <c r="D1115" s="484"/>
      <c r="E1115" s="484"/>
      <c r="F1115" s="484"/>
      <c r="G1115" s="484"/>
      <c r="H1115" s="484"/>
      <c r="I1115" s="2141" t="str">
        <f>I1060</f>
        <v>Service</v>
      </c>
      <c r="J1115" s="2141"/>
      <c r="K1115" s="1159" t="s">
        <v>62</v>
      </c>
      <c r="L1115" s="2144" t="s">
        <v>1454</v>
      </c>
      <c r="M1115" s="2144"/>
    </row>
    <row r="1116" spans="2:13" s="518" customFormat="1" ht="16.100000000000001" thickBot="1">
      <c r="B1116" s="652"/>
      <c r="C1116" s="484"/>
      <c r="D1116" s="484"/>
      <c r="E1116" s="484"/>
      <c r="F1116" s="484"/>
      <c r="G1116" s="484"/>
      <c r="H1116" s="484"/>
      <c r="I1116" s="2145" t="s">
        <v>1538</v>
      </c>
      <c r="J1116" s="2146"/>
      <c r="K1116" s="1160">
        <f>IF(L1116&lt;&gt;0," ",0)</f>
        <v>0</v>
      </c>
      <c r="L1116" s="2156">
        <f>SUM('Cost Control'!E163:E172)</f>
        <v>0</v>
      </c>
      <c r="M1116" s="2157"/>
    </row>
    <row r="1117" spans="2:13" s="518" customFormat="1" ht="16.100000000000001" thickBot="1">
      <c r="B1117" s="652"/>
      <c r="C1117" s="484"/>
      <c r="D1117" s="484"/>
      <c r="E1117" s="484"/>
      <c r="F1117" s="484"/>
      <c r="G1117" s="484"/>
      <c r="H1117" s="484"/>
      <c r="I1117" s="2145" t="s">
        <v>1539</v>
      </c>
      <c r="J1117" s="2146"/>
      <c r="K1117" s="1161">
        <f>IF(L1117&lt;&gt;0,'Cost Control'!A209,0)</f>
        <v>0</v>
      </c>
      <c r="L1117" s="2151">
        <f>SUM('Cost Control'!E209:E214)</f>
        <v>0</v>
      </c>
      <c r="M1117" s="2152"/>
    </row>
    <row r="1118" spans="2:13" s="518" customFormat="1" ht="16.100000000000001" thickBot="1">
      <c r="B1118" s="652"/>
      <c r="C1118" s="484"/>
      <c r="D1118" s="484"/>
      <c r="E1118" s="484"/>
      <c r="F1118" s="484"/>
      <c r="G1118" s="484"/>
      <c r="H1118" s="484"/>
      <c r="I1118" s="2145" t="s">
        <v>903</v>
      </c>
      <c r="J1118" s="2146"/>
      <c r="K1118" s="1161">
        <f>IF(L1118&lt;&gt;0,'Cost Control'!A196,0)</f>
        <v>0</v>
      </c>
      <c r="L1118" s="2151">
        <f>SUM('Cost Control'!E196:E207)</f>
        <v>0</v>
      </c>
      <c r="M1118" s="2152"/>
    </row>
    <row r="1119" spans="2:13" s="518" customFormat="1" ht="16.100000000000001" thickBot="1">
      <c r="B1119" s="652"/>
      <c r="C1119" s="484"/>
      <c r="D1119" s="484"/>
      <c r="E1119" s="484"/>
      <c r="F1119" s="484"/>
      <c r="G1119" s="484"/>
      <c r="H1119" s="484"/>
      <c r="I1119" s="2145" t="s">
        <v>1540</v>
      </c>
      <c r="J1119" s="2146"/>
      <c r="K1119" s="1161" t="str">
        <f>IF(L1119&lt;&gt;0,'Cost Control'!A216," ")</f>
        <v xml:space="preserve"> </v>
      </c>
      <c r="L1119" s="2151">
        <f>SUM('Cost Control'!E216:E222)</f>
        <v>0</v>
      </c>
      <c r="M1119" s="2152"/>
    </row>
    <row r="1120" spans="2:13" s="518" customFormat="1" ht="15.45">
      <c r="B1120" s="652"/>
      <c r="C1120" s="484"/>
      <c r="D1120" s="484"/>
      <c r="E1120" s="484"/>
      <c r="F1120" s="484"/>
      <c r="G1120" s="484"/>
      <c r="H1120" s="484"/>
      <c r="I1120" s="2145" t="s">
        <v>1451</v>
      </c>
      <c r="J1120" s="2146"/>
      <c r="K1120" s="1161">
        <f>IF(L1120&lt;&gt;0,'Cost Control'!A224,0)</f>
        <v>0</v>
      </c>
      <c r="L1120" s="2151">
        <f>SUM('Cost Control'!E224:E229)</f>
        <v>0</v>
      </c>
      <c r="M1120" s="2152"/>
    </row>
    <row r="1121" spans="2:13" s="518" customFormat="1" ht="15.45">
      <c r="B1121" s="652"/>
      <c r="C1121" s="484"/>
      <c r="D1121" s="484"/>
      <c r="E1121" s="484"/>
      <c r="F1121" s="484"/>
      <c r="G1121" s="484"/>
      <c r="H1121" s="484"/>
      <c r="I1121" s="2148" t="str">
        <f>IF(L1121&lt;&gt;0,'Cost Control'!B174," ")</f>
        <v xml:space="preserve"> </v>
      </c>
      <c r="J1121" s="2149"/>
      <c r="K1121" s="1161">
        <f>IF(L1121&lt;&gt;0,'Cost Control'!A174,0)</f>
        <v>0</v>
      </c>
      <c r="L1121" s="2151">
        <f>'Cost Control'!E174</f>
        <v>0</v>
      </c>
      <c r="M1121" s="2152"/>
    </row>
    <row r="1122" spans="2:13" s="518" customFormat="1" ht="15.45">
      <c r="B1122" s="652"/>
      <c r="C1122" s="484"/>
      <c r="D1122" s="484"/>
      <c r="E1122" s="484"/>
      <c r="F1122" s="484"/>
      <c r="G1122" s="484"/>
      <c r="H1122" s="484"/>
      <c r="I1122" s="2148" t="str">
        <f>IF(L1122&lt;&gt;0,'Cost Control'!B175," ")</f>
        <v xml:space="preserve"> </v>
      </c>
      <c r="J1122" s="2149"/>
      <c r="K1122" s="1161">
        <f>IF(L1122&lt;&gt;0,'Cost Control'!A175,0)</f>
        <v>0</v>
      </c>
      <c r="L1122" s="2151">
        <f>'Cost Control'!E175</f>
        <v>0</v>
      </c>
      <c r="M1122" s="2152"/>
    </row>
    <row r="1123" spans="2:13" s="518" customFormat="1" ht="15.45">
      <c r="B1123" s="652"/>
      <c r="C1123" s="484"/>
      <c r="D1123" s="484"/>
      <c r="E1123" s="484"/>
      <c r="F1123" s="484"/>
      <c r="G1123" s="484"/>
      <c r="H1123" s="484"/>
      <c r="I1123" s="2148" t="str">
        <f>IF(L1123&lt;&gt;0,'Cost Control'!B176," ")</f>
        <v xml:space="preserve"> </v>
      </c>
      <c r="J1123" s="2149"/>
      <c r="K1123" s="1161">
        <f>IF(L1123&lt;&gt;0,'Cost Control'!A176,0)</f>
        <v>0</v>
      </c>
      <c r="L1123" s="2151">
        <f>'Cost Control'!E176</f>
        <v>0</v>
      </c>
      <c r="M1123" s="2152"/>
    </row>
    <row r="1124" spans="2:13" s="518" customFormat="1" ht="15.45">
      <c r="B1124" s="652"/>
      <c r="C1124" s="484"/>
      <c r="D1124" s="484"/>
      <c r="E1124" s="484"/>
      <c r="F1124" s="484"/>
      <c r="G1124" s="484"/>
      <c r="H1124" s="484"/>
      <c r="I1124" s="2148" t="str">
        <f>IF(L1124&lt;&gt;0,'Cost Control'!B177," ")</f>
        <v xml:space="preserve"> </v>
      </c>
      <c r="J1124" s="2149"/>
      <c r="K1124" s="1161">
        <f>IF(L1124&lt;&gt;0,'Cost Control'!A177,0)</f>
        <v>0</v>
      </c>
      <c r="L1124" s="2151">
        <f>'Cost Control'!E177</f>
        <v>0</v>
      </c>
      <c r="M1124" s="2152"/>
    </row>
    <row r="1125" spans="2:13" s="518" customFormat="1" ht="15.45">
      <c r="B1125" s="652"/>
      <c r="C1125" s="484"/>
      <c r="D1125" s="484"/>
      <c r="E1125" s="484"/>
      <c r="F1125" s="484"/>
      <c r="G1125" s="484"/>
      <c r="H1125" s="484"/>
      <c r="I1125" s="2148" t="str">
        <f>IF(L1125&lt;&gt;0,'Cost Control'!B178," ")</f>
        <v xml:space="preserve"> </v>
      </c>
      <c r="J1125" s="2149"/>
      <c r="K1125" s="1161">
        <f>IF(L1125&lt;&gt;0,'Cost Control'!A178,0)</f>
        <v>0</v>
      </c>
      <c r="L1125" s="2151">
        <f>'Cost Control'!E178</f>
        <v>0</v>
      </c>
      <c r="M1125" s="2152"/>
    </row>
    <row r="1126" spans="2:13" s="518" customFormat="1" ht="15.45">
      <c r="B1126" s="652"/>
      <c r="C1126" s="484"/>
      <c r="D1126" s="484"/>
      <c r="E1126" s="484"/>
      <c r="F1126" s="484"/>
      <c r="G1126" s="484"/>
      <c r="H1126" s="484"/>
      <c r="I1126" s="2148" t="str">
        <f>IF(L1126&lt;&gt;0,'Cost Control'!B179," ")</f>
        <v xml:space="preserve"> </v>
      </c>
      <c r="J1126" s="2149"/>
      <c r="K1126" s="1161">
        <f>IF(L1126&lt;&gt;0,'Cost Control'!A179,0)</f>
        <v>0</v>
      </c>
      <c r="L1126" s="2151">
        <f>'Cost Control'!E179</f>
        <v>0</v>
      </c>
      <c r="M1126" s="2152"/>
    </row>
    <row r="1127" spans="2:13" s="518" customFormat="1" ht="15.45">
      <c r="B1127" s="652"/>
      <c r="C1127" s="484"/>
      <c r="D1127" s="484"/>
      <c r="E1127" s="484"/>
      <c r="F1127" s="484"/>
      <c r="G1127" s="484"/>
      <c r="H1127" s="484"/>
      <c r="I1127" s="2148" t="str">
        <f>IF(L1127&lt;&gt;0,'Cost Control'!B180," ")</f>
        <v xml:space="preserve"> </v>
      </c>
      <c r="J1127" s="2149"/>
      <c r="K1127" s="1161">
        <f>IF(L1127&lt;&gt;0,'Cost Control'!A180,0)</f>
        <v>0</v>
      </c>
      <c r="L1127" s="2151">
        <f>'Cost Control'!E180</f>
        <v>0</v>
      </c>
      <c r="M1127" s="2152"/>
    </row>
    <row r="1128" spans="2:13" s="518" customFormat="1" ht="15.45">
      <c r="B1128" s="652"/>
      <c r="C1128" s="484"/>
      <c r="D1128" s="484"/>
      <c r="E1128" s="484"/>
      <c r="F1128" s="484"/>
      <c r="G1128" s="484"/>
      <c r="H1128" s="484"/>
      <c r="I1128" s="2148" t="str">
        <f>IF(L1128&lt;&gt;0,'Cost Control'!B181," ")</f>
        <v xml:space="preserve"> </v>
      </c>
      <c r="J1128" s="2149"/>
      <c r="K1128" s="1161">
        <f>IF(L1128&lt;&gt;0,'Cost Control'!A181,0)</f>
        <v>0</v>
      </c>
      <c r="L1128" s="2151">
        <f>'Cost Control'!E181</f>
        <v>0</v>
      </c>
      <c r="M1128" s="2152"/>
    </row>
    <row r="1129" spans="2:13" s="518" customFormat="1" ht="15.45">
      <c r="B1129" s="652"/>
      <c r="C1129" s="484"/>
      <c r="D1129" s="484"/>
      <c r="E1129" s="484"/>
      <c r="F1129" s="484"/>
      <c r="G1129" s="484"/>
      <c r="H1129" s="484"/>
      <c r="I1129" s="2148" t="str">
        <f>IF(L1129&lt;&gt;0,'Cost Control'!B182," ")</f>
        <v xml:space="preserve"> </v>
      </c>
      <c r="J1129" s="2149"/>
      <c r="K1129" s="1161">
        <f>IF(L1129&lt;&gt;0,'Cost Control'!A182,0)</f>
        <v>0</v>
      </c>
      <c r="L1129" s="2151">
        <f>'Cost Control'!E182</f>
        <v>0</v>
      </c>
      <c r="M1129" s="2152"/>
    </row>
    <row r="1130" spans="2:13" s="518" customFormat="1" ht="15.45">
      <c r="B1130" s="652"/>
      <c r="C1130" s="484"/>
      <c r="D1130" s="484"/>
      <c r="E1130" s="484"/>
      <c r="F1130" s="484"/>
      <c r="G1130" s="484"/>
      <c r="H1130" s="484"/>
      <c r="I1130" s="2148" t="str">
        <f>IF(L1130&lt;&gt;0,'Cost Control'!B183," ")</f>
        <v xml:space="preserve"> </v>
      </c>
      <c r="J1130" s="2149"/>
      <c r="K1130" s="1161">
        <f>IF(L1130&lt;&gt;0,'Cost Control'!A183,0)</f>
        <v>0</v>
      </c>
      <c r="L1130" s="2151">
        <f>'Cost Control'!E183</f>
        <v>0</v>
      </c>
      <c r="M1130" s="2152"/>
    </row>
    <row r="1131" spans="2:13" s="518" customFormat="1" ht="15.45">
      <c r="B1131" s="652"/>
      <c r="C1131" s="484"/>
      <c r="D1131" s="484"/>
      <c r="E1131" s="484"/>
      <c r="F1131" s="484"/>
      <c r="G1131" s="484"/>
      <c r="H1131" s="484"/>
      <c r="I1131" s="2148" t="str">
        <f>IF(L1131&lt;&gt;0,'Cost Control'!B184," ")</f>
        <v xml:space="preserve"> </v>
      </c>
      <c r="J1131" s="2149"/>
      <c r="K1131" s="1161">
        <f>IF(L1131&lt;&gt;0,'Cost Control'!A184,0)</f>
        <v>0</v>
      </c>
      <c r="L1131" s="2151">
        <f>'Cost Control'!E184</f>
        <v>0</v>
      </c>
      <c r="M1131" s="2152"/>
    </row>
    <row r="1132" spans="2:13" s="518" customFormat="1" ht="15.45">
      <c r="B1132" s="652"/>
      <c r="C1132" s="484"/>
      <c r="D1132" s="484"/>
      <c r="E1132" s="484"/>
      <c r="F1132" s="484"/>
      <c r="G1132" s="484"/>
      <c r="H1132" s="484"/>
      <c r="I1132" s="2148" t="str">
        <f>IF(L1132&lt;&gt;0,'Cost Control'!B185," ")</f>
        <v xml:space="preserve"> </v>
      </c>
      <c r="J1132" s="2149"/>
      <c r="K1132" s="1161">
        <f>IF(L1132&lt;&gt;0,'Cost Control'!A185,0)</f>
        <v>0</v>
      </c>
      <c r="L1132" s="2151">
        <f>'Cost Control'!E185</f>
        <v>0</v>
      </c>
      <c r="M1132" s="2152"/>
    </row>
    <row r="1133" spans="2:13" s="518" customFormat="1" ht="15.45">
      <c r="B1133" s="652"/>
      <c r="C1133" s="484"/>
      <c r="D1133" s="484"/>
      <c r="E1133" s="484"/>
      <c r="F1133" s="484"/>
      <c r="G1133" s="484"/>
      <c r="H1133" s="484"/>
      <c r="I1133" s="2148" t="str">
        <f>IF(L1133&lt;&gt;0,'Cost Control'!B186," ")</f>
        <v xml:space="preserve"> </v>
      </c>
      <c r="J1133" s="2149"/>
      <c r="K1133" s="1161">
        <f>IF(L1133&lt;&gt;0,'Cost Control'!A186,0)</f>
        <v>0</v>
      </c>
      <c r="L1133" s="2151">
        <f>'Cost Control'!E186</f>
        <v>0</v>
      </c>
      <c r="M1133" s="2152"/>
    </row>
    <row r="1134" spans="2:13" s="518" customFormat="1" ht="15.45">
      <c r="B1134" s="652"/>
      <c r="C1134" s="484"/>
      <c r="D1134" s="484"/>
      <c r="E1134" s="484"/>
      <c r="F1134" s="484"/>
      <c r="G1134" s="484"/>
      <c r="H1134" s="484"/>
      <c r="I1134" s="2148" t="str">
        <f>IF(L1134&lt;&gt;0,'Cost Control'!B187," ")</f>
        <v xml:space="preserve"> </v>
      </c>
      <c r="J1134" s="2149"/>
      <c r="K1134" s="1161">
        <f>IF(L1134&lt;&gt;0,'Cost Control'!A187,0)</f>
        <v>0</v>
      </c>
      <c r="L1134" s="2151">
        <f>'Cost Control'!E187</f>
        <v>0</v>
      </c>
      <c r="M1134" s="2152"/>
    </row>
    <row r="1135" spans="2:13" s="518" customFormat="1" ht="15.45">
      <c r="B1135" s="652"/>
      <c r="C1135" s="484"/>
      <c r="D1135" s="484"/>
      <c r="E1135" s="484"/>
      <c r="F1135" s="484"/>
      <c r="G1135" s="484"/>
      <c r="H1135" s="484"/>
      <c r="I1135" s="2148" t="str">
        <f>IF(L1135&lt;&gt;0,'Cost Control'!B188," ")</f>
        <v xml:space="preserve"> </v>
      </c>
      <c r="J1135" s="2149"/>
      <c r="K1135" s="1161">
        <f>IF(L1135&lt;&gt;0,'Cost Control'!A188,0)</f>
        <v>0</v>
      </c>
      <c r="L1135" s="2151">
        <f>'Cost Control'!E188</f>
        <v>0</v>
      </c>
      <c r="M1135" s="2152"/>
    </row>
    <row r="1136" spans="2:13" s="518" customFormat="1" ht="15.45">
      <c r="B1136" s="652"/>
      <c r="C1136" s="484"/>
      <c r="D1136" s="484"/>
      <c r="E1136" s="484"/>
      <c r="F1136" s="484"/>
      <c r="G1136" s="484"/>
      <c r="H1136" s="484"/>
      <c r="I1136" s="2148" t="str">
        <f>IF(L1136&lt;&gt;0,'Cost Control'!B189," ")</f>
        <v xml:space="preserve"> </v>
      </c>
      <c r="J1136" s="2149"/>
      <c r="K1136" s="1161">
        <f>IF(L1136&lt;&gt;0,'Cost Control'!A189,0)</f>
        <v>0</v>
      </c>
      <c r="L1136" s="2151">
        <f>'Cost Control'!E189</f>
        <v>0</v>
      </c>
      <c r="M1136" s="2152"/>
    </row>
    <row r="1137" spans="2:13" s="518" customFormat="1" ht="15.45">
      <c r="B1137" s="652"/>
      <c r="C1137" s="484"/>
      <c r="D1137" s="484"/>
      <c r="E1137" s="484"/>
      <c r="F1137" s="484"/>
      <c r="G1137" s="484"/>
      <c r="H1137" s="484"/>
      <c r="I1137" s="2148" t="str">
        <f>IF(L1137&lt;&gt;0,'Cost Control'!B190," ")</f>
        <v xml:space="preserve"> </v>
      </c>
      <c r="J1137" s="2149"/>
      <c r="K1137" s="1161">
        <f>IF(L1137&lt;&gt;0,'Cost Control'!A190,0)</f>
        <v>0</v>
      </c>
      <c r="L1137" s="2151">
        <f>'Cost Control'!E190</f>
        <v>0</v>
      </c>
      <c r="M1137" s="2152"/>
    </row>
    <row r="1138" spans="2:13" s="518" customFormat="1" ht="15.45">
      <c r="B1138" s="652"/>
      <c r="C1138" s="484"/>
      <c r="D1138" s="484"/>
      <c r="E1138" s="484"/>
      <c r="F1138" s="484"/>
      <c r="G1138" s="484"/>
      <c r="H1138" s="484"/>
      <c r="I1138" s="2148" t="str">
        <f>IF(L1138&lt;&gt;0,'Cost Control'!B191," ")</f>
        <v xml:space="preserve"> </v>
      </c>
      <c r="J1138" s="2149"/>
      <c r="K1138" s="1161">
        <f>IF(L1138&lt;&gt;0,'Cost Control'!A191,0)</f>
        <v>0</v>
      </c>
      <c r="L1138" s="2151">
        <f>'Cost Control'!E191</f>
        <v>0</v>
      </c>
      <c r="M1138" s="2152"/>
    </row>
    <row r="1139" spans="2:13" s="518" customFormat="1" ht="15.45">
      <c r="B1139" s="652"/>
      <c r="C1139" s="484"/>
      <c r="D1139" s="484"/>
      <c r="E1139" s="484"/>
      <c r="F1139" s="484"/>
      <c r="G1139" s="484"/>
      <c r="H1139" s="484"/>
      <c r="I1139" s="2148" t="str">
        <f>IF(L1139&lt;&gt;0,'Cost Control'!B192," ")</f>
        <v xml:space="preserve"> </v>
      </c>
      <c r="J1139" s="2149"/>
      <c r="K1139" s="1161">
        <f>IF(L1139&lt;&gt;0,'Cost Control'!A192,0)</f>
        <v>0</v>
      </c>
      <c r="L1139" s="2151">
        <f>'Cost Control'!E192</f>
        <v>0</v>
      </c>
      <c r="M1139" s="2152"/>
    </row>
    <row r="1140" spans="2:13" s="518" customFormat="1" ht="15.45">
      <c r="B1140" s="652"/>
      <c r="C1140" s="484"/>
      <c r="D1140" s="484"/>
      <c r="E1140" s="484"/>
      <c r="F1140" s="484"/>
      <c r="G1140" s="484"/>
      <c r="H1140" s="484"/>
      <c r="I1140" s="2148" t="str">
        <f>IF(L1140&lt;&gt;0,'Cost Control'!B193," ")</f>
        <v xml:space="preserve"> </v>
      </c>
      <c r="J1140" s="2149"/>
      <c r="K1140" s="1161">
        <f>IF(L1140&lt;&gt;0,'Cost Control'!A193,0)</f>
        <v>0</v>
      </c>
      <c r="L1140" s="2151">
        <f>'Cost Control'!E193</f>
        <v>0</v>
      </c>
      <c r="M1140" s="2152"/>
    </row>
    <row r="1141" spans="2:13" s="518" customFormat="1" ht="15.45">
      <c r="B1141" s="652"/>
      <c r="C1141" s="484"/>
      <c r="D1141" s="484"/>
      <c r="E1141" s="484"/>
      <c r="F1141" s="484"/>
      <c r="G1141" s="484"/>
      <c r="H1141" s="484"/>
      <c r="I1141" s="2148" t="str">
        <f>IF(L1141&lt;&gt;0,'Cost Control'!B194," ")</f>
        <v xml:space="preserve"> </v>
      </c>
      <c r="J1141" s="2149"/>
      <c r="K1141" s="1161">
        <f>IF(L1141&lt;&gt;0,'Cost Control'!A194,0)</f>
        <v>0</v>
      </c>
      <c r="L1141" s="2151">
        <f>'Cost Control'!E194</f>
        <v>0</v>
      </c>
      <c r="M1141" s="2152"/>
    </row>
    <row r="1142" spans="2:13" s="518" customFormat="1" ht="16.100000000000001" thickBot="1">
      <c r="B1142" s="652"/>
      <c r="C1142" s="484"/>
      <c r="D1142" s="484"/>
      <c r="E1142" s="484"/>
      <c r="F1142" s="484"/>
      <c r="G1142" s="484"/>
      <c r="H1142" s="484"/>
      <c r="I1142" s="2148" t="str">
        <f>IF(L1142&lt;&gt;0,'Cost Control'!B195," ")</f>
        <v xml:space="preserve"> </v>
      </c>
      <c r="J1142" s="2149"/>
      <c r="K1142" s="1161">
        <f>IF(L1142&lt;&gt;0,'Cost Control'!A195,0)</f>
        <v>0</v>
      </c>
      <c r="L1142" s="2151">
        <f>'Cost Control'!E195</f>
        <v>0</v>
      </c>
      <c r="M1142" s="2152"/>
    </row>
    <row r="1143" spans="2:13" ht="13.1">
      <c r="B1143" s="141" t="s">
        <v>695</v>
      </c>
      <c r="C1143" s="50"/>
      <c r="D1143" s="50"/>
      <c r="E1143" s="2150">
        <f>K1159</f>
        <v>21</v>
      </c>
      <c r="F1143" s="2150"/>
      <c r="G1143" s="50"/>
      <c r="H1143" s="50"/>
      <c r="I1143" s="50"/>
      <c r="J1143" s="50"/>
      <c r="K1143" s="50"/>
      <c r="L1143" s="50"/>
      <c r="M1143" s="43"/>
    </row>
    <row r="1144" spans="2:13">
      <c r="B1144" s="1628"/>
      <c r="C1144" s="1629"/>
      <c r="D1144" s="1629"/>
      <c r="E1144" s="1629"/>
      <c r="F1144" s="1629"/>
      <c r="G1144" s="1629"/>
      <c r="H1144" s="1629"/>
      <c r="I1144" s="1629"/>
      <c r="J1144" s="1629"/>
      <c r="K1144" s="1629"/>
      <c r="L1144" s="1629"/>
      <c r="M1144" s="1630"/>
    </row>
    <row r="1145" spans="2:13" ht="13.5" thickBot="1">
      <c r="B1145" s="1480"/>
      <c r="C1145" s="1479"/>
      <c r="D1145" s="1479"/>
      <c r="E1145" s="1479"/>
      <c r="F1145" s="1479"/>
      <c r="G1145" s="1479"/>
      <c r="H1145" s="1631"/>
      <c r="I1145" s="1631"/>
      <c r="J1145" s="1631"/>
      <c r="K1145" s="1631"/>
      <c r="L1145" s="1631"/>
      <c r="M1145" s="1555"/>
    </row>
    <row r="1146" spans="2:13" ht="15.45">
      <c r="B1146" s="307" t="s">
        <v>645</v>
      </c>
      <c r="C1146" s="308"/>
      <c r="D1146" s="2135">
        <f>D1091</f>
        <v>0</v>
      </c>
      <c r="E1146" s="2135"/>
      <c r="F1146" s="309" t="s">
        <v>647</v>
      </c>
      <c r="G1146" s="310">
        <f>G1091</f>
        <v>0</v>
      </c>
      <c r="H1146" s="172" t="s">
        <v>648</v>
      </c>
      <c r="I1146" s="472">
        <v>0</v>
      </c>
      <c r="J1146" s="2173" t="s">
        <v>650</v>
      </c>
      <c r="K1146" s="2173"/>
      <c r="L1146" s="1378"/>
      <c r="M1146" s="486" t="str">
        <f>M1091</f>
        <v>° F</v>
      </c>
    </row>
    <row r="1147" spans="2:13">
      <c r="B1147" s="44" t="s">
        <v>644</v>
      </c>
      <c r="E1147" t="s">
        <v>655</v>
      </c>
      <c r="G1147">
        <f>IF('Daily Load'!P380="Yes",Operations!D1108,IF('Daily Load'!V380="Yes",Operations!D1110,Operations!D1111))</f>
        <v>0</v>
      </c>
      <c r="I1147" s="195" t="s">
        <v>651</v>
      </c>
      <c r="L1147" s="2170">
        <f>'Cost Control'!E230</f>
        <v>0</v>
      </c>
      <c r="M1147" s="2171"/>
    </row>
    <row r="1148" spans="2:13">
      <c r="B1148" s="44"/>
      <c r="E1148" s="223" t="s">
        <v>193</v>
      </c>
      <c r="F1148" s="223" t="s">
        <v>194</v>
      </c>
      <c r="G1148" s="223" t="str">
        <f>G1093</f>
        <v>Other</v>
      </c>
      <c r="H1148" s="1627" t="s">
        <v>587</v>
      </c>
      <c r="I1148" s="31" t="s">
        <v>652</v>
      </c>
      <c r="L1148" s="2170">
        <f>L1094</f>
        <v>0</v>
      </c>
      <c r="M1148" s="2171"/>
    </row>
    <row r="1149" spans="2:13" ht="13.5" thickBot="1">
      <c r="B1149" s="44" t="s">
        <v>643</v>
      </c>
      <c r="E1149" s="361">
        <f>IF(E1153&gt;0,E1151-E1153,E1151+E1152+E1150)</f>
        <v>0</v>
      </c>
      <c r="F1149" s="361">
        <f>IF(F1153&gt;0,F1151-F1153,F1151+F1152+F1150)</f>
        <v>0</v>
      </c>
      <c r="G1149" s="361">
        <f>IF(G1153&gt;0,G1151-G1153,G1151+G1152+G1150)</f>
        <v>0</v>
      </c>
      <c r="H1149" t="str">
        <f>H1098</f>
        <v>bbl</v>
      </c>
      <c r="I1149" s="31" t="s">
        <v>653</v>
      </c>
      <c r="L1149" s="2163">
        <f>L1147+L1148</f>
        <v>0</v>
      </c>
      <c r="M1149" s="2164"/>
    </row>
    <row r="1150" spans="2:13" ht="13.5" thickTop="1">
      <c r="B1150" s="311" t="s">
        <v>642</v>
      </c>
      <c r="E1150" s="361">
        <f>IF('Daily Load'!P380="Yes",'Daily Load'!L375,IF('Daily Load'!V380="Yes",'Daily Load'!R375,'Daily Load'!X375))</f>
        <v>0</v>
      </c>
      <c r="F1150" s="361">
        <f>IF('Daily Load'!P380="Yes",'Daily Load'!N375,IF('Daily Load'!V380="Yes",'Daily Load'!T375,'Daily Load'!Z375))</f>
        <v>0</v>
      </c>
      <c r="G1150" s="361">
        <f>IF('Daily Load'!P380="Yes",'Daily Load'!P375,IF('Daily Load'!V380="Yes",'Daily Load'!V375,'Daily Load'!AB375))</f>
        <v>0</v>
      </c>
      <c r="H1150" t="str">
        <f>H1149</f>
        <v>bbl</v>
      </c>
      <c r="I1150" s="31"/>
      <c r="L1150" s="521"/>
      <c r="M1150" s="522"/>
    </row>
    <row r="1151" spans="2:13">
      <c r="B1151" s="44" t="s">
        <v>641</v>
      </c>
      <c r="E1151" s="361">
        <f>IF(G1147=D9,'Daily Load'!F379+E1096,IF(G1147=G1092,'Daily Load'!F379+E1096,'Daily Load'!F379))</f>
        <v>0</v>
      </c>
      <c r="F1151" s="361">
        <f>IF(G1147=D9,'Daily Load'!H379+F1096,IF(G1147=G1092,'Daily Load'!H379+F1096,'Daily Load'!H379))</f>
        <v>0</v>
      </c>
      <c r="G1151" s="361">
        <f>IF(G1147=D9,'Daily Load'!J379+G1096,IF(G1147=G1092,'Daily Load'!J379+G1096,'Daily Load'!J379))</f>
        <v>0</v>
      </c>
      <c r="H1151" t="str">
        <f>H1150</f>
        <v>bbl</v>
      </c>
      <c r="I1151" s="33" t="s">
        <v>654</v>
      </c>
      <c r="J1151" s="19"/>
      <c r="K1151" s="19"/>
      <c r="L1151" s="2165">
        <f>L1096</f>
        <v>0</v>
      </c>
      <c r="M1151" s="2166"/>
    </row>
    <row r="1152" spans="2:13">
      <c r="B1152" s="44" t="s">
        <v>640</v>
      </c>
      <c r="E1152" s="361">
        <f>IF('Daily Load'!P380="Yes",'Daily Load'!L377,IF('Daily Load'!V380="Yes",'Daily Load'!R377,'Daily Load'!X377))</f>
        <v>0</v>
      </c>
      <c r="F1152" s="361">
        <f>IF('Daily Load'!P380="Yes",'Daily Load'!N377,IF('Daily Load'!V380="Yes",'Daily Load'!T377,'Daily Load'!Z377))</f>
        <v>0</v>
      </c>
      <c r="G1152" s="361">
        <f>IF('Daily Load'!P380="Yes",'Daily Load'!P377,IF('Daily Load'!V380="Yes",'Daily Load'!V377,'Daily Load'!AB377))</f>
        <v>0</v>
      </c>
      <c r="H1152" t="str">
        <f>H1151</f>
        <v>bbl</v>
      </c>
      <c r="I1152" s="2160" t="str">
        <f>I1097</f>
        <v xml:space="preserve"> </v>
      </c>
      <c r="J1152" s="2059"/>
      <c r="K1152" s="2161"/>
      <c r="L1152" s="2162" t="str">
        <f>L1097</f>
        <v xml:space="preserve">0 </v>
      </c>
      <c r="M1152" s="2155"/>
    </row>
    <row r="1153" spans="2:13" ht="13.5" thickBot="1">
      <c r="B1153" s="46" t="s">
        <v>639</v>
      </c>
      <c r="C1153" s="21"/>
      <c r="D1153" s="21"/>
      <c r="E1153" s="380">
        <f>IF('Daily Load'!P380="Yes",'Daily Load'!L378,IF('Daily Load'!V380="Yes",'Daily Load'!R378,'Daily Load'!X378))</f>
        <v>0</v>
      </c>
      <c r="F1153" s="380">
        <f>IF('Daily Load'!P380="Yes",'Daily Load'!N378,IF('Daily Load'!V380="Yes",'Daily Load'!T378,'Daily Load'!Z378))</f>
        <v>0</v>
      </c>
      <c r="G1153" s="380">
        <f>IF('Daily Load'!P380="Yes",'Daily Load'!P378,IF('Daily Load'!V380="Yes",'Daily Load'!V378,'Daily Load'!AB378))</f>
        <v>0</v>
      </c>
      <c r="H1153" s="21" t="str">
        <f>H1152</f>
        <v>bbl</v>
      </c>
      <c r="I1153" s="2167" t="s">
        <v>677</v>
      </c>
      <c r="J1153" s="2168"/>
      <c r="K1153" s="2169"/>
      <c r="L1153" s="2167" t="s">
        <v>826</v>
      </c>
      <c r="M1153" s="2172"/>
    </row>
    <row r="1154" spans="2:13">
      <c r="B1154" s="50"/>
      <c r="C1154" s="50"/>
      <c r="D1154" s="50"/>
      <c r="E1154" s="1185"/>
      <c r="F1154" s="1185"/>
      <c r="G1154" s="1185"/>
      <c r="H1154" s="50"/>
      <c r="I1154" s="1186"/>
      <c r="J1154" s="1186"/>
      <c r="K1154" s="1186"/>
      <c r="L1154" s="1186"/>
      <c r="M1154" s="1186"/>
    </row>
    <row r="1155" spans="2:13" ht="13.5" thickBot="1">
      <c r="B1155" s="21"/>
      <c r="C1155" s="21"/>
      <c r="D1155" s="21"/>
      <c r="E1155" s="21"/>
      <c r="F1155" s="21"/>
      <c r="G1155" s="21"/>
      <c r="H1155" s="21"/>
      <c r="I1155" s="21"/>
      <c r="J1155" s="21"/>
      <c r="K1155" s="21"/>
      <c r="L1155" s="21"/>
      <c r="M1155" s="21"/>
    </row>
    <row r="1156" spans="2:13">
      <c r="B1156" s="44"/>
      <c r="M1156" s="45"/>
    </row>
    <row r="1157" spans="2:13">
      <c r="B1157" s="44"/>
      <c r="J1157" s="2143">
        <f>J1102</f>
        <v>0</v>
      </c>
      <c r="K1157" s="2143"/>
      <c r="L1157" s="2143"/>
      <c r="M1157" s="45"/>
    </row>
    <row r="1158" spans="2:13">
      <c r="B1158" s="44"/>
      <c r="M1158" s="45"/>
    </row>
    <row r="1159" spans="2:13" ht="13.1">
      <c r="B1159" s="137" t="s">
        <v>634</v>
      </c>
      <c r="C1159">
        <f>Summary!$C$6</f>
        <v>0</v>
      </c>
      <c r="H1159" s="22" t="s">
        <v>636</v>
      </c>
      <c r="I1159" s="22"/>
      <c r="K1159" s="2158">
        <f>'Cost Control'!F161</f>
        <v>21</v>
      </c>
      <c r="L1159" s="2158"/>
      <c r="M1159" s="2159"/>
    </row>
    <row r="1160" spans="2:13" ht="13.1">
      <c r="B1160" s="44"/>
      <c r="H1160" s="22"/>
      <c r="I1160" s="22"/>
      <c r="M1160" s="45"/>
    </row>
    <row r="1161" spans="2:13" ht="13.1">
      <c r="B1161" s="137" t="s">
        <v>635</v>
      </c>
      <c r="D1161" s="2136">
        <f>D1106</f>
        <v>0</v>
      </c>
      <c r="E1161" s="2136"/>
      <c r="F1161" s="2136"/>
      <c r="G1161" s="2136"/>
      <c r="H1161" s="2136"/>
      <c r="I1161" s="22" t="s">
        <v>637</v>
      </c>
      <c r="J1161" s="3">
        <f>J1106+1</f>
        <v>22</v>
      </c>
      <c r="M1161" s="45"/>
    </row>
    <row r="1162" spans="2:13" ht="13.1">
      <c r="B1162" s="137"/>
      <c r="D1162" s="2136"/>
      <c r="E1162" s="2136"/>
      <c r="F1162" s="2136"/>
      <c r="G1162" s="2136"/>
      <c r="H1162" s="2136"/>
      <c r="I1162" t="s">
        <v>63</v>
      </c>
      <c r="J1162" s="2142">
        <f>J1107</f>
        <v>0</v>
      </c>
      <c r="K1162" s="2143"/>
      <c r="M1162" s="45"/>
    </row>
    <row r="1163" spans="2:13" ht="13.1">
      <c r="B1163" s="137" t="s">
        <v>146</v>
      </c>
      <c r="D1163">
        <f>Summary!$C$32</f>
        <v>0</v>
      </c>
      <c r="F1163" s="1819" t="str">
        <f>F1108</f>
        <v>OPEN HOLE INTERVAL:</v>
      </c>
      <c r="G1163" s="1819"/>
      <c r="H1163" s="2147">
        <f>H1108</f>
        <v>0</v>
      </c>
      <c r="I1163" s="2147"/>
      <c r="J1163" s="2147">
        <f>J1108</f>
        <v>0</v>
      </c>
      <c r="K1163" s="2147"/>
      <c r="L1163" s="2147">
        <f>L1108</f>
        <v>0</v>
      </c>
      <c r="M1163" s="2154"/>
    </row>
    <row r="1164" spans="2:13">
      <c r="B1164" s="44"/>
      <c r="H1164" s="2153"/>
      <c r="I1164" s="2153"/>
      <c r="J1164" s="1145"/>
      <c r="K1164" s="1145"/>
      <c r="L1164" s="1145"/>
      <c r="M1164" s="1146"/>
    </row>
    <row r="1165" spans="2:13" ht="13.1">
      <c r="B1165" s="44"/>
      <c r="D1165">
        <f>Summary!$F$32</f>
        <v>0</v>
      </c>
      <c r="F1165" s="1819" t="str">
        <f>F1110</f>
        <v xml:space="preserve"> </v>
      </c>
      <c r="G1165" s="1819"/>
      <c r="H1165" s="2137">
        <f>H1110</f>
        <v>0</v>
      </c>
      <c r="I1165" s="2137"/>
      <c r="J1165" s="2137">
        <f>J1110</f>
        <v>0</v>
      </c>
      <c r="K1165" s="2137"/>
      <c r="L1165" s="2137">
        <f>L1110</f>
        <v>0</v>
      </c>
      <c r="M1165" s="2155"/>
    </row>
    <row r="1166" spans="2:13" ht="13.1">
      <c r="B1166" s="44"/>
      <c r="D1166">
        <f>D1111</f>
        <v>0</v>
      </c>
      <c r="F1166" s="1819" t="str">
        <f>F1111</f>
        <v xml:space="preserve"> </v>
      </c>
      <c r="G1166" s="1819"/>
      <c r="H1166" s="1737">
        <f>H1111</f>
        <v>0</v>
      </c>
      <c r="I1166" s="1737"/>
      <c r="J1166" s="1737">
        <f>J1111</f>
        <v>0</v>
      </c>
      <c r="K1166" s="1737"/>
      <c r="L1166" s="1737">
        <f>L1111</f>
        <v>0</v>
      </c>
      <c r="M1166" s="1791"/>
    </row>
    <row r="1167" spans="2:13">
      <c r="B1167" s="44"/>
      <c r="M1167" s="45"/>
    </row>
    <row r="1168" spans="2:13" ht="13.75" thickBot="1">
      <c r="B1168" s="46"/>
      <c r="C1168" s="21"/>
      <c r="D1168" s="21"/>
      <c r="E1168" s="1664" t="s">
        <v>638</v>
      </c>
      <c r="F1168" s="1664"/>
      <c r="G1168" s="1664"/>
      <c r="H1168" s="1664"/>
      <c r="I1168" s="1664"/>
      <c r="J1168" s="21"/>
      <c r="K1168" s="21"/>
      <c r="L1168" s="21"/>
      <c r="M1168" s="47"/>
    </row>
    <row r="1169" spans="2:13" s="518" customFormat="1" ht="16.100000000000001" thickBot="1">
      <c r="B1169" s="651"/>
      <c r="C1169" s="484"/>
      <c r="D1169" s="484"/>
      <c r="E1169" s="484"/>
      <c r="F1169" s="484"/>
      <c r="G1169" s="484"/>
      <c r="H1169" s="484"/>
      <c r="I1169" s="2138" t="s">
        <v>61</v>
      </c>
      <c r="J1169" s="2139"/>
      <c r="K1169" s="2139"/>
      <c r="L1169" s="2139"/>
      <c r="M1169" s="2140"/>
    </row>
    <row r="1170" spans="2:13" s="518" customFormat="1" ht="16.100000000000001" thickBot="1">
      <c r="B1170" s="652"/>
      <c r="C1170" s="484"/>
      <c r="D1170" s="484"/>
      <c r="E1170" s="484"/>
      <c r="F1170" s="484"/>
      <c r="G1170" s="484"/>
      <c r="H1170" s="484"/>
      <c r="I1170" s="2141" t="str">
        <f>I1115</f>
        <v>Service</v>
      </c>
      <c r="J1170" s="2141"/>
      <c r="K1170" s="1159" t="s">
        <v>62</v>
      </c>
      <c r="L1170" s="2144" t="s">
        <v>1454</v>
      </c>
      <c r="M1170" s="2144"/>
    </row>
    <row r="1171" spans="2:13" s="518" customFormat="1" ht="16.100000000000001" thickBot="1">
      <c r="B1171" s="652"/>
      <c r="C1171" s="484"/>
      <c r="D1171" s="484"/>
      <c r="E1171" s="484"/>
      <c r="F1171" s="484"/>
      <c r="G1171" s="484"/>
      <c r="H1171" s="484"/>
      <c r="I1171" s="2145" t="s">
        <v>1538</v>
      </c>
      <c r="J1171" s="2146"/>
      <c r="K1171" s="1160">
        <f>IF(L1171&lt;&gt;0," ",0)</f>
        <v>0</v>
      </c>
      <c r="L1171" s="2156">
        <f>SUM('Cost Control'!F163:F172)</f>
        <v>0</v>
      </c>
      <c r="M1171" s="2157"/>
    </row>
    <row r="1172" spans="2:13" s="518" customFormat="1" ht="16.100000000000001" thickBot="1">
      <c r="B1172" s="652"/>
      <c r="C1172" s="484"/>
      <c r="D1172" s="484"/>
      <c r="E1172" s="484"/>
      <c r="F1172" s="484"/>
      <c r="G1172" s="484"/>
      <c r="H1172" s="484"/>
      <c r="I1172" s="2145" t="s">
        <v>1539</v>
      </c>
      <c r="J1172" s="2146"/>
      <c r="K1172" s="1161">
        <f>IF(L1172&lt;&gt;0,'Cost Control'!A209,0)</f>
        <v>0</v>
      </c>
      <c r="L1172" s="2151">
        <f>SUM('Cost Control'!F209:F214)</f>
        <v>0</v>
      </c>
      <c r="M1172" s="2152"/>
    </row>
    <row r="1173" spans="2:13" s="518" customFormat="1" ht="16.100000000000001" thickBot="1">
      <c r="B1173" s="652"/>
      <c r="C1173" s="484"/>
      <c r="D1173" s="484"/>
      <c r="E1173" s="484"/>
      <c r="F1173" s="484"/>
      <c r="G1173" s="484"/>
      <c r="H1173" s="484"/>
      <c r="I1173" s="2145" t="s">
        <v>903</v>
      </c>
      <c r="J1173" s="2146"/>
      <c r="K1173" s="1161">
        <f>IF(L1173&lt;&gt;0,'Cost Control'!A196,0)</f>
        <v>0</v>
      </c>
      <c r="L1173" s="2151">
        <f>SUM('Cost Control'!F196:F207)</f>
        <v>0</v>
      </c>
      <c r="M1173" s="2152"/>
    </row>
    <row r="1174" spans="2:13" s="518" customFormat="1" ht="16.100000000000001" thickBot="1">
      <c r="B1174" s="652"/>
      <c r="C1174" s="484"/>
      <c r="D1174" s="484"/>
      <c r="E1174" s="484"/>
      <c r="F1174" s="484"/>
      <c r="G1174" s="484"/>
      <c r="H1174" s="484"/>
      <c r="I1174" s="2145" t="s">
        <v>1540</v>
      </c>
      <c r="J1174" s="2146"/>
      <c r="K1174" s="1161" t="str">
        <f>IF(L1174&lt;&gt;0,'Cost Control'!A216," ")</f>
        <v xml:space="preserve"> </v>
      </c>
      <c r="L1174" s="2151">
        <f>SUM('Cost Control'!F216:F222)</f>
        <v>0</v>
      </c>
      <c r="M1174" s="2152"/>
    </row>
    <row r="1175" spans="2:13" s="518" customFormat="1" ht="15.45">
      <c r="B1175" s="652"/>
      <c r="C1175" s="484"/>
      <c r="D1175" s="484"/>
      <c r="E1175" s="484"/>
      <c r="F1175" s="484"/>
      <c r="G1175" s="484"/>
      <c r="H1175" s="484"/>
      <c r="I1175" s="2145" t="s">
        <v>1451</v>
      </c>
      <c r="J1175" s="2146"/>
      <c r="K1175" s="1161">
        <f>IF(L1175&lt;&gt;0,'Cost Control'!A224,0)</f>
        <v>0</v>
      </c>
      <c r="L1175" s="2151">
        <f>SUM('Cost Control'!F224:F229)</f>
        <v>0</v>
      </c>
      <c r="M1175" s="2152"/>
    </row>
    <row r="1176" spans="2:13" s="518" customFormat="1" ht="15.45">
      <c r="B1176" s="652"/>
      <c r="C1176" s="484"/>
      <c r="D1176" s="484"/>
      <c r="E1176" s="484"/>
      <c r="F1176" s="484"/>
      <c r="G1176" s="484"/>
      <c r="H1176" s="484"/>
      <c r="I1176" s="2148" t="str">
        <f>IF(L1176&lt;&gt;0,'Cost Control'!B174," ")</f>
        <v xml:space="preserve"> </v>
      </c>
      <c r="J1176" s="2149"/>
      <c r="K1176" s="1161">
        <f>IF(L1176&lt;&gt;0,'Cost Control'!A174,0)</f>
        <v>0</v>
      </c>
      <c r="L1176" s="2151">
        <f>'Cost Control'!F174</f>
        <v>0</v>
      </c>
      <c r="M1176" s="2152"/>
    </row>
    <row r="1177" spans="2:13" s="518" customFormat="1" ht="15.45">
      <c r="B1177" s="652"/>
      <c r="C1177" s="484"/>
      <c r="D1177" s="484"/>
      <c r="E1177" s="484"/>
      <c r="F1177" s="484"/>
      <c r="G1177" s="484"/>
      <c r="H1177" s="484"/>
      <c r="I1177" s="2148" t="str">
        <f>IF(L1177&lt;&gt;0,'Cost Control'!B175," ")</f>
        <v xml:space="preserve"> </v>
      </c>
      <c r="J1177" s="2149"/>
      <c r="K1177" s="1161">
        <f>IF(L1177&lt;&gt;0,'Cost Control'!A175,0)</f>
        <v>0</v>
      </c>
      <c r="L1177" s="2151">
        <f>'Cost Control'!F175</f>
        <v>0</v>
      </c>
      <c r="M1177" s="2152"/>
    </row>
    <row r="1178" spans="2:13" s="518" customFormat="1" ht="15.45">
      <c r="B1178" s="652"/>
      <c r="C1178" s="484"/>
      <c r="D1178" s="484"/>
      <c r="E1178" s="484"/>
      <c r="F1178" s="484"/>
      <c r="G1178" s="484"/>
      <c r="H1178" s="484"/>
      <c r="I1178" s="2148" t="str">
        <f>IF(L1178&lt;&gt;0,'Cost Control'!B176," ")</f>
        <v xml:space="preserve"> </v>
      </c>
      <c r="J1178" s="2149"/>
      <c r="K1178" s="1161">
        <f>IF(L1178&lt;&gt;0,'Cost Control'!A176,0)</f>
        <v>0</v>
      </c>
      <c r="L1178" s="2151">
        <f>'Cost Control'!F176</f>
        <v>0</v>
      </c>
      <c r="M1178" s="2152"/>
    </row>
    <row r="1179" spans="2:13" s="518" customFormat="1" ht="15.45">
      <c r="B1179" s="652"/>
      <c r="C1179" s="484"/>
      <c r="D1179" s="484"/>
      <c r="E1179" s="484"/>
      <c r="F1179" s="484"/>
      <c r="G1179" s="484"/>
      <c r="H1179" s="484"/>
      <c r="I1179" s="2148" t="str">
        <f>IF(L1179&lt;&gt;0,'Cost Control'!B177," ")</f>
        <v xml:space="preserve"> </v>
      </c>
      <c r="J1179" s="2149"/>
      <c r="K1179" s="1161">
        <f>IF(L1179&lt;&gt;0,'Cost Control'!A177,0)</f>
        <v>0</v>
      </c>
      <c r="L1179" s="2151">
        <f>'Cost Control'!F177</f>
        <v>0</v>
      </c>
      <c r="M1179" s="2152"/>
    </row>
    <row r="1180" spans="2:13" s="518" customFormat="1" ht="15.45">
      <c r="B1180" s="652"/>
      <c r="C1180" s="484"/>
      <c r="D1180" s="484"/>
      <c r="E1180" s="484"/>
      <c r="F1180" s="484"/>
      <c r="G1180" s="484"/>
      <c r="H1180" s="484"/>
      <c r="I1180" s="2148" t="str">
        <f>IF(L1180&lt;&gt;0,'Cost Control'!B178," ")</f>
        <v xml:space="preserve"> </v>
      </c>
      <c r="J1180" s="2149"/>
      <c r="K1180" s="1161">
        <f>IF(L1180&lt;&gt;0,'Cost Control'!A178,0)</f>
        <v>0</v>
      </c>
      <c r="L1180" s="2151">
        <f>'Cost Control'!F178</f>
        <v>0</v>
      </c>
      <c r="M1180" s="2152"/>
    </row>
    <row r="1181" spans="2:13" s="518" customFormat="1" ht="15.45">
      <c r="B1181" s="652"/>
      <c r="C1181" s="484"/>
      <c r="D1181" s="484"/>
      <c r="E1181" s="484"/>
      <c r="F1181" s="484"/>
      <c r="G1181" s="484"/>
      <c r="H1181" s="484"/>
      <c r="I1181" s="2148" t="str">
        <f>IF(L1181&lt;&gt;0,'Cost Control'!B179," ")</f>
        <v xml:space="preserve"> </v>
      </c>
      <c r="J1181" s="2149"/>
      <c r="K1181" s="1161">
        <f>IF(L1181&lt;&gt;0,'Cost Control'!A179,0)</f>
        <v>0</v>
      </c>
      <c r="L1181" s="2151">
        <f>'Cost Control'!F179</f>
        <v>0</v>
      </c>
      <c r="M1181" s="2152"/>
    </row>
    <row r="1182" spans="2:13" s="518" customFormat="1" ht="15.45">
      <c r="B1182" s="652"/>
      <c r="C1182" s="484"/>
      <c r="D1182" s="484"/>
      <c r="E1182" s="484"/>
      <c r="F1182" s="484"/>
      <c r="G1182" s="484"/>
      <c r="H1182" s="484"/>
      <c r="I1182" s="2148" t="str">
        <f>IF(L1182&lt;&gt;0,'Cost Control'!B180," ")</f>
        <v xml:space="preserve"> </v>
      </c>
      <c r="J1182" s="2149"/>
      <c r="K1182" s="1161">
        <f>IF(L1182&lt;&gt;0,'Cost Control'!A180,0)</f>
        <v>0</v>
      </c>
      <c r="L1182" s="2151">
        <f>'Cost Control'!F180</f>
        <v>0</v>
      </c>
      <c r="M1182" s="2152"/>
    </row>
    <row r="1183" spans="2:13" s="518" customFormat="1" ht="15.45">
      <c r="B1183" s="652"/>
      <c r="C1183" s="484"/>
      <c r="D1183" s="484"/>
      <c r="E1183" s="484"/>
      <c r="F1183" s="484"/>
      <c r="G1183" s="484"/>
      <c r="H1183" s="484"/>
      <c r="I1183" s="2148" t="str">
        <f>IF(L1183&lt;&gt;0,'Cost Control'!B181," ")</f>
        <v xml:space="preserve"> </v>
      </c>
      <c r="J1183" s="2149"/>
      <c r="K1183" s="1161">
        <f>IF(L1183&lt;&gt;0,'Cost Control'!A181,0)</f>
        <v>0</v>
      </c>
      <c r="L1183" s="2151">
        <f>'Cost Control'!F181</f>
        <v>0</v>
      </c>
      <c r="M1183" s="2152"/>
    </row>
    <row r="1184" spans="2:13" s="518" customFormat="1" ht="15.45">
      <c r="B1184" s="652"/>
      <c r="C1184" s="484"/>
      <c r="D1184" s="484"/>
      <c r="E1184" s="484"/>
      <c r="F1184" s="484"/>
      <c r="G1184" s="484"/>
      <c r="H1184" s="484"/>
      <c r="I1184" s="2148" t="str">
        <f>IF(L1184&lt;&gt;0,'Cost Control'!B182," ")</f>
        <v xml:space="preserve"> </v>
      </c>
      <c r="J1184" s="2149"/>
      <c r="K1184" s="1161">
        <f>IF(L1184&lt;&gt;0,'Cost Control'!A182,0)</f>
        <v>0</v>
      </c>
      <c r="L1184" s="2151">
        <f>'Cost Control'!F182</f>
        <v>0</v>
      </c>
      <c r="M1184" s="2152"/>
    </row>
    <row r="1185" spans="2:13" s="518" customFormat="1" ht="15.45">
      <c r="B1185" s="652"/>
      <c r="C1185" s="484"/>
      <c r="D1185" s="484"/>
      <c r="E1185" s="484"/>
      <c r="F1185" s="484"/>
      <c r="G1185" s="484"/>
      <c r="H1185" s="484"/>
      <c r="I1185" s="2148" t="str">
        <f>IF(L1185&lt;&gt;0,'Cost Control'!B183," ")</f>
        <v xml:space="preserve"> </v>
      </c>
      <c r="J1185" s="2149"/>
      <c r="K1185" s="1161">
        <f>IF(L1185&lt;&gt;0,'Cost Control'!A183,0)</f>
        <v>0</v>
      </c>
      <c r="L1185" s="2151">
        <f>'Cost Control'!F183</f>
        <v>0</v>
      </c>
      <c r="M1185" s="2152"/>
    </row>
    <row r="1186" spans="2:13" s="518" customFormat="1" ht="15.45">
      <c r="B1186" s="652"/>
      <c r="C1186" s="484"/>
      <c r="D1186" s="484"/>
      <c r="E1186" s="484"/>
      <c r="F1186" s="484"/>
      <c r="G1186" s="484"/>
      <c r="H1186" s="484"/>
      <c r="I1186" s="2148" t="str">
        <f>IF(L1186&lt;&gt;0,'Cost Control'!B184," ")</f>
        <v xml:space="preserve"> </v>
      </c>
      <c r="J1186" s="2149"/>
      <c r="K1186" s="1161">
        <f>IF(L1186&lt;&gt;0,'Cost Control'!A184,0)</f>
        <v>0</v>
      </c>
      <c r="L1186" s="2151">
        <f>'Cost Control'!F184</f>
        <v>0</v>
      </c>
      <c r="M1186" s="2152"/>
    </row>
    <row r="1187" spans="2:13" s="518" customFormat="1" ht="15.45">
      <c r="B1187" s="652"/>
      <c r="C1187" s="484"/>
      <c r="D1187" s="484"/>
      <c r="E1187" s="484"/>
      <c r="F1187" s="484"/>
      <c r="G1187" s="484"/>
      <c r="H1187" s="484"/>
      <c r="I1187" s="2148" t="str">
        <f>IF(L1187&lt;&gt;0,'Cost Control'!B185," ")</f>
        <v xml:space="preserve"> </v>
      </c>
      <c r="J1187" s="2149"/>
      <c r="K1187" s="1161">
        <f>IF(L1187&lt;&gt;0,'Cost Control'!A185,0)</f>
        <v>0</v>
      </c>
      <c r="L1187" s="2151">
        <f>'Cost Control'!F185</f>
        <v>0</v>
      </c>
      <c r="M1187" s="2152"/>
    </row>
    <row r="1188" spans="2:13" s="518" customFormat="1" ht="15.45">
      <c r="B1188" s="652"/>
      <c r="C1188" s="484"/>
      <c r="D1188" s="484"/>
      <c r="E1188" s="484"/>
      <c r="F1188" s="484"/>
      <c r="G1188" s="484"/>
      <c r="H1188" s="484"/>
      <c r="I1188" s="2148" t="str">
        <f>IF(L1188&lt;&gt;0,'Cost Control'!B186," ")</f>
        <v xml:space="preserve"> </v>
      </c>
      <c r="J1188" s="2149"/>
      <c r="K1188" s="1161">
        <f>IF(L1188&lt;&gt;0,'Cost Control'!A186,0)</f>
        <v>0</v>
      </c>
      <c r="L1188" s="2151">
        <f>'Cost Control'!F186</f>
        <v>0</v>
      </c>
      <c r="M1188" s="2152"/>
    </row>
    <row r="1189" spans="2:13" s="518" customFormat="1" ht="15.45">
      <c r="B1189" s="652"/>
      <c r="C1189" s="484"/>
      <c r="D1189" s="484"/>
      <c r="E1189" s="484"/>
      <c r="F1189" s="484"/>
      <c r="G1189" s="484"/>
      <c r="H1189" s="484"/>
      <c r="I1189" s="2148" t="str">
        <f>IF(L1189&lt;&gt;0,'Cost Control'!B187," ")</f>
        <v xml:space="preserve"> </v>
      </c>
      <c r="J1189" s="2149"/>
      <c r="K1189" s="1161">
        <f>IF(L1189&lt;&gt;0,'Cost Control'!A187,0)</f>
        <v>0</v>
      </c>
      <c r="L1189" s="2151">
        <f>'Cost Control'!F187</f>
        <v>0</v>
      </c>
      <c r="M1189" s="2152"/>
    </row>
    <row r="1190" spans="2:13" s="518" customFormat="1" ht="15.45">
      <c r="B1190" s="652"/>
      <c r="C1190" s="484"/>
      <c r="D1190" s="484"/>
      <c r="E1190" s="484"/>
      <c r="F1190" s="484"/>
      <c r="G1190" s="484"/>
      <c r="H1190" s="484"/>
      <c r="I1190" s="2148" t="str">
        <f>IF(L1190&lt;&gt;0,'Cost Control'!B188," ")</f>
        <v xml:space="preserve"> </v>
      </c>
      <c r="J1190" s="2149"/>
      <c r="K1190" s="1161">
        <f>IF(L1190&lt;&gt;0,'Cost Control'!A188,0)</f>
        <v>0</v>
      </c>
      <c r="L1190" s="2151">
        <f>'Cost Control'!F188</f>
        <v>0</v>
      </c>
      <c r="M1190" s="2152"/>
    </row>
    <row r="1191" spans="2:13" s="518" customFormat="1" ht="15.45">
      <c r="B1191" s="652"/>
      <c r="C1191" s="484"/>
      <c r="D1191" s="484"/>
      <c r="E1191" s="484"/>
      <c r="F1191" s="484"/>
      <c r="G1191" s="484"/>
      <c r="H1191" s="484"/>
      <c r="I1191" s="2148" t="str">
        <f>IF(L1191&lt;&gt;0,'Cost Control'!B189," ")</f>
        <v xml:space="preserve"> </v>
      </c>
      <c r="J1191" s="2149"/>
      <c r="K1191" s="1161">
        <f>IF(L1191&lt;&gt;0,'Cost Control'!A189,0)</f>
        <v>0</v>
      </c>
      <c r="L1191" s="2151">
        <f>'Cost Control'!F189</f>
        <v>0</v>
      </c>
      <c r="M1191" s="2152"/>
    </row>
    <row r="1192" spans="2:13" s="518" customFormat="1" ht="15.45">
      <c r="B1192" s="652"/>
      <c r="C1192" s="484"/>
      <c r="D1192" s="484"/>
      <c r="E1192" s="484"/>
      <c r="F1192" s="484"/>
      <c r="G1192" s="484"/>
      <c r="H1192" s="484"/>
      <c r="I1192" s="2148" t="str">
        <f>IF(L1192&lt;&gt;0,'Cost Control'!B190," ")</f>
        <v xml:space="preserve"> </v>
      </c>
      <c r="J1192" s="2149"/>
      <c r="K1192" s="1161">
        <f>IF(L1192&lt;&gt;0,'Cost Control'!A190,0)</f>
        <v>0</v>
      </c>
      <c r="L1192" s="2151">
        <f>'Cost Control'!F190</f>
        <v>0</v>
      </c>
      <c r="M1192" s="2152"/>
    </row>
    <row r="1193" spans="2:13" s="518" customFormat="1" ht="15.45">
      <c r="B1193" s="652"/>
      <c r="C1193" s="484"/>
      <c r="D1193" s="484"/>
      <c r="E1193" s="484"/>
      <c r="F1193" s="484"/>
      <c r="G1193" s="484"/>
      <c r="H1193" s="484"/>
      <c r="I1193" s="2148" t="str">
        <f>IF(L1193&lt;&gt;0,'Cost Control'!B191," ")</f>
        <v xml:space="preserve"> </v>
      </c>
      <c r="J1193" s="2149"/>
      <c r="K1193" s="1161">
        <f>IF(L1193&lt;&gt;0,'Cost Control'!A191,0)</f>
        <v>0</v>
      </c>
      <c r="L1193" s="2151">
        <f>'Cost Control'!F191</f>
        <v>0</v>
      </c>
      <c r="M1193" s="2152"/>
    </row>
    <row r="1194" spans="2:13" s="518" customFormat="1" ht="15.45">
      <c r="B1194" s="652"/>
      <c r="C1194" s="484"/>
      <c r="D1194" s="484"/>
      <c r="E1194" s="484"/>
      <c r="F1194" s="484"/>
      <c r="G1194" s="484"/>
      <c r="H1194" s="484"/>
      <c r="I1194" s="2148" t="str">
        <f>IF(L1194&lt;&gt;0,'Cost Control'!B192," ")</f>
        <v xml:space="preserve"> </v>
      </c>
      <c r="J1194" s="2149"/>
      <c r="K1194" s="1161">
        <f>IF(L1194&lt;&gt;0,'Cost Control'!A192,0)</f>
        <v>0</v>
      </c>
      <c r="L1194" s="2151">
        <f>'Cost Control'!F192</f>
        <v>0</v>
      </c>
      <c r="M1194" s="2152"/>
    </row>
    <row r="1195" spans="2:13" s="518" customFormat="1" ht="15.45">
      <c r="B1195" s="652"/>
      <c r="C1195" s="484"/>
      <c r="D1195" s="484"/>
      <c r="E1195" s="484"/>
      <c r="F1195" s="484"/>
      <c r="G1195" s="484"/>
      <c r="H1195" s="484"/>
      <c r="I1195" s="2148" t="str">
        <f>IF(L1195&lt;&gt;0,'Cost Control'!B193," ")</f>
        <v xml:space="preserve"> </v>
      </c>
      <c r="J1195" s="2149"/>
      <c r="K1195" s="1161">
        <f>IF(L1195&lt;&gt;0,'Cost Control'!A193,0)</f>
        <v>0</v>
      </c>
      <c r="L1195" s="2151">
        <f>'Cost Control'!F193</f>
        <v>0</v>
      </c>
      <c r="M1195" s="2152"/>
    </row>
    <row r="1196" spans="2:13" s="518" customFormat="1" ht="15.45">
      <c r="B1196" s="652"/>
      <c r="C1196" s="484"/>
      <c r="D1196" s="484"/>
      <c r="E1196" s="484"/>
      <c r="F1196" s="484"/>
      <c r="G1196" s="484"/>
      <c r="H1196" s="484"/>
      <c r="I1196" s="2148" t="str">
        <f>IF(L1196&lt;&gt;0,'Cost Control'!B194," ")</f>
        <v xml:space="preserve"> </v>
      </c>
      <c r="J1196" s="2149"/>
      <c r="K1196" s="1161">
        <f>IF(L1196&lt;&gt;0,'Cost Control'!A194,0)</f>
        <v>0</v>
      </c>
      <c r="L1196" s="2151">
        <f>'Cost Control'!F194</f>
        <v>0</v>
      </c>
      <c r="M1196" s="2152"/>
    </row>
    <row r="1197" spans="2:13" s="518" customFormat="1" ht="16.100000000000001" thickBot="1">
      <c r="B1197" s="652"/>
      <c r="C1197" s="484"/>
      <c r="D1197" s="484"/>
      <c r="E1197" s="484"/>
      <c r="F1197" s="484"/>
      <c r="G1197" s="484"/>
      <c r="H1197" s="484"/>
      <c r="I1197" s="2148" t="str">
        <f>IF(L1197&lt;&gt;0,'Cost Control'!B195," ")</f>
        <v xml:space="preserve"> </v>
      </c>
      <c r="J1197" s="2149"/>
      <c r="K1197" s="1161">
        <f>IF(L1197&lt;&gt;0,'Cost Control'!A195,0)</f>
        <v>0</v>
      </c>
      <c r="L1197" s="2151">
        <f>'Cost Control'!F195</f>
        <v>0</v>
      </c>
      <c r="M1197" s="2152"/>
    </row>
    <row r="1198" spans="2:13" ht="13.1">
      <c r="B1198" s="141" t="s">
        <v>695</v>
      </c>
      <c r="C1198" s="50"/>
      <c r="D1198" s="50"/>
      <c r="E1198" s="2150">
        <f>K1214</f>
        <v>22</v>
      </c>
      <c r="F1198" s="2150"/>
      <c r="G1198" s="50"/>
      <c r="H1198" s="50"/>
      <c r="I1198" s="50"/>
      <c r="J1198" s="50"/>
      <c r="K1198" s="50"/>
      <c r="L1198" s="50"/>
      <c r="M1198" s="43"/>
    </row>
    <row r="1199" spans="2:13">
      <c r="B1199" s="1628"/>
      <c r="C1199" s="1629"/>
      <c r="D1199" s="1629"/>
      <c r="E1199" s="1629"/>
      <c r="F1199" s="1629"/>
      <c r="G1199" s="1629"/>
      <c r="H1199" s="1629"/>
      <c r="I1199" s="1629"/>
      <c r="J1199" s="1629"/>
      <c r="K1199" s="1629"/>
      <c r="L1199" s="1629"/>
      <c r="M1199" s="1630"/>
    </row>
    <row r="1200" spans="2:13" ht="13.5" thickBot="1">
      <c r="B1200" s="1480"/>
      <c r="C1200" s="1479"/>
      <c r="D1200" s="1479"/>
      <c r="E1200" s="1479"/>
      <c r="F1200" s="1479"/>
      <c r="G1200" s="1479"/>
      <c r="H1200" s="1631"/>
      <c r="I1200" s="1631"/>
      <c r="J1200" s="1631"/>
      <c r="K1200" s="1631"/>
      <c r="L1200" s="1631"/>
      <c r="M1200" s="1555"/>
    </row>
    <row r="1201" spans="2:13" ht="15.45">
      <c r="B1201" s="307" t="s">
        <v>645</v>
      </c>
      <c r="C1201" s="308"/>
      <c r="D1201" s="2135">
        <f>D1146</f>
        <v>0</v>
      </c>
      <c r="E1201" s="2135"/>
      <c r="F1201" s="309" t="s">
        <v>647</v>
      </c>
      <c r="G1201" s="310">
        <f>G1146</f>
        <v>0</v>
      </c>
      <c r="H1201" s="172" t="s">
        <v>648</v>
      </c>
      <c r="I1201" s="472">
        <v>0</v>
      </c>
      <c r="J1201" s="2173" t="s">
        <v>650</v>
      </c>
      <c r="K1201" s="2173"/>
      <c r="L1201" s="1378"/>
      <c r="M1201" s="486" t="str">
        <f>M1146</f>
        <v>° F</v>
      </c>
    </row>
    <row r="1202" spans="2:13">
      <c r="B1202" s="44" t="s">
        <v>644</v>
      </c>
      <c r="E1202" t="s">
        <v>655</v>
      </c>
      <c r="G1202">
        <f>IF('Daily Load'!P398="Yes",Operations!D1163,IF('Daily Load'!V398="Yes",Operations!D1165,Operations!D1166))</f>
        <v>0</v>
      </c>
      <c r="I1202" s="195" t="s">
        <v>651</v>
      </c>
      <c r="L1202" s="2170">
        <f>'Cost Control'!F230</f>
        <v>0</v>
      </c>
      <c r="M1202" s="2171"/>
    </row>
    <row r="1203" spans="2:13">
      <c r="B1203" s="44"/>
      <c r="E1203" s="223" t="s">
        <v>193</v>
      </c>
      <c r="F1203" s="223" t="s">
        <v>194</v>
      </c>
      <c r="G1203" s="223" t="str">
        <f>G1148</f>
        <v>Other</v>
      </c>
      <c r="H1203" s="1627" t="s">
        <v>587</v>
      </c>
      <c r="I1203" s="31" t="s">
        <v>652</v>
      </c>
      <c r="L1203" s="2170">
        <f>L1149</f>
        <v>0</v>
      </c>
      <c r="M1203" s="2171"/>
    </row>
    <row r="1204" spans="2:13" ht="13.5" thickBot="1">
      <c r="B1204" s="44" t="s">
        <v>643</v>
      </c>
      <c r="E1204" s="361">
        <f>IF(E1208&gt;0,E1206-E1208,E1206+E1207+E1205)</f>
        <v>0</v>
      </c>
      <c r="F1204" s="361">
        <f>IF(F1208&gt;0,F1206-F1208,F1206+F1207+F1205)</f>
        <v>0</v>
      </c>
      <c r="G1204" s="361">
        <f>IF(G1208&gt;0,G1206-G1208,G1206+G1207+G1205)</f>
        <v>0</v>
      </c>
      <c r="H1204" t="str">
        <f>H1153</f>
        <v>bbl</v>
      </c>
      <c r="I1204" s="31" t="s">
        <v>653</v>
      </c>
      <c r="L1204" s="2163">
        <f>L1202+L1203</f>
        <v>0</v>
      </c>
      <c r="M1204" s="2164"/>
    </row>
    <row r="1205" spans="2:13" ht="13.5" thickTop="1">
      <c r="B1205" s="311" t="s">
        <v>642</v>
      </c>
      <c r="E1205" s="361">
        <f>IF('Daily Load'!P398="Yes",'Daily Load'!L393,IF('Daily Load'!V398="Yes",'Daily Load'!R393,'Daily Load'!X393))</f>
        <v>0</v>
      </c>
      <c r="F1205" s="361">
        <f>IF('Daily Load'!P398="Yes",'Daily Load'!N393,IF('Daily Load'!V398="Yes",'Daily Load'!T393,'Daily Load'!Z393))</f>
        <v>0</v>
      </c>
      <c r="G1205" s="361">
        <f>IF('Daily Load'!P398="Yes",'Daily Load'!P393,IF('Daily Load'!V398="Yes",'Daily Load'!V393,'Daily Load'!AB393))</f>
        <v>0</v>
      </c>
      <c r="H1205" t="str">
        <f>H1204</f>
        <v>bbl</v>
      </c>
      <c r="I1205" s="31"/>
      <c r="L1205" s="521"/>
      <c r="M1205" s="522"/>
    </row>
    <row r="1206" spans="2:13">
      <c r="B1206" s="44" t="s">
        <v>641</v>
      </c>
      <c r="E1206" s="361">
        <f>IF(G1202=D9,'Daily Load'!F397+E1151,IF(G1202=G1147,'Daily Load'!F397+E1151,'Daily Load'!F397))</f>
        <v>0</v>
      </c>
      <c r="F1206" s="361">
        <f>IF(G1202=D9,'Daily Load'!H397+F1151,IF(G1202=G1147,'Daily Load'!H397+F1151,'Daily Load'!H397))</f>
        <v>0</v>
      </c>
      <c r="G1206" s="361">
        <f>IF(G1202=D9,'Daily Load'!J397+G1151,IF(G1202=G1147,'Daily Load'!J397+G1151,'Daily Load'!J397))</f>
        <v>0</v>
      </c>
      <c r="H1206" t="str">
        <f>H1205</f>
        <v>bbl</v>
      </c>
      <c r="I1206" s="33" t="s">
        <v>654</v>
      </c>
      <c r="J1206" s="19"/>
      <c r="K1206" s="19"/>
      <c r="L1206" s="2165">
        <f>L1151</f>
        <v>0</v>
      </c>
      <c r="M1206" s="2166"/>
    </row>
    <row r="1207" spans="2:13">
      <c r="B1207" s="44" t="s">
        <v>640</v>
      </c>
      <c r="E1207" s="361">
        <f>IF('Daily Load'!P398="Yes",'Daily Load'!L395,IF('Daily Load'!V398="Yes",'Daily Load'!R395,'Daily Load'!X395))</f>
        <v>0</v>
      </c>
      <c r="F1207" s="361">
        <f>IF('Daily Load'!P398="Yes",'Daily Load'!N395,IF('Daily Load'!V398="Yes",'Daily Load'!T395,'Daily Load'!Z395))</f>
        <v>0</v>
      </c>
      <c r="G1207" s="361">
        <f>IF('Daily Load'!P398="Yes",'Daily Load'!P395,IF('Daily Load'!V398="Yes",'Daily Load'!V395,'Daily Load'!AB395))</f>
        <v>0</v>
      </c>
      <c r="H1207" t="str">
        <f>H1206</f>
        <v>bbl</v>
      </c>
      <c r="I1207" s="2160" t="str">
        <f>I1152</f>
        <v xml:space="preserve"> </v>
      </c>
      <c r="J1207" s="2059"/>
      <c r="K1207" s="2161"/>
      <c r="L1207" s="2162" t="str">
        <f>L1152</f>
        <v xml:space="preserve">0 </v>
      </c>
      <c r="M1207" s="2155"/>
    </row>
    <row r="1208" spans="2:13" ht="13.5" thickBot="1">
      <c r="B1208" s="46" t="s">
        <v>639</v>
      </c>
      <c r="C1208" s="21"/>
      <c r="D1208" s="21"/>
      <c r="E1208" s="380">
        <f>IF('Daily Load'!P398="Yes",'Daily Load'!L396,IF('Daily Load'!V398="Yes",'Daily Load'!R396,'Daily Load'!X396))</f>
        <v>0</v>
      </c>
      <c r="F1208" s="380">
        <f>IF('Daily Load'!P398="Yes",'Daily Load'!N396,IF('Daily Load'!V398="Yes",'Daily Load'!T396,'Daily Load'!Z396))</f>
        <v>0</v>
      </c>
      <c r="G1208" s="380">
        <f>IF('Daily Load'!P398="Yes",'Daily Load'!P396,IF('Daily Load'!V398="Yes",'Daily Load'!V396,'Daily Load'!AB396))</f>
        <v>0</v>
      </c>
      <c r="H1208" s="21" t="str">
        <f>H1207</f>
        <v>bbl</v>
      </c>
      <c r="I1208" s="2167" t="s">
        <v>677</v>
      </c>
      <c r="J1208" s="2168"/>
      <c r="K1208" s="2169"/>
      <c r="L1208" s="2167" t="s">
        <v>826</v>
      </c>
      <c r="M1208" s="2172"/>
    </row>
    <row r="1209" spans="2:13">
      <c r="B1209" s="50"/>
      <c r="C1209" s="50"/>
      <c r="D1209" s="50"/>
      <c r="E1209" s="1185"/>
      <c r="F1209" s="1185"/>
      <c r="G1209" s="1185"/>
      <c r="H1209" s="50"/>
      <c r="I1209" s="1186"/>
      <c r="J1209" s="1186"/>
      <c r="K1209" s="1186"/>
      <c r="L1209" s="1186"/>
      <c r="M1209" s="1186"/>
    </row>
    <row r="1210" spans="2:13" ht="13.5" thickBot="1">
      <c r="B1210" s="21"/>
      <c r="C1210" s="21"/>
      <c r="D1210" s="21"/>
      <c r="E1210" s="21"/>
      <c r="F1210" s="21"/>
      <c r="G1210" s="21"/>
      <c r="H1210" s="21"/>
      <c r="I1210" s="21"/>
      <c r="J1210" s="21"/>
      <c r="K1210" s="21"/>
      <c r="L1210" s="21"/>
      <c r="M1210" s="21"/>
    </row>
    <row r="1211" spans="2:13">
      <c r="B1211" s="44"/>
      <c r="M1211" s="45"/>
    </row>
    <row r="1212" spans="2:13">
      <c r="B1212" s="44"/>
      <c r="J1212" s="2143">
        <f>J1157</f>
        <v>0</v>
      </c>
      <c r="K1212" s="2143"/>
      <c r="L1212" s="2143"/>
      <c r="M1212" s="45"/>
    </row>
    <row r="1213" spans="2:13">
      <c r="B1213" s="44"/>
      <c r="M1213" s="45"/>
    </row>
    <row r="1214" spans="2:13" ht="13.1">
      <c r="B1214" s="137" t="s">
        <v>634</v>
      </c>
      <c r="C1214">
        <f>Summary!$C$6</f>
        <v>0</v>
      </c>
      <c r="H1214" s="22" t="s">
        <v>636</v>
      </c>
      <c r="I1214" s="22"/>
      <c r="K1214" s="2158">
        <f>'Cost Control'!G161</f>
        <v>22</v>
      </c>
      <c r="L1214" s="2158"/>
      <c r="M1214" s="2159"/>
    </row>
    <row r="1215" spans="2:13" ht="13.1">
      <c r="B1215" s="44"/>
      <c r="H1215" s="22"/>
      <c r="I1215" s="22"/>
      <c r="M1215" s="45"/>
    </row>
    <row r="1216" spans="2:13" ht="13.1">
      <c r="B1216" s="137" t="s">
        <v>635</v>
      </c>
      <c r="D1216" s="2136">
        <f>D1161</f>
        <v>0</v>
      </c>
      <c r="E1216" s="2136"/>
      <c r="F1216" s="2136"/>
      <c r="G1216" s="2136"/>
      <c r="H1216" s="2136"/>
      <c r="I1216" s="22" t="s">
        <v>637</v>
      </c>
      <c r="J1216" s="3">
        <f>J1161+1</f>
        <v>23</v>
      </c>
      <c r="M1216" s="45"/>
    </row>
    <row r="1217" spans="2:13" ht="13.1">
      <c r="B1217" s="137"/>
      <c r="D1217" s="2136"/>
      <c r="E1217" s="2136"/>
      <c r="F1217" s="2136"/>
      <c r="G1217" s="2136"/>
      <c r="H1217" s="2136"/>
      <c r="I1217" t="s">
        <v>63</v>
      </c>
      <c r="J1217" s="2142">
        <f>J1162</f>
        <v>0</v>
      </c>
      <c r="K1217" s="2143"/>
      <c r="M1217" s="45"/>
    </row>
    <row r="1218" spans="2:13" ht="13.1">
      <c r="B1218" s="137" t="s">
        <v>146</v>
      </c>
      <c r="D1218">
        <f>Summary!$C$32</f>
        <v>0</v>
      </c>
      <c r="F1218" s="1819" t="str">
        <f>F1163</f>
        <v>OPEN HOLE INTERVAL:</v>
      </c>
      <c r="G1218" s="1819"/>
      <c r="H1218" s="2147">
        <f>H1163</f>
        <v>0</v>
      </c>
      <c r="I1218" s="2147"/>
      <c r="J1218" s="2147">
        <f>J1163</f>
        <v>0</v>
      </c>
      <c r="K1218" s="2147"/>
      <c r="L1218" s="2147">
        <f>L1163</f>
        <v>0</v>
      </c>
      <c r="M1218" s="2154"/>
    </row>
    <row r="1219" spans="2:13">
      <c r="B1219" s="44"/>
      <c r="H1219" s="2153"/>
      <c r="I1219" s="2153"/>
      <c r="J1219" s="1145"/>
      <c r="K1219" s="1145"/>
      <c r="L1219" s="1145"/>
      <c r="M1219" s="1146"/>
    </row>
    <row r="1220" spans="2:13" ht="13.1">
      <c r="B1220" s="44"/>
      <c r="D1220">
        <f>Summary!$F$32</f>
        <v>0</v>
      </c>
      <c r="F1220" s="1819" t="str">
        <f>F1165</f>
        <v xml:space="preserve"> </v>
      </c>
      <c r="G1220" s="1819"/>
      <c r="H1220" s="2137">
        <f>H1165</f>
        <v>0</v>
      </c>
      <c r="I1220" s="2137"/>
      <c r="J1220" s="2137">
        <f>J1165</f>
        <v>0</v>
      </c>
      <c r="K1220" s="2137"/>
      <c r="L1220" s="2137">
        <f>L1165</f>
        <v>0</v>
      </c>
      <c r="M1220" s="2155"/>
    </row>
    <row r="1221" spans="2:13" ht="13.1">
      <c r="B1221" s="44"/>
      <c r="D1221">
        <f>D1166</f>
        <v>0</v>
      </c>
      <c r="F1221" s="1819" t="str">
        <f>F1166</f>
        <v xml:space="preserve"> </v>
      </c>
      <c r="G1221" s="1819"/>
      <c r="H1221" s="1737">
        <f>H1166</f>
        <v>0</v>
      </c>
      <c r="I1221" s="1737"/>
      <c r="J1221" s="1737">
        <f>J1166</f>
        <v>0</v>
      </c>
      <c r="K1221" s="1737"/>
      <c r="L1221" s="1737">
        <f>L1166</f>
        <v>0</v>
      </c>
      <c r="M1221" s="1791"/>
    </row>
    <row r="1222" spans="2:13">
      <c r="B1222" s="44"/>
      <c r="M1222" s="45"/>
    </row>
    <row r="1223" spans="2:13" ht="13.75" thickBot="1">
      <c r="B1223" s="46"/>
      <c r="C1223" s="21"/>
      <c r="D1223" s="21"/>
      <c r="E1223" s="1664" t="s">
        <v>638</v>
      </c>
      <c r="F1223" s="1664"/>
      <c r="G1223" s="1664"/>
      <c r="H1223" s="1664"/>
      <c r="I1223" s="1664"/>
      <c r="J1223" s="21"/>
      <c r="K1223" s="21"/>
      <c r="L1223" s="21"/>
      <c r="M1223" s="47"/>
    </row>
    <row r="1224" spans="2:13" s="518" customFormat="1" ht="16.100000000000001" thickBot="1">
      <c r="B1224" s="651"/>
      <c r="C1224" s="484"/>
      <c r="D1224" s="484"/>
      <c r="E1224" s="484"/>
      <c r="F1224" s="484"/>
      <c r="G1224" s="484"/>
      <c r="H1224" s="484"/>
      <c r="I1224" s="2138" t="s">
        <v>61</v>
      </c>
      <c r="J1224" s="2139"/>
      <c r="K1224" s="2139"/>
      <c r="L1224" s="2139"/>
      <c r="M1224" s="2140"/>
    </row>
    <row r="1225" spans="2:13" s="518" customFormat="1" ht="16.100000000000001" thickBot="1">
      <c r="B1225" s="652"/>
      <c r="C1225" s="484"/>
      <c r="D1225" s="484"/>
      <c r="E1225" s="484"/>
      <c r="F1225" s="484"/>
      <c r="G1225" s="484"/>
      <c r="H1225" s="484"/>
      <c r="I1225" s="2141" t="str">
        <f>I1170</f>
        <v>Service</v>
      </c>
      <c r="J1225" s="2141"/>
      <c r="K1225" s="1159" t="s">
        <v>62</v>
      </c>
      <c r="L1225" s="2144" t="s">
        <v>1454</v>
      </c>
      <c r="M1225" s="2144"/>
    </row>
    <row r="1226" spans="2:13" s="518" customFormat="1" ht="16.100000000000001" thickBot="1">
      <c r="B1226" s="652"/>
      <c r="C1226" s="484"/>
      <c r="D1226" s="484"/>
      <c r="E1226" s="484"/>
      <c r="F1226" s="484"/>
      <c r="G1226" s="484"/>
      <c r="H1226" s="484"/>
      <c r="I1226" s="2145" t="s">
        <v>1538</v>
      </c>
      <c r="J1226" s="2146"/>
      <c r="K1226" s="1160">
        <f>IF(L1226&lt;&gt;0," ",0)</f>
        <v>0</v>
      </c>
      <c r="L1226" s="2156">
        <f>SUM('Cost Control'!G163:G172)</f>
        <v>0</v>
      </c>
      <c r="M1226" s="2157"/>
    </row>
    <row r="1227" spans="2:13" s="518" customFormat="1" ht="16.100000000000001" thickBot="1">
      <c r="B1227" s="652"/>
      <c r="C1227" s="484"/>
      <c r="D1227" s="484"/>
      <c r="E1227" s="484"/>
      <c r="F1227" s="484"/>
      <c r="G1227" s="484"/>
      <c r="H1227" s="484"/>
      <c r="I1227" s="2145" t="s">
        <v>1539</v>
      </c>
      <c r="J1227" s="2146"/>
      <c r="K1227" s="1161">
        <f>IF(L1227&lt;&gt;0,'Cost Control'!A209,0)</f>
        <v>0</v>
      </c>
      <c r="L1227" s="2151">
        <f>SUM('Cost Control'!G209:G214)</f>
        <v>0</v>
      </c>
      <c r="M1227" s="2152"/>
    </row>
    <row r="1228" spans="2:13" s="518" customFormat="1" ht="16.100000000000001" thickBot="1">
      <c r="B1228" s="652"/>
      <c r="C1228" s="484"/>
      <c r="D1228" s="484"/>
      <c r="E1228" s="484"/>
      <c r="F1228" s="484"/>
      <c r="G1228" s="484"/>
      <c r="H1228" s="484"/>
      <c r="I1228" s="2145" t="s">
        <v>903</v>
      </c>
      <c r="J1228" s="2146"/>
      <c r="K1228" s="1161">
        <f>IF(L1228&lt;&gt;0,'Cost Control'!A196,0)</f>
        <v>0</v>
      </c>
      <c r="L1228" s="2151">
        <f>SUM('Cost Control'!G196:G207)</f>
        <v>0</v>
      </c>
      <c r="M1228" s="2152"/>
    </row>
    <row r="1229" spans="2:13" s="518" customFormat="1" ht="16.100000000000001" thickBot="1">
      <c r="B1229" s="652"/>
      <c r="C1229" s="484"/>
      <c r="D1229" s="484"/>
      <c r="E1229" s="484"/>
      <c r="F1229" s="484"/>
      <c r="G1229" s="484"/>
      <c r="H1229" s="484"/>
      <c r="I1229" s="2145" t="s">
        <v>1540</v>
      </c>
      <c r="J1229" s="2146"/>
      <c r="K1229" s="1161" t="str">
        <f>IF(L1229&lt;&gt;0,'Cost Control'!A216," ")</f>
        <v xml:space="preserve"> </v>
      </c>
      <c r="L1229" s="2151">
        <f>SUM('Cost Control'!G216:G222)</f>
        <v>0</v>
      </c>
      <c r="M1229" s="2152"/>
    </row>
    <row r="1230" spans="2:13" s="518" customFormat="1" ht="15.45">
      <c r="B1230" s="652"/>
      <c r="C1230" s="484"/>
      <c r="D1230" s="484"/>
      <c r="E1230" s="484"/>
      <c r="F1230" s="484"/>
      <c r="G1230" s="484"/>
      <c r="H1230" s="484"/>
      <c r="I1230" s="2145" t="s">
        <v>1451</v>
      </c>
      <c r="J1230" s="2146"/>
      <c r="K1230" s="1161">
        <f>IF(L1230&lt;&gt;0,'Cost Control'!A224,0)</f>
        <v>0</v>
      </c>
      <c r="L1230" s="2151">
        <f>SUM('Cost Control'!G224:G229)</f>
        <v>0</v>
      </c>
      <c r="M1230" s="2152"/>
    </row>
    <row r="1231" spans="2:13" s="518" customFormat="1" ht="15.45">
      <c r="B1231" s="652"/>
      <c r="C1231" s="484"/>
      <c r="D1231" s="484"/>
      <c r="E1231" s="484"/>
      <c r="F1231" s="484"/>
      <c r="G1231" s="484"/>
      <c r="H1231" s="484"/>
      <c r="I1231" s="2148" t="str">
        <f>IF(L1231&lt;&gt;0,'Cost Control'!B174," ")</f>
        <v xml:space="preserve"> </v>
      </c>
      <c r="J1231" s="2149"/>
      <c r="K1231" s="1161">
        <f>IF(L1231&lt;&gt;0,'Cost Control'!A174,0)</f>
        <v>0</v>
      </c>
      <c r="L1231" s="2151">
        <f>'Cost Control'!G174</f>
        <v>0</v>
      </c>
      <c r="M1231" s="2152"/>
    </row>
    <row r="1232" spans="2:13" s="518" customFormat="1" ht="15.45">
      <c r="B1232" s="652"/>
      <c r="C1232" s="484"/>
      <c r="D1232" s="484"/>
      <c r="E1232" s="484"/>
      <c r="F1232" s="484"/>
      <c r="G1232" s="484"/>
      <c r="H1232" s="484"/>
      <c r="I1232" s="2148" t="str">
        <f>IF(L1232&lt;&gt;0,'Cost Control'!B175," ")</f>
        <v xml:space="preserve"> </v>
      </c>
      <c r="J1232" s="2149"/>
      <c r="K1232" s="1161">
        <f>IF(L1232&lt;&gt;0,'Cost Control'!A175,0)</f>
        <v>0</v>
      </c>
      <c r="L1232" s="2151">
        <f>'Cost Control'!G175</f>
        <v>0</v>
      </c>
      <c r="M1232" s="2152"/>
    </row>
    <row r="1233" spans="2:13" s="518" customFormat="1" ht="15.45">
      <c r="B1233" s="652"/>
      <c r="C1233" s="484"/>
      <c r="D1233" s="484"/>
      <c r="E1233" s="484"/>
      <c r="F1233" s="484"/>
      <c r="G1233" s="484"/>
      <c r="H1233" s="484"/>
      <c r="I1233" s="2148" t="str">
        <f>IF(L1233&lt;&gt;0,'Cost Control'!B176," ")</f>
        <v xml:space="preserve"> </v>
      </c>
      <c r="J1233" s="2149"/>
      <c r="K1233" s="1161">
        <f>IF(L1233&lt;&gt;0,'Cost Control'!A176,0)</f>
        <v>0</v>
      </c>
      <c r="L1233" s="2151">
        <f>'Cost Control'!G176</f>
        <v>0</v>
      </c>
      <c r="M1233" s="2152"/>
    </row>
    <row r="1234" spans="2:13" s="518" customFormat="1" ht="15.45">
      <c r="B1234" s="652"/>
      <c r="C1234" s="484"/>
      <c r="D1234" s="484"/>
      <c r="E1234" s="484"/>
      <c r="F1234" s="484"/>
      <c r="G1234" s="484"/>
      <c r="H1234" s="484"/>
      <c r="I1234" s="2148" t="str">
        <f>IF(L1234&lt;&gt;0,'Cost Control'!B177," ")</f>
        <v xml:space="preserve"> </v>
      </c>
      <c r="J1234" s="2149"/>
      <c r="K1234" s="1161">
        <f>IF(L1234&lt;&gt;0,'Cost Control'!A177,0)</f>
        <v>0</v>
      </c>
      <c r="L1234" s="2151">
        <f>'Cost Control'!G177</f>
        <v>0</v>
      </c>
      <c r="M1234" s="2152"/>
    </row>
    <row r="1235" spans="2:13" s="518" customFormat="1" ht="15.45">
      <c r="B1235" s="652"/>
      <c r="C1235" s="484"/>
      <c r="D1235" s="484"/>
      <c r="E1235" s="484"/>
      <c r="F1235" s="484"/>
      <c r="G1235" s="484"/>
      <c r="H1235" s="484"/>
      <c r="I1235" s="2148" t="str">
        <f>IF(L1235&lt;&gt;0,'Cost Control'!B178," ")</f>
        <v xml:space="preserve"> </v>
      </c>
      <c r="J1235" s="2149"/>
      <c r="K1235" s="1161">
        <f>IF(L1235&lt;&gt;0,'Cost Control'!A178,0)</f>
        <v>0</v>
      </c>
      <c r="L1235" s="2151">
        <f>'Cost Control'!G178</f>
        <v>0</v>
      </c>
      <c r="M1235" s="2152"/>
    </row>
    <row r="1236" spans="2:13" s="518" customFormat="1" ht="15.45">
      <c r="B1236" s="652"/>
      <c r="C1236" s="484"/>
      <c r="D1236" s="484"/>
      <c r="E1236" s="484"/>
      <c r="F1236" s="484"/>
      <c r="G1236" s="484"/>
      <c r="H1236" s="484"/>
      <c r="I1236" s="2148" t="str">
        <f>IF(L1236&lt;&gt;0,'Cost Control'!B179," ")</f>
        <v xml:space="preserve"> </v>
      </c>
      <c r="J1236" s="2149"/>
      <c r="K1236" s="1161">
        <f>IF(L1236&lt;&gt;0,'Cost Control'!A179,0)</f>
        <v>0</v>
      </c>
      <c r="L1236" s="2151">
        <f>'Cost Control'!G179</f>
        <v>0</v>
      </c>
      <c r="M1236" s="2152"/>
    </row>
    <row r="1237" spans="2:13" s="518" customFormat="1" ht="15.45">
      <c r="B1237" s="652"/>
      <c r="C1237" s="484"/>
      <c r="D1237" s="484"/>
      <c r="E1237" s="484"/>
      <c r="F1237" s="484"/>
      <c r="G1237" s="484"/>
      <c r="H1237" s="484"/>
      <c r="I1237" s="2148" t="str">
        <f>IF(L1237&lt;&gt;0,'Cost Control'!B180," ")</f>
        <v xml:space="preserve"> </v>
      </c>
      <c r="J1237" s="2149"/>
      <c r="K1237" s="1161">
        <f>IF(L1237&lt;&gt;0,'Cost Control'!A180,0)</f>
        <v>0</v>
      </c>
      <c r="L1237" s="2151">
        <f>'Cost Control'!G180</f>
        <v>0</v>
      </c>
      <c r="M1237" s="2152"/>
    </row>
    <row r="1238" spans="2:13" s="518" customFormat="1" ht="15.45">
      <c r="B1238" s="652"/>
      <c r="C1238" s="484"/>
      <c r="D1238" s="484"/>
      <c r="E1238" s="484"/>
      <c r="F1238" s="484"/>
      <c r="G1238" s="484"/>
      <c r="H1238" s="484"/>
      <c r="I1238" s="2148" t="str">
        <f>IF(L1238&lt;&gt;0,'Cost Control'!B181," ")</f>
        <v xml:space="preserve"> </v>
      </c>
      <c r="J1238" s="2149"/>
      <c r="K1238" s="1161">
        <f>IF(L1238&lt;&gt;0,'Cost Control'!A181,0)</f>
        <v>0</v>
      </c>
      <c r="L1238" s="2151">
        <f>'Cost Control'!G181</f>
        <v>0</v>
      </c>
      <c r="M1238" s="2152"/>
    </row>
    <row r="1239" spans="2:13" s="518" customFormat="1" ht="15.45">
      <c r="B1239" s="652"/>
      <c r="C1239" s="484"/>
      <c r="D1239" s="484"/>
      <c r="E1239" s="484"/>
      <c r="F1239" s="484"/>
      <c r="G1239" s="484"/>
      <c r="H1239" s="484"/>
      <c r="I1239" s="2148" t="str">
        <f>IF(L1239&lt;&gt;0,'Cost Control'!B182," ")</f>
        <v xml:space="preserve"> </v>
      </c>
      <c r="J1239" s="2149"/>
      <c r="K1239" s="1161">
        <f>IF(L1239&lt;&gt;0,'Cost Control'!A182,0)</f>
        <v>0</v>
      </c>
      <c r="L1239" s="2151">
        <f>'Cost Control'!G182</f>
        <v>0</v>
      </c>
      <c r="M1239" s="2152"/>
    </row>
    <row r="1240" spans="2:13" s="518" customFormat="1" ht="15.45">
      <c r="B1240" s="652"/>
      <c r="C1240" s="484"/>
      <c r="D1240" s="484"/>
      <c r="E1240" s="484"/>
      <c r="F1240" s="484"/>
      <c r="G1240" s="484"/>
      <c r="H1240" s="484"/>
      <c r="I1240" s="2148" t="str">
        <f>IF(L1240&lt;&gt;0,'Cost Control'!B183," ")</f>
        <v xml:space="preserve"> </v>
      </c>
      <c r="J1240" s="2149"/>
      <c r="K1240" s="1161">
        <f>IF(L1240&lt;&gt;0,'Cost Control'!A183,0)</f>
        <v>0</v>
      </c>
      <c r="L1240" s="2151">
        <f>'Cost Control'!G183</f>
        <v>0</v>
      </c>
      <c r="M1240" s="2152"/>
    </row>
    <row r="1241" spans="2:13" s="518" customFormat="1" ht="15.45">
      <c r="B1241" s="652"/>
      <c r="C1241" s="484"/>
      <c r="D1241" s="484"/>
      <c r="E1241" s="484"/>
      <c r="F1241" s="484"/>
      <c r="G1241" s="484"/>
      <c r="H1241" s="484"/>
      <c r="I1241" s="2148" t="str">
        <f>IF(L1241&lt;&gt;0,'Cost Control'!B184," ")</f>
        <v xml:space="preserve"> </v>
      </c>
      <c r="J1241" s="2149"/>
      <c r="K1241" s="1161">
        <f>IF(L1241&lt;&gt;0,'Cost Control'!A184,0)</f>
        <v>0</v>
      </c>
      <c r="L1241" s="2151">
        <f>'Cost Control'!G184</f>
        <v>0</v>
      </c>
      <c r="M1241" s="2152"/>
    </row>
    <row r="1242" spans="2:13" s="518" customFormat="1" ht="15.45">
      <c r="B1242" s="652"/>
      <c r="C1242" s="484"/>
      <c r="D1242" s="484"/>
      <c r="E1242" s="484"/>
      <c r="F1242" s="484"/>
      <c r="G1242" s="484"/>
      <c r="H1242" s="484"/>
      <c r="I1242" s="2148" t="str">
        <f>IF(L1242&lt;&gt;0,'Cost Control'!B185," ")</f>
        <v xml:space="preserve"> </v>
      </c>
      <c r="J1242" s="2149"/>
      <c r="K1242" s="1161">
        <f>IF(L1242&lt;&gt;0,'Cost Control'!A185,0)</f>
        <v>0</v>
      </c>
      <c r="L1242" s="2151">
        <f>'Cost Control'!G185</f>
        <v>0</v>
      </c>
      <c r="M1242" s="2152"/>
    </row>
    <row r="1243" spans="2:13" s="518" customFormat="1" ht="15.45">
      <c r="B1243" s="652"/>
      <c r="C1243" s="484"/>
      <c r="D1243" s="484"/>
      <c r="E1243" s="484"/>
      <c r="F1243" s="484"/>
      <c r="G1243" s="484"/>
      <c r="H1243" s="484"/>
      <c r="I1243" s="2148" t="str">
        <f>IF(L1243&lt;&gt;0,'Cost Control'!B186," ")</f>
        <v xml:space="preserve"> </v>
      </c>
      <c r="J1243" s="2149"/>
      <c r="K1243" s="1161">
        <f>IF(L1243&lt;&gt;0,'Cost Control'!A186,0)</f>
        <v>0</v>
      </c>
      <c r="L1243" s="2151">
        <f>'Cost Control'!G186</f>
        <v>0</v>
      </c>
      <c r="M1243" s="2152"/>
    </row>
    <row r="1244" spans="2:13" s="518" customFormat="1" ht="15.45">
      <c r="B1244" s="652"/>
      <c r="C1244" s="484"/>
      <c r="D1244" s="484"/>
      <c r="E1244" s="484"/>
      <c r="F1244" s="484"/>
      <c r="G1244" s="484"/>
      <c r="H1244" s="484"/>
      <c r="I1244" s="2148" t="str">
        <f>IF(L1244&lt;&gt;0,'Cost Control'!B187," ")</f>
        <v xml:space="preserve"> </v>
      </c>
      <c r="J1244" s="2149"/>
      <c r="K1244" s="1161">
        <f>IF(L1244&lt;&gt;0,'Cost Control'!A187,0)</f>
        <v>0</v>
      </c>
      <c r="L1244" s="2151">
        <f>'Cost Control'!G187</f>
        <v>0</v>
      </c>
      <c r="M1244" s="2152"/>
    </row>
    <row r="1245" spans="2:13" s="518" customFormat="1" ht="15.45">
      <c r="B1245" s="652"/>
      <c r="C1245" s="484"/>
      <c r="D1245" s="484"/>
      <c r="E1245" s="484"/>
      <c r="F1245" s="484"/>
      <c r="G1245" s="484"/>
      <c r="H1245" s="484"/>
      <c r="I1245" s="2148" t="str">
        <f>IF(L1245&lt;&gt;0,'Cost Control'!B188," ")</f>
        <v xml:space="preserve"> </v>
      </c>
      <c r="J1245" s="2149"/>
      <c r="K1245" s="1161">
        <f>IF(L1245&lt;&gt;0,'Cost Control'!A188,0)</f>
        <v>0</v>
      </c>
      <c r="L1245" s="2151">
        <f>'Cost Control'!G188</f>
        <v>0</v>
      </c>
      <c r="M1245" s="2152"/>
    </row>
    <row r="1246" spans="2:13" s="518" customFormat="1" ht="15.45">
      <c r="B1246" s="652"/>
      <c r="C1246" s="484"/>
      <c r="D1246" s="484"/>
      <c r="E1246" s="484"/>
      <c r="F1246" s="484"/>
      <c r="G1246" s="484"/>
      <c r="H1246" s="484"/>
      <c r="I1246" s="2148" t="str">
        <f>IF(L1246&lt;&gt;0,'Cost Control'!B189," ")</f>
        <v xml:space="preserve"> </v>
      </c>
      <c r="J1246" s="2149"/>
      <c r="K1246" s="1161">
        <f>IF(L1246&lt;&gt;0,'Cost Control'!A189,0)</f>
        <v>0</v>
      </c>
      <c r="L1246" s="2151">
        <f>'Cost Control'!G189</f>
        <v>0</v>
      </c>
      <c r="M1246" s="2152"/>
    </row>
    <row r="1247" spans="2:13" s="518" customFormat="1" ht="15.45">
      <c r="B1247" s="652"/>
      <c r="C1247" s="484"/>
      <c r="D1247" s="484"/>
      <c r="E1247" s="484"/>
      <c r="F1247" s="484"/>
      <c r="G1247" s="484"/>
      <c r="H1247" s="484"/>
      <c r="I1247" s="2148" t="str">
        <f>IF(L1247&lt;&gt;0,'Cost Control'!B190," ")</f>
        <v xml:space="preserve"> </v>
      </c>
      <c r="J1247" s="2149"/>
      <c r="K1247" s="1161">
        <f>IF(L1247&lt;&gt;0,'Cost Control'!A190,0)</f>
        <v>0</v>
      </c>
      <c r="L1247" s="2151">
        <f>'Cost Control'!G190</f>
        <v>0</v>
      </c>
      <c r="M1247" s="2152"/>
    </row>
    <row r="1248" spans="2:13" s="518" customFormat="1" ht="15.45">
      <c r="B1248" s="652"/>
      <c r="C1248" s="484"/>
      <c r="D1248" s="484"/>
      <c r="E1248" s="484"/>
      <c r="F1248" s="484"/>
      <c r="G1248" s="484"/>
      <c r="H1248" s="484"/>
      <c r="I1248" s="2148" t="str">
        <f>IF(L1248&lt;&gt;0,'Cost Control'!B191," ")</f>
        <v xml:space="preserve"> </v>
      </c>
      <c r="J1248" s="2149"/>
      <c r="K1248" s="1161">
        <f>IF(L1248&lt;&gt;0,'Cost Control'!A191,0)</f>
        <v>0</v>
      </c>
      <c r="L1248" s="2151">
        <f>'Cost Control'!G191</f>
        <v>0</v>
      </c>
      <c r="M1248" s="2152"/>
    </row>
    <row r="1249" spans="2:13" s="518" customFormat="1" ht="15.45">
      <c r="B1249" s="652"/>
      <c r="C1249" s="484"/>
      <c r="D1249" s="484"/>
      <c r="E1249" s="484"/>
      <c r="F1249" s="484"/>
      <c r="G1249" s="484"/>
      <c r="H1249" s="484"/>
      <c r="I1249" s="2148" t="str">
        <f>IF(L1249&lt;&gt;0,'Cost Control'!B192," ")</f>
        <v xml:space="preserve"> </v>
      </c>
      <c r="J1249" s="2149"/>
      <c r="K1249" s="1161">
        <f>IF(L1249&lt;&gt;0,'Cost Control'!A192,0)</f>
        <v>0</v>
      </c>
      <c r="L1249" s="2151">
        <f>'Cost Control'!G192</f>
        <v>0</v>
      </c>
      <c r="M1249" s="2152"/>
    </row>
    <row r="1250" spans="2:13" s="518" customFormat="1" ht="15.45">
      <c r="B1250" s="652"/>
      <c r="C1250" s="484"/>
      <c r="D1250" s="484"/>
      <c r="E1250" s="484"/>
      <c r="F1250" s="484"/>
      <c r="G1250" s="484"/>
      <c r="H1250" s="484"/>
      <c r="I1250" s="2148" t="str">
        <f>IF(L1250&lt;&gt;0,'Cost Control'!B193," ")</f>
        <v xml:space="preserve"> </v>
      </c>
      <c r="J1250" s="2149"/>
      <c r="K1250" s="1161">
        <f>IF(L1250&lt;&gt;0,'Cost Control'!A193,0)</f>
        <v>0</v>
      </c>
      <c r="L1250" s="2151">
        <f>'Cost Control'!G193</f>
        <v>0</v>
      </c>
      <c r="M1250" s="2152"/>
    </row>
    <row r="1251" spans="2:13" s="518" customFormat="1" ht="15.45">
      <c r="B1251" s="652"/>
      <c r="C1251" s="484"/>
      <c r="D1251" s="484"/>
      <c r="E1251" s="484"/>
      <c r="F1251" s="484"/>
      <c r="G1251" s="484"/>
      <c r="H1251" s="484"/>
      <c r="I1251" s="2148" t="str">
        <f>IF(L1251&lt;&gt;0,'Cost Control'!B194," ")</f>
        <v xml:space="preserve"> </v>
      </c>
      <c r="J1251" s="2149"/>
      <c r="K1251" s="1161">
        <f>IF(L1251&lt;&gt;0,'Cost Control'!A194,0)</f>
        <v>0</v>
      </c>
      <c r="L1251" s="2151">
        <f>'Cost Control'!G194</f>
        <v>0</v>
      </c>
      <c r="M1251" s="2152"/>
    </row>
    <row r="1252" spans="2:13" s="518" customFormat="1" ht="16.100000000000001" thickBot="1">
      <c r="B1252" s="652"/>
      <c r="C1252" s="484"/>
      <c r="D1252" s="484"/>
      <c r="E1252" s="484"/>
      <c r="F1252" s="484"/>
      <c r="G1252" s="484"/>
      <c r="H1252" s="484"/>
      <c r="I1252" s="2148" t="str">
        <f>IF(L1252&lt;&gt;0,'Cost Control'!B195," ")</f>
        <v xml:space="preserve"> </v>
      </c>
      <c r="J1252" s="2149"/>
      <c r="K1252" s="1161">
        <f>IF(L1252&lt;&gt;0,'Cost Control'!A195,0)</f>
        <v>0</v>
      </c>
      <c r="L1252" s="2151">
        <f>'Cost Control'!G195</f>
        <v>0</v>
      </c>
      <c r="M1252" s="2152"/>
    </row>
    <row r="1253" spans="2:13" ht="13.1">
      <c r="B1253" s="141" t="s">
        <v>695</v>
      </c>
      <c r="C1253" s="50"/>
      <c r="D1253" s="50"/>
      <c r="E1253" s="2150">
        <f>K1269</f>
        <v>23</v>
      </c>
      <c r="F1253" s="2150"/>
      <c r="G1253" s="50"/>
      <c r="H1253" s="50"/>
      <c r="I1253" s="50"/>
      <c r="J1253" s="50"/>
      <c r="K1253" s="50"/>
      <c r="L1253" s="50"/>
      <c r="M1253" s="43"/>
    </row>
    <row r="1254" spans="2:13">
      <c r="B1254" s="1628"/>
      <c r="C1254" s="1629"/>
      <c r="D1254" s="1629"/>
      <c r="E1254" s="1629"/>
      <c r="F1254" s="1629"/>
      <c r="G1254" s="1629"/>
      <c r="H1254" s="1629"/>
      <c r="I1254" s="1629"/>
      <c r="J1254" s="1629"/>
      <c r="K1254" s="1629"/>
      <c r="L1254" s="1629"/>
      <c r="M1254" s="1630"/>
    </row>
    <row r="1255" spans="2:13" ht="13.5" thickBot="1">
      <c r="B1255" s="1480"/>
      <c r="C1255" s="1479"/>
      <c r="D1255" s="1479"/>
      <c r="E1255" s="1479"/>
      <c r="F1255" s="1479"/>
      <c r="G1255" s="1479"/>
      <c r="H1255" s="1631"/>
      <c r="I1255" s="1631"/>
      <c r="J1255" s="1631"/>
      <c r="K1255" s="1631"/>
      <c r="L1255" s="1631"/>
      <c r="M1255" s="1555"/>
    </row>
    <row r="1256" spans="2:13" ht="15.45">
      <c r="B1256" s="307" t="s">
        <v>645</v>
      </c>
      <c r="C1256" s="308"/>
      <c r="D1256" s="2135">
        <f>D1201</f>
        <v>0</v>
      </c>
      <c r="E1256" s="2135"/>
      <c r="F1256" s="309" t="s">
        <v>647</v>
      </c>
      <c r="G1256" s="310">
        <f>G1201</f>
        <v>0</v>
      </c>
      <c r="H1256" s="172" t="s">
        <v>648</v>
      </c>
      <c r="I1256" s="472">
        <v>0</v>
      </c>
      <c r="J1256" s="2173" t="s">
        <v>650</v>
      </c>
      <c r="K1256" s="2173"/>
      <c r="L1256" s="1378"/>
      <c r="M1256" s="486" t="str">
        <f>M1201</f>
        <v>° F</v>
      </c>
    </row>
    <row r="1257" spans="2:13">
      <c r="B1257" s="44" t="s">
        <v>644</v>
      </c>
      <c r="E1257" t="s">
        <v>655</v>
      </c>
      <c r="G1257">
        <f>IF('Daily Load'!P416="Yes",Operations!D1218,IF('Daily Load'!V416="Yes",Operations!D1220,Operations!D1221))</f>
        <v>0</v>
      </c>
      <c r="I1257" s="195" t="s">
        <v>651</v>
      </c>
      <c r="L1257" s="2170">
        <f>'Cost Control'!G230</f>
        <v>0</v>
      </c>
      <c r="M1257" s="2171"/>
    </row>
    <row r="1258" spans="2:13">
      <c r="B1258" s="44"/>
      <c r="E1258" s="223" t="s">
        <v>193</v>
      </c>
      <c r="F1258" s="223" t="s">
        <v>194</v>
      </c>
      <c r="G1258" s="223" t="str">
        <f>G1203</f>
        <v>Other</v>
      </c>
      <c r="H1258" s="1627" t="s">
        <v>587</v>
      </c>
      <c r="I1258" s="31" t="s">
        <v>652</v>
      </c>
      <c r="L1258" s="2170">
        <f>L1204</f>
        <v>0</v>
      </c>
      <c r="M1258" s="2171"/>
    </row>
    <row r="1259" spans="2:13" ht="13.5" thickBot="1">
      <c r="B1259" s="44" t="s">
        <v>643</v>
      </c>
      <c r="E1259" s="361">
        <f>IF(E1263&gt;0,E1261-E1263,E1261+E1262+E1260)</f>
        <v>0</v>
      </c>
      <c r="F1259" s="361">
        <f>IF(F1263&gt;0,F1261-F1263,F1261+F1262+F1260)</f>
        <v>0</v>
      </c>
      <c r="G1259" s="361">
        <f>IF(G1263&gt;0,G1261-G1263,G1261+G1262+G1260)</f>
        <v>0</v>
      </c>
      <c r="H1259" t="str">
        <f>H1208</f>
        <v>bbl</v>
      </c>
      <c r="I1259" s="31" t="s">
        <v>653</v>
      </c>
      <c r="L1259" s="2163">
        <f>L1257+L1258</f>
        <v>0</v>
      </c>
      <c r="M1259" s="2164"/>
    </row>
    <row r="1260" spans="2:13" ht="13.5" thickTop="1">
      <c r="B1260" s="311" t="s">
        <v>642</v>
      </c>
      <c r="E1260" s="361">
        <f>IF('Daily Load'!P416="Yes",'Daily Load'!L411,IF('Daily Load'!V416="Yes",'Daily Load'!R411,'Daily Load'!X411))</f>
        <v>0</v>
      </c>
      <c r="F1260" s="361">
        <f>IF('Daily Load'!P416="Yes",'Daily Load'!N411,IF('Daily Load'!V416="Yes",'Daily Load'!T411,'Daily Load'!Z411))</f>
        <v>0</v>
      </c>
      <c r="G1260" s="361">
        <f>IF('Daily Load'!P416="Yes",'Daily Load'!P411,IF('Daily Load'!V416="Yes",'Daily Load'!V411,'Daily Load'!AB411))</f>
        <v>0</v>
      </c>
      <c r="H1260" t="str">
        <f>H1259</f>
        <v>bbl</v>
      </c>
      <c r="I1260" s="31"/>
      <c r="L1260" s="521"/>
      <c r="M1260" s="522"/>
    </row>
    <row r="1261" spans="2:13">
      <c r="B1261" s="44" t="s">
        <v>641</v>
      </c>
      <c r="E1261" s="361">
        <f>IF(G1257=D9,'Daily Load'!F415+E1206,IF(G1257=G1202,'Daily Load'!F415+E1206,'Daily Load'!F415))</f>
        <v>0</v>
      </c>
      <c r="F1261" s="361">
        <f>IF(G1257=D9,'Daily Load'!H415+F1206,IF(G1257=G1202,'Daily Load'!H415+F1206,'Daily Load'!H415))</f>
        <v>0</v>
      </c>
      <c r="G1261" s="361">
        <f>IF(G1257=D9,'Daily Load'!J415+G1206,IF(G1257=G1202,'Daily Load'!J415+G1206,'Daily Load'!J415))</f>
        <v>0</v>
      </c>
      <c r="H1261" t="str">
        <f>H1260</f>
        <v>bbl</v>
      </c>
      <c r="I1261" s="33" t="s">
        <v>654</v>
      </c>
      <c r="J1261" s="19"/>
      <c r="K1261" s="19"/>
      <c r="L1261" s="2165">
        <f>L1206</f>
        <v>0</v>
      </c>
      <c r="M1261" s="2166"/>
    </row>
    <row r="1262" spans="2:13">
      <c r="B1262" s="44" t="s">
        <v>640</v>
      </c>
      <c r="E1262" s="361">
        <f>IF('Daily Load'!P416="Yes",'Daily Load'!L413,IF('Daily Load'!V416="Yes",'Daily Load'!R413,'Daily Load'!X413))</f>
        <v>0</v>
      </c>
      <c r="F1262" s="361">
        <f>IF('Daily Load'!P416="Yes",'Daily Load'!N413,IF('Daily Load'!V416="Yes",'Daily Load'!T413,'Daily Load'!Z413))</f>
        <v>0</v>
      </c>
      <c r="G1262" s="361">
        <f>IF('Daily Load'!P416="Yes",'Daily Load'!P413,IF('Daily Load'!V416="Yes",'Daily Load'!V413,'Daily Load'!AB413))</f>
        <v>0</v>
      </c>
      <c r="H1262" t="str">
        <f>H1261</f>
        <v>bbl</v>
      </c>
      <c r="I1262" s="2160" t="str">
        <f>I1207</f>
        <v xml:space="preserve"> </v>
      </c>
      <c r="J1262" s="2059"/>
      <c r="K1262" s="2161"/>
      <c r="L1262" s="2162" t="str">
        <f>L1207</f>
        <v xml:space="preserve">0 </v>
      </c>
      <c r="M1262" s="2155"/>
    </row>
    <row r="1263" spans="2:13" ht="13.5" thickBot="1">
      <c r="B1263" s="46" t="s">
        <v>639</v>
      </c>
      <c r="C1263" s="21"/>
      <c r="D1263" s="21"/>
      <c r="E1263" s="380">
        <f>IF('Daily Load'!P416="Yes",'Daily Load'!L414,IF('Daily Load'!V416="Yes",'Daily Load'!R414,'Daily Load'!X414))</f>
        <v>0</v>
      </c>
      <c r="F1263" s="380">
        <f>IF('Daily Load'!P416="Yes",'Daily Load'!N414,IF('Daily Load'!V416="Yes",'Daily Load'!T414,'Daily Load'!Z414))</f>
        <v>0</v>
      </c>
      <c r="G1263" s="380">
        <f>IF('Daily Load'!P416="Yes",'Daily Load'!P414,IF('Daily Load'!V416="Yes",'Daily Load'!V414,'Daily Load'!AB414))</f>
        <v>0</v>
      </c>
      <c r="H1263" s="21" t="str">
        <f>H1262</f>
        <v>bbl</v>
      </c>
      <c r="I1263" s="2167" t="s">
        <v>677</v>
      </c>
      <c r="J1263" s="2168"/>
      <c r="K1263" s="2169"/>
      <c r="L1263" s="2167" t="s">
        <v>826</v>
      </c>
      <c r="M1263" s="2172"/>
    </row>
    <row r="1264" spans="2:13">
      <c r="B1264" s="50"/>
      <c r="C1264" s="50"/>
      <c r="D1264" s="50"/>
      <c r="E1264" s="1185"/>
      <c r="F1264" s="1185"/>
      <c r="G1264" s="1185"/>
      <c r="H1264" s="50"/>
      <c r="I1264" s="1186"/>
      <c r="J1264" s="1186"/>
      <c r="K1264" s="1186"/>
      <c r="L1264" s="1186"/>
      <c r="M1264" s="1186"/>
    </row>
    <row r="1265" spans="2:13" ht="13.5" thickBot="1">
      <c r="B1265" s="21"/>
      <c r="C1265" s="21"/>
      <c r="D1265" s="21"/>
      <c r="E1265" s="21"/>
      <c r="F1265" s="21"/>
      <c r="G1265" s="21"/>
      <c r="H1265" s="21"/>
      <c r="I1265" s="21"/>
      <c r="J1265" s="21"/>
      <c r="K1265" s="21"/>
      <c r="L1265" s="21"/>
      <c r="M1265" s="21"/>
    </row>
    <row r="1266" spans="2:13">
      <c r="B1266" s="44"/>
      <c r="M1266" s="45"/>
    </row>
    <row r="1267" spans="2:13">
      <c r="B1267" s="44"/>
      <c r="J1267" s="2143">
        <f>J1212</f>
        <v>0</v>
      </c>
      <c r="K1267" s="2143"/>
      <c r="L1267" s="2143"/>
      <c r="M1267" s="45"/>
    </row>
    <row r="1268" spans="2:13">
      <c r="B1268" s="44"/>
      <c r="M1268" s="45"/>
    </row>
    <row r="1269" spans="2:13" ht="13.1">
      <c r="B1269" s="137" t="s">
        <v>634</v>
      </c>
      <c r="C1269">
        <f>Summary!$C$6</f>
        <v>0</v>
      </c>
      <c r="H1269" s="22" t="s">
        <v>636</v>
      </c>
      <c r="I1269" s="22"/>
      <c r="K1269" s="2158">
        <f>'Cost Control'!H161</f>
        <v>23</v>
      </c>
      <c r="L1269" s="2158"/>
      <c r="M1269" s="2159"/>
    </row>
    <row r="1270" spans="2:13" ht="13.1">
      <c r="B1270" s="44"/>
      <c r="H1270" s="22"/>
      <c r="I1270" s="22"/>
      <c r="M1270" s="45"/>
    </row>
    <row r="1271" spans="2:13" ht="13.1">
      <c r="B1271" s="137" t="s">
        <v>635</v>
      </c>
      <c r="D1271" s="2136">
        <f>D1216</f>
        <v>0</v>
      </c>
      <c r="E1271" s="2136"/>
      <c r="F1271" s="2136"/>
      <c r="G1271" s="2136"/>
      <c r="H1271" s="2136"/>
      <c r="I1271" s="22" t="s">
        <v>637</v>
      </c>
      <c r="J1271" s="3">
        <f>J1216+1</f>
        <v>24</v>
      </c>
      <c r="M1271" s="45"/>
    </row>
    <row r="1272" spans="2:13" ht="13.1">
      <c r="B1272" s="137"/>
      <c r="D1272" s="2136"/>
      <c r="E1272" s="2136"/>
      <c r="F1272" s="2136"/>
      <c r="G1272" s="2136"/>
      <c r="H1272" s="2136"/>
      <c r="I1272" t="s">
        <v>63</v>
      </c>
      <c r="J1272" s="2142">
        <f>J1217</f>
        <v>0</v>
      </c>
      <c r="K1272" s="2143"/>
      <c r="M1272" s="45"/>
    </row>
    <row r="1273" spans="2:13" ht="13.1">
      <c r="B1273" s="137" t="s">
        <v>146</v>
      </c>
      <c r="D1273">
        <f>Summary!$C$32</f>
        <v>0</v>
      </c>
      <c r="F1273" s="1819" t="str">
        <f>F1218</f>
        <v>OPEN HOLE INTERVAL:</v>
      </c>
      <c r="G1273" s="1819"/>
      <c r="H1273" s="2147">
        <f>H1218</f>
        <v>0</v>
      </c>
      <c r="I1273" s="2147"/>
      <c r="J1273" s="2147">
        <f>J1218</f>
        <v>0</v>
      </c>
      <c r="K1273" s="2147"/>
      <c r="L1273" s="2147">
        <f>L1218</f>
        <v>0</v>
      </c>
      <c r="M1273" s="2154"/>
    </row>
    <row r="1274" spans="2:13">
      <c r="B1274" s="44"/>
      <c r="H1274" s="2153"/>
      <c r="I1274" s="2153"/>
      <c r="J1274" s="1145"/>
      <c r="K1274" s="1145"/>
      <c r="L1274" s="1145"/>
      <c r="M1274" s="1146"/>
    </row>
    <row r="1275" spans="2:13" ht="13.1">
      <c r="B1275" s="44"/>
      <c r="D1275">
        <f>Summary!$F$32</f>
        <v>0</v>
      </c>
      <c r="F1275" s="1819" t="str">
        <f>F1220</f>
        <v xml:space="preserve"> </v>
      </c>
      <c r="G1275" s="1819"/>
      <c r="H1275" s="2137">
        <f>H1220</f>
        <v>0</v>
      </c>
      <c r="I1275" s="2137"/>
      <c r="J1275" s="2137">
        <f>J1220</f>
        <v>0</v>
      </c>
      <c r="K1275" s="2137"/>
      <c r="L1275" s="2137">
        <f>L1220</f>
        <v>0</v>
      </c>
      <c r="M1275" s="2155"/>
    </row>
    <row r="1276" spans="2:13" ht="13.1">
      <c r="B1276" s="44"/>
      <c r="D1276">
        <f>D1221</f>
        <v>0</v>
      </c>
      <c r="F1276" s="1819" t="str">
        <f>F1221</f>
        <v xml:space="preserve"> </v>
      </c>
      <c r="G1276" s="1819"/>
      <c r="H1276" s="1737">
        <f>H1221</f>
        <v>0</v>
      </c>
      <c r="I1276" s="1737"/>
      <c r="J1276" s="1737">
        <f>J1221</f>
        <v>0</v>
      </c>
      <c r="K1276" s="1737"/>
      <c r="L1276" s="1737">
        <f>L1221</f>
        <v>0</v>
      </c>
      <c r="M1276" s="1791"/>
    </row>
    <row r="1277" spans="2:13">
      <c r="B1277" s="44"/>
      <c r="M1277" s="45"/>
    </row>
    <row r="1278" spans="2:13" ht="13.75" thickBot="1">
      <c r="B1278" s="46"/>
      <c r="C1278" s="21"/>
      <c r="D1278" s="21"/>
      <c r="E1278" s="1664" t="s">
        <v>638</v>
      </c>
      <c r="F1278" s="1664"/>
      <c r="G1278" s="1664"/>
      <c r="H1278" s="1664"/>
      <c r="I1278" s="1664"/>
      <c r="J1278" s="21"/>
      <c r="K1278" s="21"/>
      <c r="L1278" s="21"/>
      <c r="M1278" s="47"/>
    </row>
    <row r="1279" spans="2:13" s="518" customFormat="1" ht="16.100000000000001" thickBot="1">
      <c r="B1279" s="651"/>
      <c r="C1279" s="484"/>
      <c r="D1279" s="484"/>
      <c r="E1279" s="484"/>
      <c r="F1279" s="484"/>
      <c r="G1279" s="484"/>
      <c r="H1279" s="484"/>
      <c r="I1279" s="2138" t="s">
        <v>61</v>
      </c>
      <c r="J1279" s="2139"/>
      <c r="K1279" s="2139"/>
      <c r="L1279" s="2139"/>
      <c r="M1279" s="2140"/>
    </row>
    <row r="1280" spans="2:13" s="518" customFormat="1" ht="16.100000000000001" thickBot="1">
      <c r="B1280" s="652"/>
      <c r="C1280" s="484"/>
      <c r="D1280" s="484"/>
      <c r="E1280" s="484"/>
      <c r="F1280" s="484"/>
      <c r="G1280" s="484"/>
      <c r="H1280" s="484"/>
      <c r="I1280" s="2141" t="str">
        <f>I1225</f>
        <v>Service</v>
      </c>
      <c r="J1280" s="2141"/>
      <c r="K1280" s="1159" t="s">
        <v>62</v>
      </c>
      <c r="L1280" s="2144" t="s">
        <v>1454</v>
      </c>
      <c r="M1280" s="2144"/>
    </row>
    <row r="1281" spans="2:13" s="518" customFormat="1" ht="16.100000000000001" thickBot="1">
      <c r="B1281" s="652"/>
      <c r="C1281" s="484"/>
      <c r="D1281" s="484"/>
      <c r="E1281" s="484"/>
      <c r="F1281" s="484"/>
      <c r="G1281" s="484"/>
      <c r="H1281" s="484"/>
      <c r="I1281" s="2145" t="s">
        <v>1538</v>
      </c>
      <c r="J1281" s="2146"/>
      <c r="K1281" s="1160">
        <f>IF(L1281&lt;&gt;0," ",0)</f>
        <v>0</v>
      </c>
      <c r="L1281" s="2156">
        <f>SUM('Cost Control'!H163:H172)</f>
        <v>0</v>
      </c>
      <c r="M1281" s="2157"/>
    </row>
    <row r="1282" spans="2:13" s="518" customFormat="1" ht="16.100000000000001" thickBot="1">
      <c r="B1282" s="652"/>
      <c r="C1282" s="484"/>
      <c r="D1282" s="484"/>
      <c r="E1282" s="484"/>
      <c r="F1282" s="484"/>
      <c r="G1282" s="484"/>
      <c r="H1282" s="484"/>
      <c r="I1282" s="2145" t="s">
        <v>1539</v>
      </c>
      <c r="J1282" s="2146"/>
      <c r="K1282" s="1161">
        <f>IF(L1282&lt;&gt;0,'Cost Control'!A209,0)</f>
        <v>0</v>
      </c>
      <c r="L1282" s="2151">
        <f>SUM('Cost Control'!H209:H214)</f>
        <v>0</v>
      </c>
      <c r="M1282" s="2152"/>
    </row>
    <row r="1283" spans="2:13" s="518" customFormat="1" ht="16.100000000000001" thickBot="1">
      <c r="B1283" s="652"/>
      <c r="C1283" s="484"/>
      <c r="D1283" s="484"/>
      <c r="E1283" s="484"/>
      <c r="F1283" s="484"/>
      <c r="G1283" s="484"/>
      <c r="H1283" s="484"/>
      <c r="I1283" s="2145" t="s">
        <v>903</v>
      </c>
      <c r="J1283" s="2146"/>
      <c r="K1283" s="1161">
        <f>IF(L1283&lt;&gt;0,'Cost Control'!A196,0)</f>
        <v>0</v>
      </c>
      <c r="L1283" s="2151">
        <f>SUM('Cost Control'!H196:H207)</f>
        <v>0</v>
      </c>
      <c r="M1283" s="2152"/>
    </row>
    <row r="1284" spans="2:13" s="518" customFormat="1" ht="16.100000000000001" thickBot="1">
      <c r="B1284" s="652"/>
      <c r="C1284" s="484"/>
      <c r="D1284" s="484"/>
      <c r="E1284" s="484"/>
      <c r="F1284" s="484"/>
      <c r="G1284" s="484"/>
      <c r="H1284" s="484"/>
      <c r="I1284" s="2145" t="s">
        <v>1540</v>
      </c>
      <c r="J1284" s="2146"/>
      <c r="K1284" s="1161" t="str">
        <f>IF(L1284&lt;&gt;0,'Cost Control'!A216," ")</f>
        <v xml:space="preserve"> </v>
      </c>
      <c r="L1284" s="2151">
        <f>SUM('Cost Control'!H216:H222)</f>
        <v>0</v>
      </c>
      <c r="M1284" s="2152"/>
    </row>
    <row r="1285" spans="2:13" s="518" customFormat="1" ht="15.45">
      <c r="B1285" s="652"/>
      <c r="C1285" s="484"/>
      <c r="D1285" s="484"/>
      <c r="E1285" s="484"/>
      <c r="F1285" s="484"/>
      <c r="G1285" s="484"/>
      <c r="H1285" s="484"/>
      <c r="I1285" s="2145" t="s">
        <v>1451</v>
      </c>
      <c r="J1285" s="2146"/>
      <c r="K1285" s="1161">
        <f>IF(L1285&lt;&gt;0,'Cost Control'!A224,0)</f>
        <v>0</v>
      </c>
      <c r="L1285" s="2151">
        <f>SUM('Cost Control'!H224:H229)</f>
        <v>0</v>
      </c>
      <c r="M1285" s="2152"/>
    </row>
    <row r="1286" spans="2:13" s="518" customFormat="1" ht="15.45">
      <c r="B1286" s="652"/>
      <c r="C1286" s="484"/>
      <c r="D1286" s="484"/>
      <c r="E1286" s="484"/>
      <c r="F1286" s="484"/>
      <c r="G1286" s="484"/>
      <c r="H1286" s="484"/>
      <c r="I1286" s="2148" t="str">
        <f>IF(L1286&lt;&gt;0,'Cost Control'!B174," ")</f>
        <v xml:space="preserve"> </v>
      </c>
      <c r="J1286" s="2149"/>
      <c r="K1286" s="1161">
        <f>IF(L1286&lt;&gt;0,'Cost Control'!A174,0)</f>
        <v>0</v>
      </c>
      <c r="L1286" s="2151">
        <f>'Cost Control'!H174</f>
        <v>0</v>
      </c>
      <c r="M1286" s="2152"/>
    </row>
    <row r="1287" spans="2:13" s="518" customFormat="1" ht="15.45">
      <c r="B1287" s="652"/>
      <c r="C1287" s="484"/>
      <c r="D1287" s="484"/>
      <c r="E1287" s="484"/>
      <c r="F1287" s="484"/>
      <c r="G1287" s="484"/>
      <c r="H1287" s="484"/>
      <c r="I1287" s="2148" t="str">
        <f>IF(L1287&lt;&gt;0,'Cost Control'!B175," ")</f>
        <v xml:space="preserve"> </v>
      </c>
      <c r="J1287" s="2149"/>
      <c r="K1287" s="1161">
        <f>IF(L1287&lt;&gt;0,'Cost Control'!A175,0)</f>
        <v>0</v>
      </c>
      <c r="L1287" s="2151">
        <f>'Cost Control'!H175</f>
        <v>0</v>
      </c>
      <c r="M1287" s="2152"/>
    </row>
    <row r="1288" spans="2:13" s="518" customFormat="1" ht="15.45">
      <c r="B1288" s="652"/>
      <c r="C1288" s="484"/>
      <c r="D1288" s="484"/>
      <c r="E1288" s="484"/>
      <c r="F1288" s="484"/>
      <c r="G1288" s="484"/>
      <c r="H1288" s="484"/>
      <c r="I1288" s="2148" t="str">
        <f>IF(L1288&lt;&gt;0,'Cost Control'!B176," ")</f>
        <v xml:space="preserve"> </v>
      </c>
      <c r="J1288" s="2149"/>
      <c r="K1288" s="1161">
        <f>IF(L1288&lt;&gt;0,'Cost Control'!A176,0)</f>
        <v>0</v>
      </c>
      <c r="L1288" s="2151">
        <f>'Cost Control'!H176</f>
        <v>0</v>
      </c>
      <c r="M1288" s="2152"/>
    </row>
    <row r="1289" spans="2:13" s="518" customFormat="1" ht="15.45">
      <c r="B1289" s="652"/>
      <c r="C1289" s="484"/>
      <c r="D1289" s="484"/>
      <c r="E1289" s="484"/>
      <c r="F1289" s="484"/>
      <c r="G1289" s="484"/>
      <c r="H1289" s="484"/>
      <c r="I1289" s="2148" t="str">
        <f>IF(L1289&lt;&gt;0,'Cost Control'!B177," ")</f>
        <v xml:space="preserve"> </v>
      </c>
      <c r="J1289" s="2149"/>
      <c r="K1289" s="1161">
        <f>IF(L1289&lt;&gt;0,'Cost Control'!A177,0)</f>
        <v>0</v>
      </c>
      <c r="L1289" s="2151">
        <f>'Cost Control'!H177</f>
        <v>0</v>
      </c>
      <c r="M1289" s="2152"/>
    </row>
    <row r="1290" spans="2:13" s="518" customFormat="1" ht="15.45">
      <c r="B1290" s="652"/>
      <c r="C1290" s="484"/>
      <c r="D1290" s="484"/>
      <c r="E1290" s="484"/>
      <c r="F1290" s="484"/>
      <c r="G1290" s="484"/>
      <c r="H1290" s="484"/>
      <c r="I1290" s="2148" t="str">
        <f>IF(L1290&lt;&gt;0,'Cost Control'!B178," ")</f>
        <v xml:space="preserve"> </v>
      </c>
      <c r="J1290" s="2149"/>
      <c r="K1290" s="1161">
        <f>IF(L1290&lt;&gt;0,'Cost Control'!A178,0)</f>
        <v>0</v>
      </c>
      <c r="L1290" s="2151">
        <f>'Cost Control'!H178</f>
        <v>0</v>
      </c>
      <c r="M1290" s="2152"/>
    </row>
    <row r="1291" spans="2:13" s="518" customFormat="1" ht="15.45">
      <c r="B1291" s="652"/>
      <c r="C1291" s="484"/>
      <c r="D1291" s="484"/>
      <c r="E1291" s="484"/>
      <c r="F1291" s="484"/>
      <c r="G1291" s="484"/>
      <c r="H1291" s="484"/>
      <c r="I1291" s="2148" t="str">
        <f>IF(L1291&lt;&gt;0,'Cost Control'!B179," ")</f>
        <v xml:space="preserve"> </v>
      </c>
      <c r="J1291" s="2149"/>
      <c r="K1291" s="1161">
        <f>IF(L1291&lt;&gt;0,'Cost Control'!A179,0)</f>
        <v>0</v>
      </c>
      <c r="L1291" s="2151">
        <f>'Cost Control'!H179</f>
        <v>0</v>
      </c>
      <c r="M1291" s="2152"/>
    </row>
    <row r="1292" spans="2:13" s="518" customFormat="1" ht="15.45">
      <c r="B1292" s="652"/>
      <c r="C1292" s="484"/>
      <c r="D1292" s="484"/>
      <c r="E1292" s="484"/>
      <c r="F1292" s="484"/>
      <c r="G1292" s="484"/>
      <c r="H1292" s="484"/>
      <c r="I1292" s="2148" t="str">
        <f>IF(L1292&lt;&gt;0,'Cost Control'!B180," ")</f>
        <v xml:space="preserve"> </v>
      </c>
      <c r="J1292" s="2149"/>
      <c r="K1292" s="1161">
        <f>IF(L1292&lt;&gt;0,'Cost Control'!A180,0)</f>
        <v>0</v>
      </c>
      <c r="L1292" s="2151">
        <f>'Cost Control'!H180</f>
        <v>0</v>
      </c>
      <c r="M1292" s="2152"/>
    </row>
    <row r="1293" spans="2:13" s="518" customFormat="1" ht="15.45">
      <c r="B1293" s="652"/>
      <c r="C1293" s="484"/>
      <c r="D1293" s="484"/>
      <c r="E1293" s="484"/>
      <c r="F1293" s="484"/>
      <c r="G1293" s="484"/>
      <c r="H1293" s="484"/>
      <c r="I1293" s="2148" t="str">
        <f>IF(L1293&lt;&gt;0,'Cost Control'!B181," ")</f>
        <v xml:space="preserve"> </v>
      </c>
      <c r="J1293" s="2149"/>
      <c r="K1293" s="1161">
        <f>IF(L1293&lt;&gt;0,'Cost Control'!A181,0)</f>
        <v>0</v>
      </c>
      <c r="L1293" s="2151">
        <f>'Cost Control'!H181</f>
        <v>0</v>
      </c>
      <c r="M1293" s="2152"/>
    </row>
    <row r="1294" spans="2:13" s="518" customFormat="1" ht="15.45">
      <c r="B1294" s="652"/>
      <c r="C1294" s="484"/>
      <c r="D1294" s="484"/>
      <c r="E1294" s="484"/>
      <c r="F1294" s="484"/>
      <c r="G1294" s="484"/>
      <c r="H1294" s="484"/>
      <c r="I1294" s="2148" t="str">
        <f>IF(L1294&lt;&gt;0,'Cost Control'!B182," ")</f>
        <v xml:space="preserve"> </v>
      </c>
      <c r="J1294" s="2149"/>
      <c r="K1294" s="1161">
        <f>IF(L1294&lt;&gt;0,'Cost Control'!A182,0)</f>
        <v>0</v>
      </c>
      <c r="L1294" s="2151">
        <f>'Cost Control'!H182</f>
        <v>0</v>
      </c>
      <c r="M1294" s="2152"/>
    </row>
    <row r="1295" spans="2:13" s="518" customFormat="1" ht="15.45">
      <c r="B1295" s="652"/>
      <c r="C1295" s="484"/>
      <c r="D1295" s="484"/>
      <c r="E1295" s="484"/>
      <c r="F1295" s="484"/>
      <c r="G1295" s="484"/>
      <c r="H1295" s="484"/>
      <c r="I1295" s="2148" t="str">
        <f>IF(L1295&lt;&gt;0,'Cost Control'!B183," ")</f>
        <v xml:space="preserve"> </v>
      </c>
      <c r="J1295" s="2149"/>
      <c r="K1295" s="1161">
        <f>IF(L1295&lt;&gt;0,'Cost Control'!A183,0)</f>
        <v>0</v>
      </c>
      <c r="L1295" s="2151">
        <f>'Cost Control'!H183</f>
        <v>0</v>
      </c>
      <c r="M1295" s="2152"/>
    </row>
    <row r="1296" spans="2:13" s="518" customFormat="1" ht="15.45">
      <c r="B1296" s="652"/>
      <c r="C1296" s="484"/>
      <c r="D1296" s="484"/>
      <c r="E1296" s="484"/>
      <c r="F1296" s="484"/>
      <c r="G1296" s="484"/>
      <c r="H1296" s="484"/>
      <c r="I1296" s="2148" t="str">
        <f>IF(L1296&lt;&gt;0,'Cost Control'!B184," ")</f>
        <v xml:space="preserve"> </v>
      </c>
      <c r="J1296" s="2149"/>
      <c r="K1296" s="1161">
        <f>IF(L1296&lt;&gt;0,'Cost Control'!A184,0)</f>
        <v>0</v>
      </c>
      <c r="L1296" s="2151">
        <f>'Cost Control'!H184</f>
        <v>0</v>
      </c>
      <c r="M1296" s="2152"/>
    </row>
    <row r="1297" spans="2:13" s="518" customFormat="1" ht="15.45">
      <c r="B1297" s="652"/>
      <c r="C1297" s="484"/>
      <c r="D1297" s="484"/>
      <c r="E1297" s="484"/>
      <c r="F1297" s="484"/>
      <c r="G1297" s="484"/>
      <c r="H1297" s="484"/>
      <c r="I1297" s="2148" t="str">
        <f>IF(L1297&lt;&gt;0,'Cost Control'!B185," ")</f>
        <v xml:space="preserve"> </v>
      </c>
      <c r="J1297" s="2149"/>
      <c r="K1297" s="1161">
        <f>IF(L1297&lt;&gt;0,'Cost Control'!A185,0)</f>
        <v>0</v>
      </c>
      <c r="L1297" s="2151">
        <f>'Cost Control'!H185</f>
        <v>0</v>
      </c>
      <c r="M1297" s="2152"/>
    </row>
    <row r="1298" spans="2:13" s="518" customFormat="1" ht="15.45">
      <c r="B1298" s="652"/>
      <c r="C1298" s="484"/>
      <c r="D1298" s="484"/>
      <c r="E1298" s="484"/>
      <c r="F1298" s="484"/>
      <c r="G1298" s="484"/>
      <c r="H1298" s="484"/>
      <c r="I1298" s="2148" t="str">
        <f>IF(L1298&lt;&gt;0,'Cost Control'!B186," ")</f>
        <v xml:space="preserve"> </v>
      </c>
      <c r="J1298" s="2149"/>
      <c r="K1298" s="1161">
        <f>IF(L1298&lt;&gt;0,'Cost Control'!A186,0)</f>
        <v>0</v>
      </c>
      <c r="L1298" s="2151">
        <f>'Cost Control'!H186</f>
        <v>0</v>
      </c>
      <c r="M1298" s="2152"/>
    </row>
    <row r="1299" spans="2:13" s="518" customFormat="1" ht="15.45">
      <c r="B1299" s="652"/>
      <c r="C1299" s="484"/>
      <c r="D1299" s="484"/>
      <c r="E1299" s="484"/>
      <c r="F1299" s="484"/>
      <c r="G1299" s="484"/>
      <c r="H1299" s="484"/>
      <c r="I1299" s="2148" t="str">
        <f>IF(L1299&lt;&gt;0,'Cost Control'!B187," ")</f>
        <v xml:space="preserve"> </v>
      </c>
      <c r="J1299" s="2149"/>
      <c r="K1299" s="1161">
        <f>IF(L1299&lt;&gt;0,'Cost Control'!A187,0)</f>
        <v>0</v>
      </c>
      <c r="L1299" s="2151">
        <f>'Cost Control'!H187</f>
        <v>0</v>
      </c>
      <c r="M1299" s="2152"/>
    </row>
    <row r="1300" spans="2:13" s="518" customFormat="1" ht="15.45">
      <c r="B1300" s="652"/>
      <c r="C1300" s="484"/>
      <c r="D1300" s="484"/>
      <c r="E1300" s="484"/>
      <c r="F1300" s="484"/>
      <c r="G1300" s="484"/>
      <c r="H1300" s="484"/>
      <c r="I1300" s="2148" t="str">
        <f>IF(L1300&lt;&gt;0,'Cost Control'!B188," ")</f>
        <v xml:space="preserve"> </v>
      </c>
      <c r="J1300" s="2149"/>
      <c r="K1300" s="1161">
        <f>IF(L1300&lt;&gt;0,'Cost Control'!A188,0)</f>
        <v>0</v>
      </c>
      <c r="L1300" s="2151">
        <f>'Cost Control'!H188</f>
        <v>0</v>
      </c>
      <c r="M1300" s="2152"/>
    </row>
    <row r="1301" spans="2:13" s="518" customFormat="1" ht="15.45">
      <c r="B1301" s="652"/>
      <c r="C1301" s="484"/>
      <c r="D1301" s="484"/>
      <c r="E1301" s="484"/>
      <c r="F1301" s="484"/>
      <c r="G1301" s="484"/>
      <c r="H1301" s="484"/>
      <c r="I1301" s="2148" t="str">
        <f>IF(L1301&lt;&gt;0,'Cost Control'!B189," ")</f>
        <v xml:space="preserve"> </v>
      </c>
      <c r="J1301" s="2149"/>
      <c r="K1301" s="1161">
        <f>IF(L1301&lt;&gt;0,'Cost Control'!A189,0)</f>
        <v>0</v>
      </c>
      <c r="L1301" s="2151">
        <f>'Cost Control'!H189</f>
        <v>0</v>
      </c>
      <c r="M1301" s="2152"/>
    </row>
    <row r="1302" spans="2:13" s="518" customFormat="1" ht="15.45">
      <c r="B1302" s="652"/>
      <c r="C1302" s="484"/>
      <c r="D1302" s="484"/>
      <c r="E1302" s="484"/>
      <c r="F1302" s="484"/>
      <c r="G1302" s="484"/>
      <c r="H1302" s="484"/>
      <c r="I1302" s="2148" t="str">
        <f>IF(L1302&lt;&gt;0,'Cost Control'!B190," ")</f>
        <v xml:space="preserve"> </v>
      </c>
      <c r="J1302" s="2149"/>
      <c r="K1302" s="1161">
        <f>IF(L1302&lt;&gt;0,'Cost Control'!A190,0)</f>
        <v>0</v>
      </c>
      <c r="L1302" s="2151">
        <f>'Cost Control'!H190</f>
        <v>0</v>
      </c>
      <c r="M1302" s="2152"/>
    </row>
    <row r="1303" spans="2:13" s="518" customFormat="1" ht="15.45">
      <c r="B1303" s="652"/>
      <c r="C1303" s="484"/>
      <c r="D1303" s="484"/>
      <c r="E1303" s="484"/>
      <c r="F1303" s="484"/>
      <c r="G1303" s="484"/>
      <c r="H1303" s="484"/>
      <c r="I1303" s="2148" t="str">
        <f>IF(L1303&lt;&gt;0,'Cost Control'!B191," ")</f>
        <v xml:space="preserve"> </v>
      </c>
      <c r="J1303" s="2149"/>
      <c r="K1303" s="1161">
        <f>IF(L1303&lt;&gt;0,'Cost Control'!A191,0)</f>
        <v>0</v>
      </c>
      <c r="L1303" s="2151">
        <f>'Cost Control'!H191</f>
        <v>0</v>
      </c>
      <c r="M1303" s="2152"/>
    </row>
    <row r="1304" spans="2:13" s="518" customFormat="1" ht="15.45">
      <c r="B1304" s="652"/>
      <c r="C1304" s="484"/>
      <c r="D1304" s="484"/>
      <c r="E1304" s="484"/>
      <c r="F1304" s="484"/>
      <c r="G1304" s="484"/>
      <c r="H1304" s="484"/>
      <c r="I1304" s="2148" t="str">
        <f>IF(L1304&lt;&gt;0,'Cost Control'!B192," ")</f>
        <v xml:space="preserve"> </v>
      </c>
      <c r="J1304" s="2149"/>
      <c r="K1304" s="1161">
        <f>IF(L1304&lt;&gt;0,'Cost Control'!A192,0)</f>
        <v>0</v>
      </c>
      <c r="L1304" s="2151">
        <f>'Cost Control'!H192</f>
        <v>0</v>
      </c>
      <c r="M1304" s="2152"/>
    </row>
    <row r="1305" spans="2:13" s="518" customFormat="1" ht="15.45">
      <c r="B1305" s="652"/>
      <c r="C1305" s="484"/>
      <c r="D1305" s="484"/>
      <c r="E1305" s="484"/>
      <c r="F1305" s="484"/>
      <c r="G1305" s="484"/>
      <c r="H1305" s="484"/>
      <c r="I1305" s="2148" t="str">
        <f>IF(L1305&lt;&gt;0,'Cost Control'!B193," ")</f>
        <v xml:space="preserve"> </v>
      </c>
      <c r="J1305" s="2149"/>
      <c r="K1305" s="1161">
        <f>IF(L1305&lt;&gt;0,'Cost Control'!A193,0)</f>
        <v>0</v>
      </c>
      <c r="L1305" s="2151">
        <f>'Cost Control'!H193</f>
        <v>0</v>
      </c>
      <c r="M1305" s="2152"/>
    </row>
    <row r="1306" spans="2:13" s="518" customFormat="1" ht="15.45">
      <c r="B1306" s="652"/>
      <c r="C1306" s="484"/>
      <c r="D1306" s="484"/>
      <c r="E1306" s="484"/>
      <c r="F1306" s="484"/>
      <c r="G1306" s="484"/>
      <c r="H1306" s="484"/>
      <c r="I1306" s="2148" t="str">
        <f>IF(L1306&lt;&gt;0,'Cost Control'!B194," ")</f>
        <v xml:space="preserve"> </v>
      </c>
      <c r="J1306" s="2149"/>
      <c r="K1306" s="1161">
        <f>IF(L1306&lt;&gt;0,'Cost Control'!A194,0)</f>
        <v>0</v>
      </c>
      <c r="L1306" s="2151">
        <f>'Cost Control'!H194</f>
        <v>0</v>
      </c>
      <c r="M1306" s="2152"/>
    </row>
    <row r="1307" spans="2:13" s="518" customFormat="1" ht="16.100000000000001" thickBot="1">
      <c r="B1307" s="652"/>
      <c r="C1307" s="484"/>
      <c r="D1307" s="484"/>
      <c r="E1307" s="484"/>
      <c r="F1307" s="484"/>
      <c r="G1307" s="484"/>
      <c r="H1307" s="484"/>
      <c r="I1307" s="2148" t="str">
        <f>IF(L1307&lt;&gt;0,'Cost Control'!B195," ")</f>
        <v xml:space="preserve"> </v>
      </c>
      <c r="J1307" s="2149"/>
      <c r="K1307" s="1161">
        <f>IF(L1307&lt;&gt;0,'Cost Control'!A195,0)</f>
        <v>0</v>
      </c>
      <c r="L1307" s="2151">
        <f>'Cost Control'!H195</f>
        <v>0</v>
      </c>
      <c r="M1307" s="2152"/>
    </row>
    <row r="1308" spans="2:13" ht="13.1">
      <c r="B1308" s="141" t="s">
        <v>695</v>
      </c>
      <c r="C1308" s="50"/>
      <c r="D1308" s="50"/>
      <c r="E1308" s="2150">
        <f>K1324</f>
        <v>24</v>
      </c>
      <c r="F1308" s="2150"/>
      <c r="G1308" s="50"/>
      <c r="H1308" s="50"/>
      <c r="I1308" s="50"/>
      <c r="J1308" s="50"/>
      <c r="K1308" s="50"/>
      <c r="L1308" s="50"/>
      <c r="M1308" s="43"/>
    </row>
    <row r="1309" spans="2:13">
      <c r="B1309" s="1628"/>
      <c r="C1309" s="1629"/>
      <c r="D1309" s="1629"/>
      <c r="E1309" s="1629"/>
      <c r="F1309" s="1629"/>
      <c r="G1309" s="1629"/>
      <c r="H1309" s="1629"/>
      <c r="I1309" s="1629"/>
      <c r="J1309" s="1629"/>
      <c r="K1309" s="1629"/>
      <c r="L1309" s="1629"/>
      <c r="M1309" s="1630"/>
    </row>
    <row r="1310" spans="2:13" ht="13.5" thickBot="1">
      <c r="B1310" s="1480"/>
      <c r="C1310" s="1479"/>
      <c r="D1310" s="1479"/>
      <c r="E1310" s="1479"/>
      <c r="F1310" s="1479"/>
      <c r="G1310" s="1479"/>
      <c r="H1310" s="1631"/>
      <c r="I1310" s="1631"/>
      <c r="J1310" s="1631"/>
      <c r="K1310" s="1631"/>
      <c r="L1310" s="1631"/>
      <c r="M1310" s="1555"/>
    </row>
    <row r="1311" spans="2:13" ht="15.45">
      <c r="B1311" s="307" t="s">
        <v>645</v>
      </c>
      <c r="C1311" s="308"/>
      <c r="D1311" s="2135">
        <f>D1256</f>
        <v>0</v>
      </c>
      <c r="E1311" s="2135"/>
      <c r="F1311" s="309" t="s">
        <v>647</v>
      </c>
      <c r="G1311" s="310">
        <f>G1256</f>
        <v>0</v>
      </c>
      <c r="H1311" s="172" t="s">
        <v>648</v>
      </c>
      <c r="I1311" s="472">
        <v>0</v>
      </c>
      <c r="J1311" s="2173" t="s">
        <v>650</v>
      </c>
      <c r="K1311" s="2173"/>
      <c r="L1311" s="1378"/>
      <c r="M1311" s="486" t="str">
        <f>M1256</f>
        <v>° F</v>
      </c>
    </row>
    <row r="1312" spans="2:13">
      <c r="B1312" s="44" t="s">
        <v>644</v>
      </c>
      <c r="E1312" t="s">
        <v>655</v>
      </c>
      <c r="G1312">
        <f>IF('Daily Load'!P434="Yes",Operations!D1273,IF('Daily Load'!V434="Yes",Operations!D1275,Operations!D1276))</f>
        <v>0</v>
      </c>
      <c r="I1312" s="195" t="s">
        <v>651</v>
      </c>
      <c r="L1312" s="2170">
        <f>'Cost Control'!H230</f>
        <v>0</v>
      </c>
      <c r="M1312" s="2171"/>
    </row>
    <row r="1313" spans="2:13">
      <c r="B1313" s="44"/>
      <c r="E1313" s="223" t="s">
        <v>193</v>
      </c>
      <c r="F1313" s="223" t="s">
        <v>194</v>
      </c>
      <c r="G1313" s="223" t="str">
        <f>G1258</f>
        <v>Other</v>
      </c>
      <c r="H1313" s="1627" t="s">
        <v>587</v>
      </c>
      <c r="I1313" s="31" t="s">
        <v>652</v>
      </c>
      <c r="L1313" s="2170">
        <f>L1259</f>
        <v>0</v>
      </c>
      <c r="M1313" s="2171"/>
    </row>
    <row r="1314" spans="2:13" ht="13.5" thickBot="1">
      <c r="B1314" s="44" t="s">
        <v>643</v>
      </c>
      <c r="E1314" s="361">
        <f>IF(E1318&gt;0,E1316-E1318,E1316+E1317+E1315)</f>
        <v>0</v>
      </c>
      <c r="F1314" s="361">
        <f>IF(F1318&gt;0,F1316-F1318,F1316+F1317+F1315)</f>
        <v>0</v>
      </c>
      <c r="G1314" s="361">
        <f>IF(G1318&gt;0,G1316-G1318,G1316+G1317+G1315)</f>
        <v>0</v>
      </c>
      <c r="H1314" t="str">
        <f>H1263</f>
        <v>bbl</v>
      </c>
      <c r="I1314" s="31" t="s">
        <v>653</v>
      </c>
      <c r="L1314" s="2163">
        <f>L1312+L1313</f>
        <v>0</v>
      </c>
      <c r="M1314" s="2164"/>
    </row>
    <row r="1315" spans="2:13" ht="13.5" thickTop="1">
      <c r="B1315" s="311" t="s">
        <v>642</v>
      </c>
      <c r="E1315" s="361">
        <f>IF('Daily Load'!P434="Yes",'Daily Load'!L429,IF('Daily Load'!V434="Yes",'Daily Load'!R429,'Daily Load'!X429))</f>
        <v>0</v>
      </c>
      <c r="F1315" s="361">
        <f>IF('Daily Load'!P434="Yes",'Daily Load'!N429,IF('Daily Load'!V434="Yes",'Daily Load'!T429,'Daily Load'!Z429))</f>
        <v>0</v>
      </c>
      <c r="G1315" s="361">
        <f>IF('Daily Load'!P434="Yes",'Daily Load'!P429,IF('Daily Load'!V434="Yes",'Daily Load'!V429,'Daily Load'!AB429))</f>
        <v>0</v>
      </c>
      <c r="H1315" t="str">
        <f>H1314</f>
        <v>bbl</v>
      </c>
      <c r="I1315" s="31"/>
      <c r="L1315" s="521"/>
      <c r="M1315" s="522"/>
    </row>
    <row r="1316" spans="2:13">
      <c r="B1316" s="44" t="s">
        <v>641</v>
      </c>
      <c r="E1316" s="361">
        <f>IF(G1312=D9,'Daily Load'!F433+E1261,IF(G1312=G1257,'Daily Load'!F433+E1261,'Daily Load'!F433))</f>
        <v>0</v>
      </c>
      <c r="F1316" s="361">
        <f>IF(G1312=D9,'Daily Load'!H433+F1261,IF(G1312=G1257,'Daily Load'!H433+F1261,'Daily Load'!H433))</f>
        <v>0</v>
      </c>
      <c r="G1316" s="361">
        <f>IF(G1312=D9,'Daily Load'!J433+G1261,IF(G1312=G1257,'Daily Load'!J433+G1261,'Daily Load'!J433))</f>
        <v>0</v>
      </c>
      <c r="H1316" t="str">
        <f>H1315</f>
        <v>bbl</v>
      </c>
      <c r="I1316" s="33" t="s">
        <v>654</v>
      </c>
      <c r="J1316" s="19"/>
      <c r="K1316" s="19"/>
      <c r="L1316" s="2165">
        <f>L1261</f>
        <v>0</v>
      </c>
      <c r="M1316" s="2166"/>
    </row>
    <row r="1317" spans="2:13">
      <c r="B1317" s="44" t="s">
        <v>640</v>
      </c>
      <c r="E1317" s="361">
        <f>IF('Daily Load'!P434="Yes",'Daily Load'!L431,IF('Daily Load'!V434="Yes",'Daily Load'!R431,'Daily Load'!X431))</f>
        <v>0</v>
      </c>
      <c r="F1317" s="361">
        <f>IF('Daily Load'!P434="Yes",'Daily Load'!N431,IF('Daily Load'!V434="Yes",'Daily Load'!T431,'Daily Load'!Z431))</f>
        <v>0</v>
      </c>
      <c r="G1317" s="361">
        <f>IF('Daily Load'!P434="Yes",'Daily Load'!P431,IF('Daily Load'!V434="Yes",'Daily Load'!V431,'Daily Load'!AB431))</f>
        <v>0</v>
      </c>
      <c r="H1317" t="str">
        <f>H1316</f>
        <v>bbl</v>
      </c>
      <c r="I1317" s="2160" t="str">
        <f>I1262</f>
        <v xml:space="preserve"> </v>
      </c>
      <c r="J1317" s="2059"/>
      <c r="K1317" s="2161"/>
      <c r="L1317" s="2162" t="str">
        <f>L1262</f>
        <v xml:space="preserve">0 </v>
      </c>
      <c r="M1317" s="2155"/>
    </row>
    <row r="1318" spans="2:13" ht="13.5" thickBot="1">
      <c r="B1318" s="46" t="s">
        <v>639</v>
      </c>
      <c r="C1318" s="21"/>
      <c r="D1318" s="21"/>
      <c r="E1318" s="380">
        <f>IF('Daily Load'!P434="Yes",'Daily Load'!L432,IF('Daily Load'!V434="Yes",'Daily Load'!R432,'Daily Load'!X432))</f>
        <v>0</v>
      </c>
      <c r="F1318" s="380">
        <f>IF('Daily Load'!P434="Yes",'Daily Load'!N432,IF('Daily Load'!V434="Yes",'Daily Load'!T432,'Daily Load'!Z432))</f>
        <v>0</v>
      </c>
      <c r="G1318" s="380">
        <f>IF('Daily Load'!P434="Yes",'Daily Load'!P432,IF('Daily Load'!V434="Yes",'Daily Load'!V432,'Daily Load'!AB432))</f>
        <v>0</v>
      </c>
      <c r="H1318" s="21" t="str">
        <f>H1317</f>
        <v>bbl</v>
      </c>
      <c r="I1318" s="2167" t="s">
        <v>677</v>
      </c>
      <c r="J1318" s="2168"/>
      <c r="K1318" s="2169"/>
      <c r="L1318" s="2167" t="s">
        <v>826</v>
      </c>
      <c r="M1318" s="2172"/>
    </row>
    <row r="1319" spans="2:13">
      <c r="B1319" s="50"/>
      <c r="C1319" s="50"/>
      <c r="D1319" s="50"/>
      <c r="E1319" s="1185"/>
      <c r="F1319" s="1185"/>
      <c r="G1319" s="1185"/>
      <c r="H1319" s="50"/>
      <c r="I1319" s="1186"/>
      <c r="J1319" s="1186"/>
      <c r="K1319" s="1186"/>
      <c r="L1319" s="1186"/>
      <c r="M1319" s="1186"/>
    </row>
    <row r="1320" spans="2:13" ht="13.5" thickBot="1">
      <c r="B1320" s="21"/>
      <c r="C1320" s="21"/>
      <c r="D1320" s="21"/>
      <c r="E1320" s="21"/>
      <c r="F1320" s="21"/>
      <c r="G1320" s="21"/>
      <c r="H1320" s="21"/>
      <c r="I1320" s="21"/>
      <c r="J1320" s="21"/>
      <c r="K1320" s="21"/>
      <c r="L1320" s="21"/>
      <c r="M1320" s="21"/>
    </row>
    <row r="1321" spans="2:13">
      <c r="B1321" s="44"/>
      <c r="M1321" s="45"/>
    </row>
    <row r="1322" spans="2:13">
      <c r="B1322" s="44"/>
      <c r="J1322" s="2143">
        <f>J1267</f>
        <v>0</v>
      </c>
      <c r="K1322" s="2143"/>
      <c r="L1322" s="2143"/>
      <c r="M1322" s="45"/>
    </row>
    <row r="1323" spans="2:13">
      <c r="B1323" s="44"/>
      <c r="M1323" s="45"/>
    </row>
    <row r="1324" spans="2:13" ht="13.1">
      <c r="B1324" s="137" t="s">
        <v>634</v>
      </c>
      <c r="C1324">
        <f>Summary!$C$6</f>
        <v>0</v>
      </c>
      <c r="H1324" s="22" t="s">
        <v>636</v>
      </c>
      <c r="I1324" s="22"/>
      <c r="K1324" s="2158">
        <f>'Cost Control'!I161</f>
        <v>24</v>
      </c>
      <c r="L1324" s="2158"/>
      <c r="M1324" s="2159"/>
    </row>
    <row r="1325" spans="2:13" ht="13.1">
      <c r="B1325" s="44"/>
      <c r="H1325" s="22"/>
      <c r="I1325" s="22"/>
      <c r="M1325" s="45"/>
    </row>
    <row r="1326" spans="2:13" ht="13.1">
      <c r="B1326" s="137" t="s">
        <v>635</v>
      </c>
      <c r="D1326" s="2136">
        <f>D1271</f>
        <v>0</v>
      </c>
      <c r="E1326" s="2136"/>
      <c r="F1326" s="2136"/>
      <c r="G1326" s="2136"/>
      <c r="H1326" s="2136"/>
      <c r="I1326" s="22" t="s">
        <v>637</v>
      </c>
      <c r="J1326" s="3">
        <f>J1271+1</f>
        <v>25</v>
      </c>
      <c r="M1326" s="45"/>
    </row>
    <row r="1327" spans="2:13" ht="13.1">
      <c r="B1327" s="137"/>
      <c r="D1327" s="2136"/>
      <c r="E1327" s="2136"/>
      <c r="F1327" s="2136"/>
      <c r="G1327" s="2136"/>
      <c r="H1327" s="2136"/>
      <c r="I1327" t="s">
        <v>63</v>
      </c>
      <c r="J1327" s="2142">
        <f>J1272</f>
        <v>0</v>
      </c>
      <c r="K1327" s="2143"/>
      <c r="M1327" s="45"/>
    </row>
    <row r="1328" spans="2:13" ht="13.1">
      <c r="B1328" s="137" t="s">
        <v>146</v>
      </c>
      <c r="D1328">
        <f>Summary!$C$32</f>
        <v>0</v>
      </c>
      <c r="F1328" s="1819" t="str">
        <f>F1273</f>
        <v>OPEN HOLE INTERVAL:</v>
      </c>
      <c r="G1328" s="1819"/>
      <c r="H1328" s="2147">
        <f>H1273</f>
        <v>0</v>
      </c>
      <c r="I1328" s="2147"/>
      <c r="J1328" s="2147">
        <f>J1273</f>
        <v>0</v>
      </c>
      <c r="K1328" s="2147"/>
      <c r="L1328" s="2147">
        <f>L1273</f>
        <v>0</v>
      </c>
      <c r="M1328" s="2154"/>
    </row>
    <row r="1329" spans="2:13">
      <c r="B1329" s="44"/>
      <c r="H1329" s="2153"/>
      <c r="I1329" s="2153"/>
      <c r="J1329" s="1145"/>
      <c r="K1329" s="1145"/>
      <c r="L1329" s="1145"/>
      <c r="M1329" s="1146"/>
    </row>
    <row r="1330" spans="2:13" ht="13.1">
      <c r="B1330" s="44"/>
      <c r="D1330">
        <f>Summary!$F$32</f>
        <v>0</v>
      </c>
      <c r="F1330" s="1819" t="str">
        <f>F1275</f>
        <v xml:space="preserve"> </v>
      </c>
      <c r="G1330" s="1819"/>
      <c r="H1330" s="2137">
        <f>H1275</f>
        <v>0</v>
      </c>
      <c r="I1330" s="2137"/>
      <c r="J1330" s="2137">
        <f>J1275</f>
        <v>0</v>
      </c>
      <c r="K1330" s="2137"/>
      <c r="L1330" s="2137">
        <f>L1275</f>
        <v>0</v>
      </c>
      <c r="M1330" s="2155"/>
    </row>
    <row r="1331" spans="2:13" ht="13.1">
      <c r="B1331" s="44"/>
      <c r="D1331">
        <f>D1276</f>
        <v>0</v>
      </c>
      <c r="F1331" s="1819" t="str">
        <f>F1276</f>
        <v xml:space="preserve"> </v>
      </c>
      <c r="G1331" s="1819"/>
      <c r="H1331" s="1737">
        <f>H1276</f>
        <v>0</v>
      </c>
      <c r="I1331" s="1737"/>
      <c r="J1331" s="1737">
        <f>J1276</f>
        <v>0</v>
      </c>
      <c r="K1331" s="1737"/>
      <c r="L1331" s="1737">
        <f>L1276</f>
        <v>0</v>
      </c>
      <c r="M1331" s="1791"/>
    </row>
    <row r="1332" spans="2:13">
      <c r="B1332" s="44"/>
      <c r="M1332" s="45"/>
    </row>
    <row r="1333" spans="2:13" ht="13.75" thickBot="1">
      <c r="B1333" s="46"/>
      <c r="C1333" s="21"/>
      <c r="D1333" s="21"/>
      <c r="E1333" s="1664" t="s">
        <v>638</v>
      </c>
      <c r="F1333" s="1664"/>
      <c r="G1333" s="1664"/>
      <c r="H1333" s="1664"/>
      <c r="I1333" s="1664"/>
      <c r="J1333" s="21"/>
      <c r="K1333" s="21"/>
      <c r="L1333" s="21"/>
      <c r="M1333" s="47"/>
    </row>
    <row r="1334" spans="2:13" s="518" customFormat="1" ht="16.100000000000001" thickBot="1">
      <c r="B1334" s="651"/>
      <c r="C1334" s="484"/>
      <c r="D1334" s="484"/>
      <c r="E1334" s="484"/>
      <c r="F1334" s="484"/>
      <c r="G1334" s="484"/>
      <c r="H1334" s="484"/>
      <c r="I1334" s="2138" t="s">
        <v>61</v>
      </c>
      <c r="J1334" s="2139"/>
      <c r="K1334" s="2139"/>
      <c r="L1334" s="2139"/>
      <c r="M1334" s="2140"/>
    </row>
    <row r="1335" spans="2:13" s="518" customFormat="1" ht="16.100000000000001" thickBot="1">
      <c r="B1335" s="652"/>
      <c r="C1335" s="484"/>
      <c r="D1335" s="484"/>
      <c r="E1335" s="484"/>
      <c r="F1335" s="484"/>
      <c r="G1335" s="484"/>
      <c r="H1335" s="484"/>
      <c r="I1335" s="2141" t="str">
        <f>I1280</f>
        <v>Service</v>
      </c>
      <c r="J1335" s="2141"/>
      <c r="K1335" s="1159" t="s">
        <v>62</v>
      </c>
      <c r="L1335" s="2144" t="s">
        <v>1454</v>
      </c>
      <c r="M1335" s="2144"/>
    </row>
    <row r="1336" spans="2:13" s="518" customFormat="1" ht="16.100000000000001" thickBot="1">
      <c r="B1336" s="652"/>
      <c r="C1336" s="484"/>
      <c r="D1336" s="484"/>
      <c r="E1336" s="484"/>
      <c r="F1336" s="484"/>
      <c r="G1336" s="484"/>
      <c r="H1336" s="484"/>
      <c r="I1336" s="2145" t="s">
        <v>1538</v>
      </c>
      <c r="J1336" s="2146"/>
      <c r="K1336" s="1160">
        <f>IF(L1336&lt;&gt;0," ",0)</f>
        <v>0</v>
      </c>
      <c r="L1336" s="2156">
        <f>SUM('Cost Control'!I163:I172)</f>
        <v>0</v>
      </c>
      <c r="M1336" s="2157"/>
    </row>
    <row r="1337" spans="2:13" s="518" customFormat="1" ht="16.100000000000001" thickBot="1">
      <c r="B1337" s="652"/>
      <c r="C1337" s="484"/>
      <c r="D1337" s="484"/>
      <c r="E1337" s="484"/>
      <c r="F1337" s="484"/>
      <c r="G1337" s="484"/>
      <c r="H1337" s="484"/>
      <c r="I1337" s="2145" t="s">
        <v>1539</v>
      </c>
      <c r="J1337" s="2146"/>
      <c r="K1337" s="1161">
        <f>IF(L1337&lt;&gt;0,'Cost Control'!A209,0)</f>
        <v>0</v>
      </c>
      <c r="L1337" s="2151">
        <f>SUM('Cost Control'!I209:I214)</f>
        <v>0</v>
      </c>
      <c r="M1337" s="2152"/>
    </row>
    <row r="1338" spans="2:13" s="518" customFormat="1" ht="16.100000000000001" thickBot="1">
      <c r="B1338" s="652"/>
      <c r="C1338" s="484"/>
      <c r="D1338" s="484"/>
      <c r="E1338" s="484"/>
      <c r="F1338" s="484"/>
      <c r="G1338" s="484"/>
      <c r="H1338" s="484"/>
      <c r="I1338" s="2145" t="s">
        <v>903</v>
      </c>
      <c r="J1338" s="2146"/>
      <c r="K1338" s="1161">
        <f>IF(L1338&lt;&gt;0,'Cost Control'!A196,0)</f>
        <v>0</v>
      </c>
      <c r="L1338" s="2151">
        <f>SUM('Cost Control'!I196:I207)</f>
        <v>0</v>
      </c>
      <c r="M1338" s="2152"/>
    </row>
    <row r="1339" spans="2:13" s="518" customFormat="1" ht="16.100000000000001" thickBot="1">
      <c r="B1339" s="652"/>
      <c r="C1339" s="484"/>
      <c r="D1339" s="484"/>
      <c r="E1339" s="484"/>
      <c r="F1339" s="484"/>
      <c r="G1339" s="484"/>
      <c r="H1339" s="484"/>
      <c r="I1339" s="2145" t="s">
        <v>1540</v>
      </c>
      <c r="J1339" s="2146"/>
      <c r="K1339" s="1161" t="str">
        <f>IF(L1339&lt;&gt;0,'Cost Control'!A216," ")</f>
        <v xml:space="preserve"> </v>
      </c>
      <c r="L1339" s="2151">
        <f>SUM('Cost Control'!I216:I222)</f>
        <v>0</v>
      </c>
      <c r="M1339" s="2152"/>
    </row>
    <row r="1340" spans="2:13" s="518" customFormat="1" ht="15.45">
      <c r="B1340" s="652"/>
      <c r="C1340" s="484"/>
      <c r="D1340" s="484"/>
      <c r="E1340" s="484"/>
      <c r="F1340" s="484"/>
      <c r="G1340" s="484"/>
      <c r="H1340" s="484"/>
      <c r="I1340" s="2145" t="s">
        <v>1451</v>
      </c>
      <c r="J1340" s="2146"/>
      <c r="K1340" s="1161">
        <f>IF(L1340&lt;&gt;0,'Cost Control'!A224,0)</f>
        <v>0</v>
      </c>
      <c r="L1340" s="2151">
        <f>SUM('Cost Control'!I224:I229)</f>
        <v>0</v>
      </c>
      <c r="M1340" s="2152"/>
    </row>
    <row r="1341" spans="2:13" s="518" customFormat="1" ht="15.45">
      <c r="B1341" s="652"/>
      <c r="C1341" s="484"/>
      <c r="D1341" s="484"/>
      <c r="E1341" s="484"/>
      <c r="F1341" s="484"/>
      <c r="G1341" s="484"/>
      <c r="H1341" s="484"/>
      <c r="I1341" s="2148" t="str">
        <f>IF(L1341&lt;&gt;0,'Cost Control'!B174," ")</f>
        <v xml:space="preserve"> </v>
      </c>
      <c r="J1341" s="2149"/>
      <c r="K1341" s="1161">
        <f>IF(L1341&lt;&gt;0,'Cost Control'!A174,0)</f>
        <v>0</v>
      </c>
      <c r="L1341" s="2151">
        <f>'Cost Control'!I174</f>
        <v>0</v>
      </c>
      <c r="M1341" s="2152"/>
    </row>
    <row r="1342" spans="2:13" s="518" customFormat="1" ht="15.45">
      <c r="B1342" s="652"/>
      <c r="C1342" s="484"/>
      <c r="D1342" s="484"/>
      <c r="E1342" s="484"/>
      <c r="F1342" s="484"/>
      <c r="G1342" s="484"/>
      <c r="H1342" s="484"/>
      <c r="I1342" s="2148" t="str">
        <f>IF(L1342&lt;&gt;0,'Cost Control'!B175," ")</f>
        <v xml:space="preserve"> </v>
      </c>
      <c r="J1342" s="2149"/>
      <c r="K1342" s="1161">
        <f>IF(L1342&lt;&gt;0,'Cost Control'!A175,0)</f>
        <v>0</v>
      </c>
      <c r="L1342" s="2151">
        <f>'Cost Control'!I175</f>
        <v>0</v>
      </c>
      <c r="M1342" s="2152"/>
    </row>
    <row r="1343" spans="2:13" s="518" customFormat="1" ht="15.45">
      <c r="B1343" s="652"/>
      <c r="C1343" s="484"/>
      <c r="D1343" s="484"/>
      <c r="E1343" s="484"/>
      <c r="F1343" s="484"/>
      <c r="G1343" s="484"/>
      <c r="H1343" s="484"/>
      <c r="I1343" s="2148" t="str">
        <f>IF(L1343&lt;&gt;0,'Cost Control'!B176," ")</f>
        <v xml:space="preserve"> </v>
      </c>
      <c r="J1343" s="2149"/>
      <c r="K1343" s="1161">
        <f>IF(L1343&lt;&gt;0,'Cost Control'!A176,0)</f>
        <v>0</v>
      </c>
      <c r="L1343" s="2151">
        <f>'Cost Control'!I176</f>
        <v>0</v>
      </c>
      <c r="M1343" s="2152"/>
    </row>
    <row r="1344" spans="2:13" s="518" customFormat="1" ht="15.45">
      <c r="B1344" s="652"/>
      <c r="C1344" s="484"/>
      <c r="D1344" s="484"/>
      <c r="E1344" s="484"/>
      <c r="F1344" s="484"/>
      <c r="G1344" s="484"/>
      <c r="H1344" s="484"/>
      <c r="I1344" s="2148" t="str">
        <f>IF(L1344&lt;&gt;0,'Cost Control'!B177," ")</f>
        <v xml:space="preserve"> </v>
      </c>
      <c r="J1344" s="2149"/>
      <c r="K1344" s="1161">
        <f>IF(L1344&lt;&gt;0,'Cost Control'!A177,0)</f>
        <v>0</v>
      </c>
      <c r="L1344" s="2151">
        <f>'Cost Control'!I177</f>
        <v>0</v>
      </c>
      <c r="M1344" s="2152"/>
    </row>
    <row r="1345" spans="2:13" s="518" customFormat="1" ht="15.45">
      <c r="B1345" s="652"/>
      <c r="C1345" s="484"/>
      <c r="D1345" s="484"/>
      <c r="E1345" s="484"/>
      <c r="F1345" s="484"/>
      <c r="G1345" s="484"/>
      <c r="H1345" s="484"/>
      <c r="I1345" s="2148" t="str">
        <f>IF(L1345&lt;&gt;0,'Cost Control'!B178," ")</f>
        <v xml:space="preserve"> </v>
      </c>
      <c r="J1345" s="2149"/>
      <c r="K1345" s="1161">
        <f>IF(L1345&lt;&gt;0,'Cost Control'!A178,0)</f>
        <v>0</v>
      </c>
      <c r="L1345" s="2151">
        <f>'Cost Control'!I178</f>
        <v>0</v>
      </c>
      <c r="M1345" s="2152"/>
    </row>
    <row r="1346" spans="2:13" s="518" customFormat="1" ht="15.45">
      <c r="B1346" s="652"/>
      <c r="C1346" s="484"/>
      <c r="D1346" s="484"/>
      <c r="E1346" s="484"/>
      <c r="F1346" s="484"/>
      <c r="G1346" s="484"/>
      <c r="H1346" s="484"/>
      <c r="I1346" s="2148" t="str">
        <f>IF(L1346&lt;&gt;0,'Cost Control'!B179," ")</f>
        <v xml:space="preserve"> </v>
      </c>
      <c r="J1346" s="2149"/>
      <c r="K1346" s="1161">
        <f>IF(L1346&lt;&gt;0,'Cost Control'!A179,0)</f>
        <v>0</v>
      </c>
      <c r="L1346" s="2151">
        <f>'Cost Control'!I179</f>
        <v>0</v>
      </c>
      <c r="M1346" s="2152"/>
    </row>
    <row r="1347" spans="2:13" s="518" customFormat="1" ht="15.45">
      <c r="B1347" s="652"/>
      <c r="C1347" s="484"/>
      <c r="D1347" s="484"/>
      <c r="E1347" s="484"/>
      <c r="F1347" s="484"/>
      <c r="G1347" s="484"/>
      <c r="H1347" s="484"/>
      <c r="I1347" s="2148" t="str">
        <f>IF(L1347&lt;&gt;0,'Cost Control'!B180," ")</f>
        <v xml:space="preserve"> </v>
      </c>
      <c r="J1347" s="2149"/>
      <c r="K1347" s="1161">
        <f>IF(L1347&lt;&gt;0,'Cost Control'!A180,0)</f>
        <v>0</v>
      </c>
      <c r="L1347" s="2151">
        <f>'Cost Control'!I180</f>
        <v>0</v>
      </c>
      <c r="M1347" s="2152"/>
    </row>
    <row r="1348" spans="2:13" s="518" customFormat="1" ht="15.45">
      <c r="B1348" s="652"/>
      <c r="C1348" s="484"/>
      <c r="D1348" s="484"/>
      <c r="E1348" s="484"/>
      <c r="F1348" s="484"/>
      <c r="G1348" s="484"/>
      <c r="H1348" s="484"/>
      <c r="I1348" s="2148" t="str">
        <f>IF(L1348&lt;&gt;0,'Cost Control'!B181," ")</f>
        <v xml:space="preserve"> </v>
      </c>
      <c r="J1348" s="2149"/>
      <c r="K1348" s="1161">
        <f>IF(L1348&lt;&gt;0,'Cost Control'!A181,0)</f>
        <v>0</v>
      </c>
      <c r="L1348" s="2151">
        <f>'Cost Control'!I181</f>
        <v>0</v>
      </c>
      <c r="M1348" s="2152"/>
    </row>
    <row r="1349" spans="2:13" s="518" customFormat="1" ht="15.45">
      <c r="B1349" s="652"/>
      <c r="C1349" s="484"/>
      <c r="D1349" s="484"/>
      <c r="E1349" s="484"/>
      <c r="F1349" s="484"/>
      <c r="G1349" s="484"/>
      <c r="H1349" s="484"/>
      <c r="I1349" s="2148" t="str">
        <f>IF(L1349&lt;&gt;0,'Cost Control'!B182," ")</f>
        <v xml:space="preserve"> </v>
      </c>
      <c r="J1349" s="2149"/>
      <c r="K1349" s="1161">
        <f>IF(L1349&lt;&gt;0,'Cost Control'!A182,0)</f>
        <v>0</v>
      </c>
      <c r="L1349" s="2151">
        <f>'Cost Control'!I182</f>
        <v>0</v>
      </c>
      <c r="M1349" s="2152"/>
    </row>
    <row r="1350" spans="2:13" s="518" customFormat="1" ht="15.45">
      <c r="B1350" s="652"/>
      <c r="C1350" s="484"/>
      <c r="D1350" s="484"/>
      <c r="E1350" s="484"/>
      <c r="F1350" s="484"/>
      <c r="G1350" s="484"/>
      <c r="H1350" s="484"/>
      <c r="I1350" s="2148" t="str">
        <f>IF(L1350&lt;&gt;0,'Cost Control'!B183," ")</f>
        <v xml:space="preserve"> </v>
      </c>
      <c r="J1350" s="2149"/>
      <c r="K1350" s="1161">
        <f>IF(L1350&lt;&gt;0,'Cost Control'!A183,0)</f>
        <v>0</v>
      </c>
      <c r="L1350" s="2151">
        <f>'Cost Control'!I183</f>
        <v>0</v>
      </c>
      <c r="M1350" s="2152"/>
    </row>
    <row r="1351" spans="2:13" s="518" customFormat="1" ht="15.45">
      <c r="B1351" s="652"/>
      <c r="C1351" s="484"/>
      <c r="D1351" s="484"/>
      <c r="E1351" s="484"/>
      <c r="F1351" s="484"/>
      <c r="G1351" s="484"/>
      <c r="H1351" s="484"/>
      <c r="I1351" s="2148" t="str">
        <f>IF(L1351&lt;&gt;0,'Cost Control'!B184," ")</f>
        <v xml:space="preserve"> </v>
      </c>
      <c r="J1351" s="2149"/>
      <c r="K1351" s="1161">
        <f>IF(L1351&lt;&gt;0,'Cost Control'!A184,0)</f>
        <v>0</v>
      </c>
      <c r="L1351" s="2151">
        <f>'Cost Control'!I184</f>
        <v>0</v>
      </c>
      <c r="M1351" s="2152"/>
    </row>
    <row r="1352" spans="2:13" s="518" customFormat="1" ht="15.45">
      <c r="B1352" s="652"/>
      <c r="C1352" s="484"/>
      <c r="D1352" s="484"/>
      <c r="E1352" s="484"/>
      <c r="F1352" s="484"/>
      <c r="G1352" s="484"/>
      <c r="H1352" s="484"/>
      <c r="I1352" s="2148" t="str">
        <f>IF(L1352&lt;&gt;0,'Cost Control'!B185," ")</f>
        <v xml:space="preserve"> </v>
      </c>
      <c r="J1352" s="2149"/>
      <c r="K1352" s="1161">
        <f>IF(L1352&lt;&gt;0,'Cost Control'!A185,0)</f>
        <v>0</v>
      </c>
      <c r="L1352" s="2151">
        <f>'Cost Control'!I185</f>
        <v>0</v>
      </c>
      <c r="M1352" s="2152"/>
    </row>
    <row r="1353" spans="2:13" s="518" customFormat="1" ht="15.45">
      <c r="B1353" s="652"/>
      <c r="C1353" s="484"/>
      <c r="D1353" s="484"/>
      <c r="E1353" s="484"/>
      <c r="F1353" s="484"/>
      <c r="G1353" s="484"/>
      <c r="H1353" s="484"/>
      <c r="I1353" s="2148" t="str">
        <f>IF(L1353&lt;&gt;0,'Cost Control'!B186," ")</f>
        <v xml:space="preserve"> </v>
      </c>
      <c r="J1353" s="2149"/>
      <c r="K1353" s="1161">
        <f>IF(L1353&lt;&gt;0,'Cost Control'!A186,0)</f>
        <v>0</v>
      </c>
      <c r="L1353" s="2151">
        <f>'Cost Control'!I186</f>
        <v>0</v>
      </c>
      <c r="M1353" s="2152"/>
    </row>
    <row r="1354" spans="2:13" s="518" customFormat="1" ht="15.45">
      <c r="B1354" s="652"/>
      <c r="C1354" s="484"/>
      <c r="D1354" s="484"/>
      <c r="E1354" s="484"/>
      <c r="F1354" s="484"/>
      <c r="G1354" s="484"/>
      <c r="H1354" s="484"/>
      <c r="I1354" s="2148" t="str">
        <f>IF(L1354&lt;&gt;0,'Cost Control'!B187," ")</f>
        <v xml:space="preserve"> </v>
      </c>
      <c r="J1354" s="2149"/>
      <c r="K1354" s="1161">
        <f>IF(L1354&lt;&gt;0,'Cost Control'!A187,0)</f>
        <v>0</v>
      </c>
      <c r="L1354" s="2151">
        <f>'Cost Control'!I187</f>
        <v>0</v>
      </c>
      <c r="M1354" s="2152"/>
    </row>
    <row r="1355" spans="2:13" s="518" customFormat="1" ht="15.45">
      <c r="B1355" s="652"/>
      <c r="C1355" s="484"/>
      <c r="D1355" s="484"/>
      <c r="E1355" s="484"/>
      <c r="F1355" s="484"/>
      <c r="G1355" s="484"/>
      <c r="H1355" s="484"/>
      <c r="I1355" s="2148" t="str">
        <f>IF(L1355&lt;&gt;0,'Cost Control'!B188," ")</f>
        <v xml:space="preserve"> </v>
      </c>
      <c r="J1355" s="2149"/>
      <c r="K1355" s="1161">
        <f>IF(L1355&lt;&gt;0,'Cost Control'!A188,0)</f>
        <v>0</v>
      </c>
      <c r="L1355" s="2151">
        <f>'Cost Control'!I188</f>
        <v>0</v>
      </c>
      <c r="M1355" s="2152"/>
    </row>
    <row r="1356" spans="2:13" s="518" customFormat="1" ht="15.45">
      <c r="B1356" s="652"/>
      <c r="C1356" s="484"/>
      <c r="D1356" s="484"/>
      <c r="E1356" s="484"/>
      <c r="F1356" s="484"/>
      <c r="G1356" s="484"/>
      <c r="H1356" s="484"/>
      <c r="I1356" s="2148" t="str">
        <f>IF(L1356&lt;&gt;0,'Cost Control'!B189," ")</f>
        <v xml:space="preserve"> </v>
      </c>
      <c r="J1356" s="2149"/>
      <c r="K1356" s="1161">
        <f>IF(L1356&lt;&gt;0,'Cost Control'!A189,0)</f>
        <v>0</v>
      </c>
      <c r="L1356" s="2151">
        <f>'Cost Control'!I189</f>
        <v>0</v>
      </c>
      <c r="M1356" s="2152"/>
    </row>
    <row r="1357" spans="2:13" s="518" customFormat="1" ht="15.45">
      <c r="B1357" s="652"/>
      <c r="C1357" s="484"/>
      <c r="D1357" s="484"/>
      <c r="E1357" s="484"/>
      <c r="F1357" s="484"/>
      <c r="G1357" s="484"/>
      <c r="H1357" s="484"/>
      <c r="I1357" s="2148" t="str">
        <f>IF(L1357&lt;&gt;0,'Cost Control'!B190," ")</f>
        <v xml:space="preserve"> </v>
      </c>
      <c r="J1357" s="2149"/>
      <c r="K1357" s="1161">
        <f>IF(L1357&lt;&gt;0,'Cost Control'!A190,0)</f>
        <v>0</v>
      </c>
      <c r="L1357" s="2151">
        <f>'Cost Control'!I190</f>
        <v>0</v>
      </c>
      <c r="M1357" s="2152"/>
    </row>
    <row r="1358" spans="2:13" s="518" customFormat="1" ht="15.45">
      <c r="B1358" s="652"/>
      <c r="C1358" s="484"/>
      <c r="D1358" s="484"/>
      <c r="E1358" s="484"/>
      <c r="F1358" s="484"/>
      <c r="G1358" s="484"/>
      <c r="H1358" s="484"/>
      <c r="I1358" s="2148" t="str">
        <f>IF(L1358&lt;&gt;0,'Cost Control'!B191," ")</f>
        <v xml:space="preserve"> </v>
      </c>
      <c r="J1358" s="2149"/>
      <c r="K1358" s="1161">
        <f>IF(L1358&lt;&gt;0,'Cost Control'!A191,0)</f>
        <v>0</v>
      </c>
      <c r="L1358" s="2151">
        <f>'Cost Control'!I191</f>
        <v>0</v>
      </c>
      <c r="M1358" s="2152"/>
    </row>
    <row r="1359" spans="2:13" s="518" customFormat="1" ht="15.45">
      <c r="B1359" s="652"/>
      <c r="C1359" s="484"/>
      <c r="D1359" s="484"/>
      <c r="E1359" s="484"/>
      <c r="F1359" s="484"/>
      <c r="G1359" s="484"/>
      <c r="H1359" s="484"/>
      <c r="I1359" s="2148" t="str">
        <f>IF(L1359&lt;&gt;0,'Cost Control'!B192," ")</f>
        <v xml:space="preserve"> </v>
      </c>
      <c r="J1359" s="2149"/>
      <c r="K1359" s="1161">
        <f>IF(L1359&lt;&gt;0,'Cost Control'!A192,0)</f>
        <v>0</v>
      </c>
      <c r="L1359" s="2151">
        <f>'Cost Control'!I192</f>
        <v>0</v>
      </c>
      <c r="M1359" s="2152"/>
    </row>
    <row r="1360" spans="2:13" s="518" customFormat="1" ht="15.45">
      <c r="B1360" s="652"/>
      <c r="C1360" s="484"/>
      <c r="D1360" s="484"/>
      <c r="E1360" s="484"/>
      <c r="F1360" s="484"/>
      <c r="G1360" s="484"/>
      <c r="H1360" s="484"/>
      <c r="I1360" s="2148" t="str">
        <f>IF(L1360&lt;&gt;0,'Cost Control'!B193," ")</f>
        <v xml:space="preserve"> </v>
      </c>
      <c r="J1360" s="2149"/>
      <c r="K1360" s="1161">
        <f>IF(L1360&lt;&gt;0,'Cost Control'!A193,0)</f>
        <v>0</v>
      </c>
      <c r="L1360" s="2151">
        <f>'Cost Control'!I193</f>
        <v>0</v>
      </c>
      <c r="M1360" s="2152"/>
    </row>
    <row r="1361" spans="2:13" s="518" customFormat="1" ht="15.45">
      <c r="B1361" s="652"/>
      <c r="C1361" s="484"/>
      <c r="D1361" s="484"/>
      <c r="E1361" s="484"/>
      <c r="F1361" s="484"/>
      <c r="G1361" s="484"/>
      <c r="H1361" s="484"/>
      <c r="I1361" s="2148" t="str">
        <f>IF(L1361&lt;&gt;0,'Cost Control'!B194," ")</f>
        <v xml:space="preserve"> </v>
      </c>
      <c r="J1361" s="2149"/>
      <c r="K1361" s="1161">
        <f>IF(L1361&lt;&gt;0,'Cost Control'!A194,0)</f>
        <v>0</v>
      </c>
      <c r="L1361" s="2151">
        <f>'Cost Control'!I194</f>
        <v>0</v>
      </c>
      <c r="M1361" s="2152"/>
    </row>
    <row r="1362" spans="2:13" s="518" customFormat="1" ht="16.100000000000001" thickBot="1">
      <c r="B1362" s="652"/>
      <c r="C1362" s="484"/>
      <c r="D1362" s="484"/>
      <c r="E1362" s="484"/>
      <c r="F1362" s="484"/>
      <c r="G1362" s="484"/>
      <c r="H1362" s="484"/>
      <c r="I1362" s="2148" t="str">
        <f>IF(L1362&lt;&gt;0,'Cost Control'!B195," ")</f>
        <v xml:space="preserve"> </v>
      </c>
      <c r="J1362" s="2149"/>
      <c r="K1362" s="1161">
        <f>IF(L1362&lt;&gt;0,'Cost Control'!A195,0)</f>
        <v>0</v>
      </c>
      <c r="L1362" s="2151">
        <f>'Cost Control'!I195</f>
        <v>0</v>
      </c>
      <c r="M1362" s="2152"/>
    </row>
    <row r="1363" spans="2:13" ht="13.1">
      <c r="B1363" s="141" t="s">
        <v>695</v>
      </c>
      <c r="C1363" s="50"/>
      <c r="D1363" s="50"/>
      <c r="E1363" s="2150">
        <f>K1379</f>
        <v>25</v>
      </c>
      <c r="F1363" s="2150"/>
      <c r="G1363" s="50"/>
      <c r="H1363" s="50"/>
      <c r="I1363" s="50"/>
      <c r="J1363" s="50"/>
      <c r="K1363" s="50"/>
      <c r="L1363" s="50"/>
      <c r="M1363" s="43"/>
    </row>
    <row r="1364" spans="2:13">
      <c r="B1364" s="1628"/>
      <c r="C1364" s="1629"/>
      <c r="D1364" s="1629"/>
      <c r="E1364" s="1629"/>
      <c r="F1364" s="1629"/>
      <c r="G1364" s="1629"/>
      <c r="H1364" s="1629"/>
      <c r="I1364" s="1629"/>
      <c r="J1364" s="1629"/>
      <c r="K1364" s="1629"/>
      <c r="L1364" s="1629"/>
      <c r="M1364" s="1630"/>
    </row>
    <row r="1365" spans="2:13" ht="13.5" thickBot="1">
      <c r="B1365" s="1480"/>
      <c r="C1365" s="1479"/>
      <c r="D1365" s="1479"/>
      <c r="E1365" s="1479"/>
      <c r="F1365" s="1479"/>
      <c r="G1365" s="1479"/>
      <c r="H1365" s="1631"/>
      <c r="I1365" s="1631"/>
      <c r="J1365" s="1631"/>
      <c r="K1365" s="1631"/>
      <c r="L1365" s="1631"/>
      <c r="M1365" s="1555"/>
    </row>
    <row r="1366" spans="2:13" ht="15.45">
      <c r="B1366" s="307" t="s">
        <v>645</v>
      </c>
      <c r="C1366" s="308"/>
      <c r="D1366" s="2135">
        <f>D1311</f>
        <v>0</v>
      </c>
      <c r="E1366" s="2135"/>
      <c r="F1366" s="309" t="s">
        <v>647</v>
      </c>
      <c r="G1366" s="310">
        <f>G1311</f>
        <v>0</v>
      </c>
      <c r="H1366" s="172" t="s">
        <v>648</v>
      </c>
      <c r="I1366" s="472">
        <v>0</v>
      </c>
      <c r="J1366" s="2173" t="s">
        <v>650</v>
      </c>
      <c r="K1366" s="2173"/>
      <c r="L1366" s="1378"/>
      <c r="M1366" s="486" t="str">
        <f>M1311</f>
        <v>° F</v>
      </c>
    </row>
    <row r="1367" spans="2:13">
      <c r="B1367" s="44" t="s">
        <v>644</v>
      </c>
      <c r="E1367" t="s">
        <v>655</v>
      </c>
      <c r="G1367">
        <f>IF('Daily Load'!P452="Yes",Operations!D1328,IF('Daily Load'!V452="Yes",Operations!D1330,Operations!D1331))</f>
        <v>0</v>
      </c>
      <c r="I1367" s="195" t="s">
        <v>651</v>
      </c>
      <c r="L1367" s="2170">
        <f>'Cost Control'!I230</f>
        <v>0</v>
      </c>
      <c r="M1367" s="2171"/>
    </row>
    <row r="1368" spans="2:13">
      <c r="B1368" s="44"/>
      <c r="E1368" s="223" t="s">
        <v>193</v>
      </c>
      <c r="F1368" s="223" t="s">
        <v>194</v>
      </c>
      <c r="G1368" s="223" t="str">
        <f>G1313</f>
        <v>Other</v>
      </c>
      <c r="H1368" s="1627" t="s">
        <v>587</v>
      </c>
      <c r="I1368" s="31" t="s">
        <v>652</v>
      </c>
      <c r="L1368" s="2170">
        <f>L1314</f>
        <v>0</v>
      </c>
      <c r="M1368" s="2171"/>
    </row>
    <row r="1369" spans="2:13" ht="13.5" thickBot="1">
      <c r="B1369" s="44" t="s">
        <v>643</v>
      </c>
      <c r="E1369" s="361">
        <f>IF(E1373&gt;0,E1371-E1373,E1371+E1372+E1370)</f>
        <v>0</v>
      </c>
      <c r="F1369" s="361">
        <f>IF(F1373&gt;0,F1371-F1373,F1371+F1372+F1370)</f>
        <v>0</v>
      </c>
      <c r="G1369" s="361">
        <f>IF(G1373&gt;0,G1371-G1373,G1371+G1372+G1370)</f>
        <v>0</v>
      </c>
      <c r="H1369" t="str">
        <f>H1318</f>
        <v>bbl</v>
      </c>
      <c r="I1369" s="31" t="s">
        <v>653</v>
      </c>
      <c r="L1369" s="2163">
        <f>L1367+L1368</f>
        <v>0</v>
      </c>
      <c r="M1369" s="2164"/>
    </row>
    <row r="1370" spans="2:13" ht="13.5" thickTop="1">
      <c r="B1370" s="311" t="s">
        <v>642</v>
      </c>
      <c r="E1370" s="361">
        <f>IF('Daily Load'!P452="Yes",'Daily Load'!L447,IF('Daily Load'!V452="Yes",'Daily Load'!R447,'Daily Load'!X447))</f>
        <v>0</v>
      </c>
      <c r="F1370" s="361">
        <f>IF('Daily Load'!P452="Yes",'Daily Load'!N447,IF('Daily Load'!V452="Yes",'Daily Load'!T447,'Daily Load'!Z447))</f>
        <v>0</v>
      </c>
      <c r="G1370" s="361">
        <f>IF('Daily Load'!P452="Yes",'Daily Load'!P447,IF('Daily Load'!V452="Yes",'Daily Load'!V447,'Daily Load'!AB447))</f>
        <v>0</v>
      </c>
      <c r="H1370" t="str">
        <f>H1369</f>
        <v>bbl</v>
      </c>
      <c r="I1370" s="31"/>
      <c r="L1370" s="521"/>
      <c r="M1370" s="522"/>
    </row>
    <row r="1371" spans="2:13">
      <c r="B1371" s="44" t="s">
        <v>641</v>
      </c>
      <c r="E1371" s="361">
        <f>IF(G1367=D9,'Daily Load'!F451+E1316,IF(G1367=G1312,'Daily Load'!F451+E1316,'Daily Load'!F451))</f>
        <v>0</v>
      </c>
      <c r="F1371" s="361">
        <f>IF(G1367=D9,'Daily Load'!H451+F1316,IF(G1367=G1312,'Daily Load'!H451+F1316,'Daily Load'!H451))</f>
        <v>0</v>
      </c>
      <c r="G1371" s="361">
        <f>IF(G1367=D9,'Daily Load'!J451+G1316,IF(G1367=G1312,'Daily Load'!J451+G1316,'Daily Load'!J451))</f>
        <v>0</v>
      </c>
      <c r="H1371" t="str">
        <f>H1370</f>
        <v>bbl</v>
      </c>
      <c r="I1371" s="33" t="s">
        <v>654</v>
      </c>
      <c r="J1371" s="19"/>
      <c r="K1371" s="19"/>
      <c r="L1371" s="2165">
        <f>L1316</f>
        <v>0</v>
      </c>
      <c r="M1371" s="2166"/>
    </row>
    <row r="1372" spans="2:13">
      <c r="B1372" s="44" t="s">
        <v>640</v>
      </c>
      <c r="E1372" s="361">
        <f>IF('Daily Load'!P452="Yes",'Daily Load'!L449,IF('Daily Load'!V452="Yes",'Daily Load'!R449,'Daily Load'!X449))</f>
        <v>0</v>
      </c>
      <c r="F1372" s="361">
        <f>IF('Daily Load'!P452="Yes",'Daily Load'!N449,IF('Daily Load'!V452="Yes",'Daily Load'!T449,'Daily Load'!Z449))</f>
        <v>0</v>
      </c>
      <c r="G1372" s="361">
        <f>IF('Daily Load'!P452="Yes",'Daily Load'!P449,IF('Daily Load'!V452="Yes",'Daily Load'!V449,'Daily Load'!AB449))</f>
        <v>0</v>
      </c>
      <c r="H1372" t="str">
        <f>H1371</f>
        <v>bbl</v>
      </c>
      <c r="I1372" s="2160" t="str">
        <f>I1317</f>
        <v xml:space="preserve"> </v>
      </c>
      <c r="J1372" s="2059"/>
      <c r="K1372" s="2161"/>
      <c r="L1372" s="2162" t="str">
        <f>L1317</f>
        <v xml:space="preserve">0 </v>
      </c>
      <c r="M1372" s="2155"/>
    </row>
    <row r="1373" spans="2:13" ht="13.5" thickBot="1">
      <c r="B1373" s="46" t="s">
        <v>639</v>
      </c>
      <c r="C1373" s="21"/>
      <c r="D1373" s="21"/>
      <c r="E1373" s="380">
        <f>IF('Daily Load'!P452="Yes",'Daily Load'!L450,IF('Daily Load'!V452="Yes",'Daily Load'!R450,'Daily Load'!X450))</f>
        <v>0</v>
      </c>
      <c r="F1373" s="380">
        <f>IF('Daily Load'!P452="Yes",'Daily Load'!N450,IF('Daily Load'!V452="Yes",'Daily Load'!T450,'Daily Load'!Z450))</f>
        <v>0</v>
      </c>
      <c r="G1373" s="380">
        <f>IF('Daily Load'!P452="Yes",'Daily Load'!P450,IF('Daily Load'!V452="Yes",'Daily Load'!V450,'Daily Load'!AB450))</f>
        <v>0</v>
      </c>
      <c r="H1373" s="21" t="str">
        <f>H1372</f>
        <v>bbl</v>
      </c>
      <c r="I1373" s="2167" t="s">
        <v>677</v>
      </c>
      <c r="J1373" s="2168"/>
      <c r="K1373" s="2169"/>
      <c r="L1373" s="2167" t="s">
        <v>826</v>
      </c>
      <c r="M1373" s="2172"/>
    </row>
    <row r="1374" spans="2:13">
      <c r="B1374" s="50"/>
      <c r="C1374" s="50"/>
      <c r="D1374" s="50"/>
      <c r="E1374" s="1185"/>
      <c r="F1374" s="1185"/>
      <c r="G1374" s="1185"/>
      <c r="H1374" s="50"/>
      <c r="I1374" s="1186"/>
      <c r="J1374" s="1186"/>
      <c r="K1374" s="1186"/>
      <c r="L1374" s="1186"/>
      <c r="M1374" s="1186"/>
    </row>
    <row r="1375" spans="2:13" ht="13.5" thickBot="1">
      <c r="B1375" s="21"/>
      <c r="C1375" s="21"/>
      <c r="D1375" s="21"/>
      <c r="E1375" s="21"/>
      <c r="F1375" s="21"/>
      <c r="G1375" s="21"/>
      <c r="H1375" s="21"/>
      <c r="I1375" s="21"/>
      <c r="J1375" s="21"/>
      <c r="K1375" s="21"/>
      <c r="L1375" s="21"/>
      <c r="M1375" s="21"/>
    </row>
    <row r="1376" spans="2:13">
      <c r="B1376" s="44"/>
      <c r="M1376" s="45"/>
    </row>
    <row r="1377" spans="2:13">
      <c r="B1377" s="44"/>
      <c r="J1377" s="2143">
        <f>J1322</f>
        <v>0</v>
      </c>
      <c r="K1377" s="2143"/>
      <c r="L1377" s="2143"/>
      <c r="M1377" s="45"/>
    </row>
    <row r="1378" spans="2:13">
      <c r="B1378" s="44"/>
      <c r="M1378" s="45"/>
    </row>
    <row r="1379" spans="2:13" ht="13.1">
      <c r="B1379" s="137" t="s">
        <v>634</v>
      </c>
      <c r="C1379">
        <f>Summary!$C$6</f>
        <v>0</v>
      </c>
      <c r="H1379" s="22" t="s">
        <v>636</v>
      </c>
      <c r="I1379" s="22"/>
      <c r="K1379" s="2158">
        <f>'Cost Control'!J161</f>
        <v>25</v>
      </c>
      <c r="L1379" s="2158"/>
      <c r="M1379" s="2159"/>
    </row>
    <row r="1380" spans="2:13" ht="13.1">
      <c r="B1380" s="44"/>
      <c r="H1380" s="22"/>
      <c r="I1380" s="22"/>
      <c r="M1380" s="45"/>
    </row>
    <row r="1381" spans="2:13" ht="13.1">
      <c r="B1381" s="137" t="s">
        <v>635</v>
      </c>
      <c r="D1381" s="2136">
        <f>D1326</f>
        <v>0</v>
      </c>
      <c r="E1381" s="2136"/>
      <c r="F1381" s="2136"/>
      <c r="G1381" s="2136"/>
      <c r="H1381" s="2136"/>
      <c r="I1381" s="22" t="s">
        <v>637</v>
      </c>
      <c r="J1381" s="3">
        <f>J1326+1</f>
        <v>26</v>
      </c>
      <c r="M1381" s="45"/>
    </row>
    <row r="1382" spans="2:13" ht="13.1">
      <c r="B1382" s="137"/>
      <c r="D1382" s="2136"/>
      <c r="E1382" s="2136"/>
      <c r="F1382" s="2136"/>
      <c r="G1382" s="2136"/>
      <c r="H1382" s="2136"/>
      <c r="I1382" t="s">
        <v>63</v>
      </c>
      <c r="J1382" s="2142">
        <f>J1327</f>
        <v>0</v>
      </c>
      <c r="K1382" s="2143"/>
      <c r="M1382" s="45"/>
    </row>
    <row r="1383" spans="2:13" ht="13.1">
      <c r="B1383" s="137" t="s">
        <v>146</v>
      </c>
      <c r="D1383">
        <f>Summary!$C$32</f>
        <v>0</v>
      </c>
      <c r="F1383" s="1819" t="str">
        <f>F1328</f>
        <v>OPEN HOLE INTERVAL:</v>
      </c>
      <c r="G1383" s="1819"/>
      <c r="H1383" s="2147">
        <f>H1328</f>
        <v>0</v>
      </c>
      <c r="I1383" s="2147"/>
      <c r="J1383" s="2147">
        <f>J1328</f>
        <v>0</v>
      </c>
      <c r="K1383" s="2147"/>
      <c r="L1383" s="2147">
        <f>L1328</f>
        <v>0</v>
      </c>
      <c r="M1383" s="2154"/>
    </row>
    <row r="1384" spans="2:13">
      <c r="B1384" s="44"/>
      <c r="H1384" s="2153"/>
      <c r="I1384" s="2153"/>
      <c r="J1384" s="1145"/>
      <c r="K1384" s="1145"/>
      <c r="L1384" s="1145"/>
      <c r="M1384" s="1146"/>
    </row>
    <row r="1385" spans="2:13" ht="13.1">
      <c r="B1385" s="44"/>
      <c r="D1385">
        <f>Summary!$F$32</f>
        <v>0</v>
      </c>
      <c r="F1385" s="1819" t="str">
        <f>F1330</f>
        <v xml:space="preserve"> </v>
      </c>
      <c r="G1385" s="1819"/>
      <c r="H1385" s="2137">
        <f>H1330</f>
        <v>0</v>
      </c>
      <c r="I1385" s="2137"/>
      <c r="J1385" s="2137">
        <f>J1330</f>
        <v>0</v>
      </c>
      <c r="K1385" s="2137"/>
      <c r="L1385" s="2137">
        <f>L1330</f>
        <v>0</v>
      </c>
      <c r="M1385" s="2155"/>
    </row>
    <row r="1386" spans="2:13" ht="13.1">
      <c r="B1386" s="44"/>
      <c r="D1386">
        <f>D1331</f>
        <v>0</v>
      </c>
      <c r="F1386" s="1819" t="str">
        <f>F1331</f>
        <v xml:space="preserve"> </v>
      </c>
      <c r="G1386" s="1819"/>
      <c r="H1386" s="1737">
        <f>H1331</f>
        <v>0</v>
      </c>
      <c r="I1386" s="1737"/>
      <c r="J1386" s="1737">
        <f>J1331</f>
        <v>0</v>
      </c>
      <c r="K1386" s="1737"/>
      <c r="L1386" s="1737">
        <f>L1331</f>
        <v>0</v>
      </c>
      <c r="M1386" s="1791"/>
    </row>
    <row r="1387" spans="2:13">
      <c r="B1387" s="44"/>
      <c r="M1387" s="45"/>
    </row>
    <row r="1388" spans="2:13" ht="13.75" thickBot="1">
      <c r="B1388" s="46"/>
      <c r="C1388" s="21"/>
      <c r="D1388" s="21"/>
      <c r="E1388" s="1664" t="s">
        <v>638</v>
      </c>
      <c r="F1388" s="1664"/>
      <c r="G1388" s="1664"/>
      <c r="H1388" s="1664"/>
      <c r="I1388" s="1664"/>
      <c r="J1388" s="21"/>
      <c r="K1388" s="21"/>
      <c r="L1388" s="21"/>
      <c r="M1388" s="47"/>
    </row>
    <row r="1389" spans="2:13" s="518" customFormat="1" ht="16.100000000000001" thickBot="1">
      <c r="B1389" s="651"/>
      <c r="C1389" s="484"/>
      <c r="D1389" s="484"/>
      <c r="E1389" s="484"/>
      <c r="F1389" s="484"/>
      <c r="G1389" s="484"/>
      <c r="H1389" s="484"/>
      <c r="I1389" s="2138" t="s">
        <v>61</v>
      </c>
      <c r="J1389" s="2139"/>
      <c r="K1389" s="2139"/>
      <c r="L1389" s="2139"/>
      <c r="M1389" s="2140"/>
    </row>
    <row r="1390" spans="2:13" s="518" customFormat="1" ht="16.100000000000001" thickBot="1">
      <c r="B1390" s="652"/>
      <c r="C1390" s="484"/>
      <c r="D1390" s="484"/>
      <c r="E1390" s="484"/>
      <c r="F1390" s="484"/>
      <c r="G1390" s="484"/>
      <c r="H1390" s="484"/>
      <c r="I1390" s="2141" t="str">
        <f>I1335</f>
        <v>Service</v>
      </c>
      <c r="J1390" s="2141"/>
      <c r="K1390" s="1159" t="s">
        <v>62</v>
      </c>
      <c r="L1390" s="2144" t="s">
        <v>1454</v>
      </c>
      <c r="M1390" s="2144"/>
    </row>
    <row r="1391" spans="2:13" s="518" customFormat="1" ht="16.100000000000001" thickBot="1">
      <c r="B1391" s="652"/>
      <c r="C1391" s="484"/>
      <c r="D1391" s="484"/>
      <c r="E1391" s="484"/>
      <c r="F1391" s="484"/>
      <c r="G1391" s="484"/>
      <c r="H1391" s="484"/>
      <c r="I1391" s="2145" t="s">
        <v>1538</v>
      </c>
      <c r="J1391" s="2146"/>
      <c r="K1391" s="1160">
        <f>IF(L1391&lt;&gt;0," ",0)</f>
        <v>0</v>
      </c>
      <c r="L1391" s="2156">
        <f>SUM('Cost Control'!J163:J172)</f>
        <v>0</v>
      </c>
      <c r="M1391" s="2157"/>
    </row>
    <row r="1392" spans="2:13" s="518" customFormat="1" ht="16.100000000000001" thickBot="1">
      <c r="B1392" s="652"/>
      <c r="C1392" s="484"/>
      <c r="D1392" s="484"/>
      <c r="E1392" s="484"/>
      <c r="F1392" s="484"/>
      <c r="G1392" s="484"/>
      <c r="H1392" s="484"/>
      <c r="I1392" s="2145" t="s">
        <v>1539</v>
      </c>
      <c r="J1392" s="2146"/>
      <c r="K1392" s="1161">
        <f>IF(L1392&lt;&gt;0,'Cost Control'!A209,0)</f>
        <v>0</v>
      </c>
      <c r="L1392" s="2151">
        <f>SUM('Cost Control'!J209:J214)</f>
        <v>0</v>
      </c>
      <c r="M1392" s="2152"/>
    </row>
    <row r="1393" spans="2:13" s="518" customFormat="1" ht="16.100000000000001" thickBot="1">
      <c r="B1393" s="652"/>
      <c r="C1393" s="484"/>
      <c r="D1393" s="484"/>
      <c r="E1393" s="484"/>
      <c r="F1393" s="484"/>
      <c r="G1393" s="484"/>
      <c r="H1393" s="484"/>
      <c r="I1393" s="2145" t="s">
        <v>903</v>
      </c>
      <c r="J1393" s="2146"/>
      <c r="K1393" s="1161">
        <f>IF(L1393&lt;&gt;0,'Cost Control'!A196,0)</f>
        <v>0</v>
      </c>
      <c r="L1393" s="2151">
        <f>SUM('Cost Control'!J196:J207)</f>
        <v>0</v>
      </c>
      <c r="M1393" s="2152"/>
    </row>
    <row r="1394" spans="2:13" s="518" customFormat="1" ht="16.100000000000001" thickBot="1">
      <c r="B1394" s="652"/>
      <c r="C1394" s="484"/>
      <c r="D1394" s="484"/>
      <c r="E1394" s="484"/>
      <c r="F1394" s="484"/>
      <c r="G1394" s="484"/>
      <c r="H1394" s="484"/>
      <c r="I1394" s="2145" t="s">
        <v>1540</v>
      </c>
      <c r="J1394" s="2146"/>
      <c r="K1394" s="1161" t="str">
        <f>IF(L1394&lt;&gt;0,'Cost Control'!A216," ")</f>
        <v xml:space="preserve"> </v>
      </c>
      <c r="L1394" s="2151">
        <f>SUM('Cost Control'!J216:J222)</f>
        <v>0</v>
      </c>
      <c r="M1394" s="2152"/>
    </row>
    <row r="1395" spans="2:13" s="518" customFormat="1" ht="15.45">
      <c r="B1395" s="652"/>
      <c r="C1395" s="484"/>
      <c r="D1395" s="484"/>
      <c r="E1395" s="484"/>
      <c r="F1395" s="484"/>
      <c r="G1395" s="484"/>
      <c r="H1395" s="484"/>
      <c r="I1395" s="2145" t="s">
        <v>1451</v>
      </c>
      <c r="J1395" s="2146"/>
      <c r="K1395" s="1161">
        <f>IF(L1395&lt;&gt;0,'Cost Control'!A224,0)</f>
        <v>0</v>
      </c>
      <c r="L1395" s="2151">
        <f>SUM('Cost Control'!J224:J229)</f>
        <v>0</v>
      </c>
      <c r="M1395" s="2152"/>
    </row>
    <row r="1396" spans="2:13" s="518" customFormat="1" ht="15.45">
      <c r="B1396" s="652"/>
      <c r="C1396" s="484"/>
      <c r="D1396" s="484"/>
      <c r="E1396" s="484"/>
      <c r="F1396" s="484"/>
      <c r="G1396" s="484"/>
      <c r="H1396" s="484"/>
      <c r="I1396" s="2148" t="str">
        <f>IF(L1396&lt;&gt;0,'Cost Control'!B174," ")</f>
        <v xml:space="preserve"> </v>
      </c>
      <c r="J1396" s="2149"/>
      <c r="K1396" s="1161">
        <f>IF(L1396&lt;&gt;0,'Cost Control'!A174,0)</f>
        <v>0</v>
      </c>
      <c r="L1396" s="2151">
        <f>'Cost Control'!J174</f>
        <v>0</v>
      </c>
      <c r="M1396" s="2152"/>
    </row>
    <row r="1397" spans="2:13" s="518" customFormat="1" ht="15.45">
      <c r="B1397" s="652"/>
      <c r="C1397" s="484"/>
      <c r="D1397" s="484"/>
      <c r="E1397" s="484"/>
      <c r="F1397" s="484"/>
      <c r="G1397" s="484"/>
      <c r="H1397" s="484"/>
      <c r="I1397" s="2148" t="str">
        <f>IF(L1397&lt;&gt;0,'Cost Control'!B175," ")</f>
        <v xml:space="preserve"> </v>
      </c>
      <c r="J1397" s="2149"/>
      <c r="K1397" s="1161">
        <f>IF(L1397&lt;&gt;0,'Cost Control'!A175,0)</f>
        <v>0</v>
      </c>
      <c r="L1397" s="2151">
        <f>'Cost Control'!J175</f>
        <v>0</v>
      </c>
      <c r="M1397" s="2152"/>
    </row>
    <row r="1398" spans="2:13" s="518" customFormat="1" ht="15.45">
      <c r="B1398" s="652"/>
      <c r="C1398" s="484"/>
      <c r="D1398" s="484"/>
      <c r="E1398" s="484"/>
      <c r="F1398" s="484"/>
      <c r="G1398" s="484"/>
      <c r="H1398" s="484"/>
      <c r="I1398" s="2148" t="str">
        <f>IF(L1398&lt;&gt;0,'Cost Control'!B176," ")</f>
        <v xml:space="preserve"> </v>
      </c>
      <c r="J1398" s="2149"/>
      <c r="K1398" s="1161">
        <f>IF(L1398&lt;&gt;0,'Cost Control'!A176,0)</f>
        <v>0</v>
      </c>
      <c r="L1398" s="2151">
        <f>'Cost Control'!J176</f>
        <v>0</v>
      </c>
      <c r="M1398" s="2152"/>
    </row>
    <row r="1399" spans="2:13" s="518" customFormat="1" ht="15.45">
      <c r="B1399" s="652"/>
      <c r="C1399" s="484"/>
      <c r="D1399" s="484"/>
      <c r="E1399" s="484"/>
      <c r="F1399" s="484"/>
      <c r="G1399" s="484"/>
      <c r="H1399" s="484"/>
      <c r="I1399" s="2148" t="str">
        <f>IF(L1399&lt;&gt;0,'Cost Control'!B177," ")</f>
        <v xml:space="preserve"> </v>
      </c>
      <c r="J1399" s="2149"/>
      <c r="K1399" s="1161">
        <f>IF(L1399&lt;&gt;0,'Cost Control'!A177,0)</f>
        <v>0</v>
      </c>
      <c r="L1399" s="2151">
        <f>'Cost Control'!J177</f>
        <v>0</v>
      </c>
      <c r="M1399" s="2152"/>
    </row>
    <row r="1400" spans="2:13" s="518" customFormat="1" ht="15.45">
      <c r="B1400" s="652"/>
      <c r="C1400" s="484"/>
      <c r="D1400" s="484"/>
      <c r="E1400" s="484"/>
      <c r="F1400" s="484"/>
      <c r="G1400" s="484"/>
      <c r="H1400" s="484"/>
      <c r="I1400" s="2148" t="str">
        <f>IF(L1400&lt;&gt;0,'Cost Control'!B178," ")</f>
        <v xml:space="preserve"> </v>
      </c>
      <c r="J1400" s="2149"/>
      <c r="K1400" s="1161">
        <f>IF(L1400&lt;&gt;0,'Cost Control'!A178,0)</f>
        <v>0</v>
      </c>
      <c r="L1400" s="2151">
        <f>'Cost Control'!J178</f>
        <v>0</v>
      </c>
      <c r="M1400" s="2152"/>
    </row>
    <row r="1401" spans="2:13" s="518" customFormat="1" ht="15.45">
      <c r="B1401" s="652"/>
      <c r="C1401" s="484"/>
      <c r="D1401" s="484"/>
      <c r="E1401" s="484"/>
      <c r="F1401" s="484"/>
      <c r="G1401" s="484"/>
      <c r="H1401" s="484"/>
      <c r="I1401" s="2148" t="str">
        <f>IF(L1401&lt;&gt;0,'Cost Control'!B179," ")</f>
        <v xml:space="preserve"> </v>
      </c>
      <c r="J1401" s="2149"/>
      <c r="K1401" s="1161">
        <f>IF(L1401&lt;&gt;0,'Cost Control'!A179,0)</f>
        <v>0</v>
      </c>
      <c r="L1401" s="2151">
        <f>'Cost Control'!J179</f>
        <v>0</v>
      </c>
      <c r="M1401" s="2152"/>
    </row>
    <row r="1402" spans="2:13" s="518" customFormat="1" ht="15.45">
      <c r="B1402" s="652"/>
      <c r="C1402" s="484"/>
      <c r="D1402" s="484"/>
      <c r="E1402" s="484"/>
      <c r="F1402" s="484"/>
      <c r="G1402" s="484"/>
      <c r="H1402" s="484"/>
      <c r="I1402" s="2148" t="str">
        <f>IF(L1402&lt;&gt;0,'Cost Control'!B180," ")</f>
        <v xml:space="preserve"> </v>
      </c>
      <c r="J1402" s="2149"/>
      <c r="K1402" s="1161">
        <f>IF(L1402&lt;&gt;0,'Cost Control'!A180,0)</f>
        <v>0</v>
      </c>
      <c r="L1402" s="2151">
        <f>'Cost Control'!J180</f>
        <v>0</v>
      </c>
      <c r="M1402" s="2152"/>
    </row>
    <row r="1403" spans="2:13" s="518" customFormat="1" ht="15.45">
      <c r="B1403" s="652"/>
      <c r="C1403" s="484"/>
      <c r="D1403" s="484"/>
      <c r="E1403" s="484"/>
      <c r="F1403" s="484"/>
      <c r="G1403" s="484"/>
      <c r="H1403" s="484"/>
      <c r="I1403" s="2148" t="str">
        <f>IF(L1403&lt;&gt;0,'Cost Control'!B181," ")</f>
        <v xml:space="preserve"> </v>
      </c>
      <c r="J1403" s="2149"/>
      <c r="K1403" s="1161">
        <f>IF(L1403&lt;&gt;0,'Cost Control'!A181,0)</f>
        <v>0</v>
      </c>
      <c r="L1403" s="2151">
        <f>'Cost Control'!J181</f>
        <v>0</v>
      </c>
      <c r="M1403" s="2152"/>
    </row>
    <row r="1404" spans="2:13" s="518" customFormat="1" ht="15.45">
      <c r="B1404" s="652"/>
      <c r="C1404" s="484"/>
      <c r="D1404" s="484"/>
      <c r="E1404" s="484"/>
      <c r="F1404" s="484"/>
      <c r="G1404" s="484"/>
      <c r="H1404" s="484"/>
      <c r="I1404" s="2148" t="str">
        <f>IF(L1404&lt;&gt;0,'Cost Control'!B182," ")</f>
        <v xml:space="preserve"> </v>
      </c>
      <c r="J1404" s="2149"/>
      <c r="K1404" s="1161">
        <f>IF(L1404&lt;&gt;0,'Cost Control'!A182,0)</f>
        <v>0</v>
      </c>
      <c r="L1404" s="2151">
        <f>'Cost Control'!J182</f>
        <v>0</v>
      </c>
      <c r="M1404" s="2152"/>
    </row>
    <row r="1405" spans="2:13" s="518" customFormat="1" ht="15.45">
      <c r="B1405" s="652"/>
      <c r="C1405" s="484"/>
      <c r="D1405" s="484"/>
      <c r="E1405" s="484"/>
      <c r="F1405" s="484"/>
      <c r="G1405" s="484"/>
      <c r="H1405" s="484"/>
      <c r="I1405" s="2148" t="str">
        <f>IF(L1405&lt;&gt;0,'Cost Control'!B183," ")</f>
        <v xml:space="preserve"> </v>
      </c>
      <c r="J1405" s="2149"/>
      <c r="K1405" s="1161">
        <f>IF(L1405&lt;&gt;0,'Cost Control'!A183,0)</f>
        <v>0</v>
      </c>
      <c r="L1405" s="2151">
        <f>'Cost Control'!J183</f>
        <v>0</v>
      </c>
      <c r="M1405" s="2152"/>
    </row>
    <row r="1406" spans="2:13" s="518" customFormat="1" ht="15.45">
      <c r="B1406" s="652"/>
      <c r="C1406" s="484"/>
      <c r="D1406" s="484"/>
      <c r="E1406" s="484"/>
      <c r="F1406" s="484"/>
      <c r="G1406" s="484"/>
      <c r="H1406" s="484"/>
      <c r="I1406" s="2148" t="str">
        <f>IF(L1406&lt;&gt;0,'Cost Control'!B184," ")</f>
        <v xml:space="preserve"> </v>
      </c>
      <c r="J1406" s="2149"/>
      <c r="K1406" s="1161">
        <f>IF(L1406&lt;&gt;0,'Cost Control'!A184,0)</f>
        <v>0</v>
      </c>
      <c r="L1406" s="2151">
        <f>'Cost Control'!J184</f>
        <v>0</v>
      </c>
      <c r="M1406" s="2152"/>
    </row>
    <row r="1407" spans="2:13" s="518" customFormat="1" ht="15.45">
      <c r="B1407" s="652"/>
      <c r="C1407" s="484"/>
      <c r="D1407" s="484"/>
      <c r="E1407" s="484"/>
      <c r="F1407" s="484"/>
      <c r="G1407" s="484"/>
      <c r="H1407" s="484"/>
      <c r="I1407" s="2148" t="str">
        <f>IF(L1407&lt;&gt;0,'Cost Control'!B185," ")</f>
        <v xml:space="preserve"> </v>
      </c>
      <c r="J1407" s="2149"/>
      <c r="K1407" s="1161">
        <f>IF(L1407&lt;&gt;0,'Cost Control'!A185,0)</f>
        <v>0</v>
      </c>
      <c r="L1407" s="2151">
        <f>'Cost Control'!J185</f>
        <v>0</v>
      </c>
      <c r="M1407" s="2152"/>
    </row>
    <row r="1408" spans="2:13" s="518" customFormat="1" ht="15.45">
      <c r="B1408" s="652"/>
      <c r="C1408" s="484"/>
      <c r="D1408" s="484"/>
      <c r="E1408" s="484"/>
      <c r="F1408" s="484"/>
      <c r="G1408" s="484"/>
      <c r="H1408" s="484"/>
      <c r="I1408" s="2148" t="str">
        <f>IF(L1408&lt;&gt;0,'Cost Control'!B186," ")</f>
        <v xml:space="preserve"> </v>
      </c>
      <c r="J1408" s="2149"/>
      <c r="K1408" s="1161">
        <f>IF(L1408&lt;&gt;0,'Cost Control'!A186,0)</f>
        <v>0</v>
      </c>
      <c r="L1408" s="2151">
        <f>'Cost Control'!J186</f>
        <v>0</v>
      </c>
      <c r="M1408" s="2152"/>
    </row>
    <row r="1409" spans="2:13" s="518" customFormat="1" ht="15.45">
      <c r="B1409" s="652"/>
      <c r="C1409" s="484"/>
      <c r="D1409" s="484"/>
      <c r="E1409" s="484"/>
      <c r="F1409" s="484"/>
      <c r="G1409" s="484"/>
      <c r="H1409" s="484"/>
      <c r="I1409" s="2148" t="str">
        <f>IF(L1409&lt;&gt;0,'Cost Control'!B187," ")</f>
        <v xml:space="preserve"> </v>
      </c>
      <c r="J1409" s="2149"/>
      <c r="K1409" s="1161">
        <f>IF(L1409&lt;&gt;0,'Cost Control'!A187,0)</f>
        <v>0</v>
      </c>
      <c r="L1409" s="2151">
        <f>'Cost Control'!J187</f>
        <v>0</v>
      </c>
      <c r="M1409" s="2152"/>
    </row>
    <row r="1410" spans="2:13" s="518" customFormat="1" ht="15.45">
      <c r="B1410" s="652"/>
      <c r="C1410" s="484"/>
      <c r="D1410" s="484"/>
      <c r="E1410" s="484"/>
      <c r="F1410" s="484"/>
      <c r="G1410" s="484"/>
      <c r="H1410" s="484"/>
      <c r="I1410" s="2148" t="str">
        <f>IF(L1410&lt;&gt;0,'Cost Control'!B188," ")</f>
        <v xml:space="preserve"> </v>
      </c>
      <c r="J1410" s="2149"/>
      <c r="K1410" s="1161">
        <f>IF(L1410&lt;&gt;0,'Cost Control'!A188,0)</f>
        <v>0</v>
      </c>
      <c r="L1410" s="2151">
        <f>'Cost Control'!J188</f>
        <v>0</v>
      </c>
      <c r="M1410" s="2152"/>
    </row>
    <row r="1411" spans="2:13" s="518" customFormat="1" ht="15.45">
      <c r="B1411" s="652"/>
      <c r="C1411" s="484"/>
      <c r="D1411" s="484"/>
      <c r="E1411" s="484"/>
      <c r="F1411" s="484"/>
      <c r="G1411" s="484"/>
      <c r="H1411" s="484"/>
      <c r="I1411" s="2148" t="str">
        <f>IF(L1411&lt;&gt;0,'Cost Control'!B189," ")</f>
        <v xml:space="preserve"> </v>
      </c>
      <c r="J1411" s="2149"/>
      <c r="K1411" s="1161">
        <f>IF(L1411&lt;&gt;0,'Cost Control'!A189,0)</f>
        <v>0</v>
      </c>
      <c r="L1411" s="2151">
        <f>'Cost Control'!J189</f>
        <v>0</v>
      </c>
      <c r="M1411" s="2152"/>
    </row>
    <row r="1412" spans="2:13" s="518" customFormat="1" ht="15.45">
      <c r="B1412" s="652"/>
      <c r="C1412" s="484"/>
      <c r="D1412" s="484"/>
      <c r="E1412" s="484"/>
      <c r="F1412" s="484"/>
      <c r="G1412" s="484"/>
      <c r="H1412" s="484"/>
      <c r="I1412" s="2148" t="str">
        <f>IF(L1412&lt;&gt;0,'Cost Control'!B190," ")</f>
        <v xml:space="preserve"> </v>
      </c>
      <c r="J1412" s="2149"/>
      <c r="K1412" s="1161">
        <f>IF(L1412&lt;&gt;0,'Cost Control'!A190,0)</f>
        <v>0</v>
      </c>
      <c r="L1412" s="2151">
        <f>'Cost Control'!J190</f>
        <v>0</v>
      </c>
      <c r="M1412" s="2152"/>
    </row>
    <row r="1413" spans="2:13" s="518" customFormat="1" ht="15.45">
      <c r="B1413" s="652"/>
      <c r="C1413" s="484"/>
      <c r="D1413" s="484"/>
      <c r="E1413" s="484"/>
      <c r="F1413" s="484"/>
      <c r="G1413" s="484"/>
      <c r="H1413" s="484"/>
      <c r="I1413" s="2148" t="str">
        <f>IF(L1413&lt;&gt;0,'Cost Control'!B191," ")</f>
        <v xml:space="preserve"> </v>
      </c>
      <c r="J1413" s="2149"/>
      <c r="K1413" s="1161">
        <f>IF(L1413&lt;&gt;0,'Cost Control'!A191,0)</f>
        <v>0</v>
      </c>
      <c r="L1413" s="2151">
        <f>'Cost Control'!J191</f>
        <v>0</v>
      </c>
      <c r="M1413" s="2152"/>
    </row>
    <row r="1414" spans="2:13" s="518" customFormat="1" ht="15.45">
      <c r="B1414" s="652"/>
      <c r="C1414" s="484"/>
      <c r="D1414" s="484"/>
      <c r="E1414" s="484"/>
      <c r="F1414" s="484"/>
      <c r="G1414" s="484"/>
      <c r="H1414" s="484"/>
      <c r="I1414" s="2148" t="str">
        <f>IF(L1414&lt;&gt;0,'Cost Control'!B192," ")</f>
        <v xml:space="preserve"> </v>
      </c>
      <c r="J1414" s="2149"/>
      <c r="K1414" s="1161">
        <f>IF(L1414&lt;&gt;0,'Cost Control'!A192,0)</f>
        <v>0</v>
      </c>
      <c r="L1414" s="2151">
        <f>'Cost Control'!J192</f>
        <v>0</v>
      </c>
      <c r="M1414" s="2152"/>
    </row>
    <row r="1415" spans="2:13" s="518" customFormat="1" ht="15.45">
      <c r="B1415" s="652"/>
      <c r="C1415" s="484"/>
      <c r="D1415" s="484"/>
      <c r="E1415" s="484"/>
      <c r="F1415" s="484"/>
      <c r="G1415" s="484"/>
      <c r="H1415" s="484"/>
      <c r="I1415" s="2148" t="str">
        <f>IF(L1415&lt;&gt;0,'Cost Control'!B193," ")</f>
        <v xml:space="preserve"> </v>
      </c>
      <c r="J1415" s="2149"/>
      <c r="K1415" s="1161">
        <f>IF(L1415&lt;&gt;0,'Cost Control'!A193,0)</f>
        <v>0</v>
      </c>
      <c r="L1415" s="2151">
        <f>'Cost Control'!J193</f>
        <v>0</v>
      </c>
      <c r="M1415" s="2152"/>
    </row>
    <row r="1416" spans="2:13" s="518" customFormat="1" ht="15.45">
      <c r="B1416" s="652"/>
      <c r="C1416" s="484"/>
      <c r="D1416" s="484"/>
      <c r="E1416" s="484"/>
      <c r="F1416" s="484"/>
      <c r="G1416" s="484"/>
      <c r="H1416" s="484"/>
      <c r="I1416" s="2148"/>
      <c r="J1416" s="2149"/>
      <c r="K1416" s="1161">
        <f>IF(L1416&lt;&gt;0,'Cost Control'!A194,0)</f>
        <v>0</v>
      </c>
      <c r="L1416" s="2151">
        <f>'Cost Control'!J194</f>
        <v>0</v>
      </c>
      <c r="M1416" s="2152"/>
    </row>
    <row r="1417" spans="2:13" s="518" customFormat="1" ht="16.100000000000001" thickBot="1">
      <c r="B1417" s="652"/>
      <c r="C1417" s="484"/>
      <c r="D1417" s="484"/>
      <c r="E1417" s="484"/>
      <c r="F1417" s="484"/>
      <c r="G1417" s="484"/>
      <c r="H1417" s="484"/>
      <c r="I1417" s="2148"/>
      <c r="J1417" s="2149"/>
      <c r="K1417" s="1161">
        <f>IF(L1417&lt;&gt;0,'Cost Control'!A195,0)</f>
        <v>0</v>
      </c>
      <c r="L1417" s="2151">
        <f>'Cost Control'!J195</f>
        <v>0</v>
      </c>
      <c r="M1417" s="2152"/>
    </row>
    <row r="1418" spans="2:13" ht="13.1">
      <c r="B1418" s="141" t="s">
        <v>695</v>
      </c>
      <c r="C1418" s="50"/>
      <c r="D1418" s="50"/>
      <c r="E1418" s="2150">
        <f>K1434</f>
        <v>26</v>
      </c>
      <c r="F1418" s="2150"/>
      <c r="G1418" s="50"/>
      <c r="H1418" s="50"/>
      <c r="I1418" s="50"/>
      <c r="J1418" s="50"/>
      <c r="K1418" s="50"/>
      <c r="L1418" s="50"/>
      <c r="M1418" s="43"/>
    </row>
    <row r="1419" spans="2:13">
      <c r="B1419" s="1628"/>
      <c r="C1419" s="1629"/>
      <c r="D1419" s="1629"/>
      <c r="E1419" s="1629"/>
      <c r="F1419" s="1629"/>
      <c r="G1419" s="1629"/>
      <c r="H1419" s="1629"/>
      <c r="I1419" s="1629"/>
      <c r="J1419" s="1629"/>
      <c r="K1419" s="1629"/>
      <c r="L1419" s="1629"/>
      <c r="M1419" s="1630"/>
    </row>
    <row r="1420" spans="2:13" ht="13.5" thickBot="1">
      <c r="B1420" s="1480"/>
      <c r="C1420" s="1479"/>
      <c r="D1420" s="1479"/>
      <c r="E1420" s="1479"/>
      <c r="F1420" s="1479"/>
      <c r="G1420" s="1479"/>
      <c r="H1420" s="1631"/>
      <c r="I1420" s="1631"/>
      <c r="J1420" s="1631"/>
      <c r="K1420" s="1631"/>
      <c r="L1420" s="1631"/>
      <c r="M1420" s="1555"/>
    </row>
    <row r="1421" spans="2:13" ht="15.45">
      <c r="B1421" s="307" t="s">
        <v>645</v>
      </c>
      <c r="C1421" s="308"/>
      <c r="D1421" s="2135">
        <f>D1366</f>
        <v>0</v>
      </c>
      <c r="E1421" s="2135"/>
      <c r="F1421" s="309" t="s">
        <v>647</v>
      </c>
      <c r="G1421" s="310">
        <f>G1366</f>
        <v>0</v>
      </c>
      <c r="H1421" s="172" t="s">
        <v>648</v>
      </c>
      <c r="I1421" s="472">
        <v>0</v>
      </c>
      <c r="J1421" s="2173" t="s">
        <v>650</v>
      </c>
      <c r="K1421" s="2173"/>
      <c r="L1421" s="1378"/>
      <c r="M1421" s="486" t="str">
        <f>M1366</f>
        <v>° F</v>
      </c>
    </row>
    <row r="1422" spans="2:13">
      <c r="B1422" s="44" t="s">
        <v>644</v>
      </c>
      <c r="E1422" t="s">
        <v>655</v>
      </c>
      <c r="G1422">
        <f>IF('Daily Load'!P470="Yes",Operations!D1383,IF('Daily Load'!V470="Yes",Operations!D1385,Operations!D1386))</f>
        <v>0</v>
      </c>
      <c r="I1422" s="195" t="s">
        <v>651</v>
      </c>
      <c r="L1422" s="2170">
        <f>'Cost Control'!J230</f>
        <v>0</v>
      </c>
      <c r="M1422" s="2171"/>
    </row>
    <row r="1423" spans="2:13">
      <c r="B1423" s="44"/>
      <c r="E1423" s="223" t="s">
        <v>193</v>
      </c>
      <c r="F1423" s="223" t="s">
        <v>194</v>
      </c>
      <c r="G1423" s="223" t="str">
        <f>G1368</f>
        <v>Other</v>
      </c>
      <c r="H1423" s="1627" t="s">
        <v>587</v>
      </c>
      <c r="I1423" s="31" t="s">
        <v>652</v>
      </c>
      <c r="L1423" s="2170">
        <f>L1369</f>
        <v>0</v>
      </c>
      <c r="M1423" s="2171"/>
    </row>
    <row r="1424" spans="2:13" ht="13.5" thickBot="1">
      <c r="B1424" s="44" t="s">
        <v>643</v>
      </c>
      <c r="E1424" s="361">
        <f>IF(E1428&gt;0,E1426-E1428,E1426+E1427+E1425)</f>
        <v>0</v>
      </c>
      <c r="F1424" s="361">
        <f>IF(F1428&gt;0,F1426-F1428,F1426+F1427+F1425)</f>
        <v>0</v>
      </c>
      <c r="G1424" s="361">
        <f>IF(G1428&gt;0,G1426-G1428,G1426+G1427+G1425)</f>
        <v>0</v>
      </c>
      <c r="H1424" t="str">
        <f>H1373</f>
        <v>bbl</v>
      </c>
      <c r="I1424" s="31" t="s">
        <v>653</v>
      </c>
      <c r="L1424" s="2163">
        <f>L1422+L1423</f>
        <v>0</v>
      </c>
      <c r="M1424" s="2164"/>
    </row>
    <row r="1425" spans="2:13" ht="13.5" thickTop="1">
      <c r="B1425" s="311" t="s">
        <v>642</v>
      </c>
      <c r="E1425" s="361">
        <f>IF('Daily Load'!P470="Yes",'Daily Load'!L465,IF('Daily Load'!V470="Yes",'Daily Load'!R465,'Daily Load'!X465))</f>
        <v>0</v>
      </c>
      <c r="F1425" s="361">
        <f>IF('Daily Load'!P470="Yes",'Daily Load'!N465,IF('Daily Load'!V470="Yes",'Daily Load'!T465,'Daily Load'!Z465))</f>
        <v>0</v>
      </c>
      <c r="G1425" s="361">
        <f>IF('Daily Load'!P470="Yes",'Daily Load'!P465,IF('Daily Load'!V470="Yes",'Daily Load'!V465,'Daily Load'!AB465))</f>
        <v>0</v>
      </c>
      <c r="H1425" t="str">
        <f>H1424</f>
        <v>bbl</v>
      </c>
      <c r="I1425" s="31"/>
      <c r="L1425" s="521"/>
      <c r="M1425" s="522"/>
    </row>
    <row r="1426" spans="2:13">
      <c r="B1426" s="44" t="s">
        <v>641</v>
      </c>
      <c r="E1426" s="361">
        <f>IF(G1422=D9,'Daily Load'!F469+E1371,IF(G1422=G1367,'Daily Load'!F469+E1371,'Daily Load'!F469))</f>
        <v>0</v>
      </c>
      <c r="F1426" s="361">
        <f>IF(G1422=D9,'Daily Load'!H469+F1371,IF(G1422=G1367,'Daily Load'!H469+F1371,'Daily Load'!H469))</f>
        <v>0</v>
      </c>
      <c r="G1426" s="361">
        <f>IF(G1422=D9,'Daily Load'!J469+G1371,IF(G1422=G1367,'Daily Load'!J469+G1371,'Daily Load'!J469))</f>
        <v>0</v>
      </c>
      <c r="H1426" t="str">
        <f>H1425</f>
        <v>bbl</v>
      </c>
      <c r="I1426" s="33" t="s">
        <v>654</v>
      </c>
      <c r="J1426" s="19"/>
      <c r="K1426" s="19"/>
      <c r="L1426" s="2165">
        <f>L1371</f>
        <v>0</v>
      </c>
      <c r="M1426" s="2166"/>
    </row>
    <row r="1427" spans="2:13">
      <c r="B1427" s="44" t="s">
        <v>640</v>
      </c>
      <c r="E1427" s="361">
        <f>IF('Daily Load'!P470="Yes",'Daily Load'!L467,IF('Daily Load'!V470="Yes",'Daily Load'!R467,'Daily Load'!X467))</f>
        <v>0</v>
      </c>
      <c r="F1427" s="361">
        <f>IF('Daily Load'!P470="Yes",'Daily Load'!N467,IF('Daily Load'!V470="Yes",'Daily Load'!T467,'Daily Load'!Z467))</f>
        <v>0</v>
      </c>
      <c r="G1427" s="361">
        <f>IF('Daily Load'!P470="Yes",'Daily Load'!P467,IF('Daily Load'!V470="Yes",'Daily Load'!V467,'Daily Load'!AB467))</f>
        <v>0</v>
      </c>
      <c r="H1427" t="str">
        <f>H1426</f>
        <v>bbl</v>
      </c>
      <c r="I1427" s="2160" t="str">
        <f>I1372</f>
        <v xml:space="preserve"> </v>
      </c>
      <c r="J1427" s="2059"/>
      <c r="K1427" s="2161"/>
      <c r="L1427" s="2162" t="str">
        <f>L1372</f>
        <v xml:space="preserve">0 </v>
      </c>
      <c r="M1427" s="2155"/>
    </row>
    <row r="1428" spans="2:13" ht="13.5" thickBot="1">
      <c r="B1428" s="46" t="s">
        <v>639</v>
      </c>
      <c r="C1428" s="21"/>
      <c r="D1428" s="21"/>
      <c r="E1428" s="380">
        <f>IF('Daily Load'!P470="Yes",'Daily Load'!L468,IF('Daily Load'!V470="Yes",'Daily Load'!R468,'Daily Load'!X468))</f>
        <v>0</v>
      </c>
      <c r="F1428" s="380">
        <f>IF('Daily Load'!P470="Yes",'Daily Load'!N468,IF('Daily Load'!V470="Yes",'Daily Load'!T468,'Daily Load'!Z468))</f>
        <v>0</v>
      </c>
      <c r="G1428" s="380">
        <f>IF('Daily Load'!P470="Yes",'Daily Load'!P468,IF('Daily Load'!V470="Yes",'Daily Load'!V468,'Daily Load'!AB468))</f>
        <v>0</v>
      </c>
      <c r="H1428" s="21" t="str">
        <f>H1427</f>
        <v>bbl</v>
      </c>
      <c r="I1428" s="2167" t="s">
        <v>677</v>
      </c>
      <c r="J1428" s="2168"/>
      <c r="K1428" s="2169"/>
      <c r="L1428" s="2167" t="s">
        <v>826</v>
      </c>
      <c r="M1428" s="2172"/>
    </row>
    <row r="1429" spans="2:13">
      <c r="B1429" s="50"/>
      <c r="C1429" s="50"/>
      <c r="D1429" s="50"/>
      <c r="E1429" s="1185"/>
      <c r="F1429" s="1185"/>
      <c r="G1429" s="1185"/>
      <c r="H1429" s="50"/>
      <c r="I1429" s="1186"/>
      <c r="J1429" s="1186"/>
      <c r="K1429" s="1186"/>
      <c r="L1429" s="1186"/>
      <c r="M1429" s="1186"/>
    </row>
    <row r="1430" spans="2:13" ht="13.5" thickBot="1">
      <c r="B1430" s="21"/>
      <c r="C1430" s="21"/>
      <c r="D1430" s="21"/>
      <c r="E1430" s="21"/>
      <c r="F1430" s="21"/>
      <c r="G1430" s="21"/>
      <c r="H1430" s="21"/>
      <c r="I1430" s="21"/>
      <c r="J1430" s="21"/>
      <c r="K1430" s="21"/>
      <c r="L1430" s="21"/>
      <c r="M1430" s="21"/>
    </row>
    <row r="1431" spans="2:13">
      <c r="B1431" s="44"/>
      <c r="M1431" s="45"/>
    </row>
    <row r="1432" spans="2:13">
      <c r="B1432" s="44"/>
      <c r="J1432" s="2143">
        <f>J1377</f>
        <v>0</v>
      </c>
      <c r="K1432" s="2143"/>
      <c r="L1432" s="2143"/>
      <c r="M1432" s="45"/>
    </row>
    <row r="1433" spans="2:13">
      <c r="B1433" s="44"/>
      <c r="M1433" s="45"/>
    </row>
    <row r="1434" spans="2:13" ht="13.1">
      <c r="B1434" s="137" t="s">
        <v>634</v>
      </c>
      <c r="C1434">
        <f>Summary!$C$6</f>
        <v>0</v>
      </c>
      <c r="H1434" s="22" t="s">
        <v>636</v>
      </c>
      <c r="I1434" s="22"/>
      <c r="K1434" s="2158">
        <f>'Cost Control'!K161</f>
        <v>26</v>
      </c>
      <c r="L1434" s="2158"/>
      <c r="M1434" s="2159"/>
    </row>
    <row r="1435" spans="2:13" ht="13.1">
      <c r="B1435" s="44"/>
      <c r="H1435" s="22"/>
      <c r="I1435" s="22"/>
      <c r="M1435" s="45"/>
    </row>
    <row r="1436" spans="2:13" ht="13.1">
      <c r="B1436" s="137" t="s">
        <v>635</v>
      </c>
      <c r="D1436" s="2136">
        <f>D1381</f>
        <v>0</v>
      </c>
      <c r="E1436" s="2136"/>
      <c r="F1436" s="2136"/>
      <c r="G1436" s="2136"/>
      <c r="H1436" s="2136"/>
      <c r="I1436" s="22" t="s">
        <v>637</v>
      </c>
      <c r="J1436" s="3">
        <f>J1381+1</f>
        <v>27</v>
      </c>
      <c r="M1436" s="45"/>
    </row>
    <row r="1437" spans="2:13" ht="13.1">
      <c r="B1437" s="137"/>
      <c r="D1437" s="2136"/>
      <c r="E1437" s="2136"/>
      <c r="F1437" s="2136"/>
      <c r="G1437" s="2136"/>
      <c r="H1437" s="2136"/>
      <c r="I1437" t="s">
        <v>63</v>
      </c>
      <c r="J1437" s="2142">
        <f>J1382</f>
        <v>0</v>
      </c>
      <c r="K1437" s="2143"/>
      <c r="M1437" s="45"/>
    </row>
    <row r="1438" spans="2:13" ht="13.1">
      <c r="B1438" s="137" t="s">
        <v>146</v>
      </c>
      <c r="D1438">
        <f>Summary!$C$32</f>
        <v>0</v>
      </c>
      <c r="F1438" s="1819" t="str">
        <f>F1383</f>
        <v>OPEN HOLE INTERVAL:</v>
      </c>
      <c r="G1438" s="1819"/>
      <c r="H1438" s="2147">
        <f>H1383</f>
        <v>0</v>
      </c>
      <c r="I1438" s="2147"/>
      <c r="J1438" s="2147">
        <f>J1383</f>
        <v>0</v>
      </c>
      <c r="K1438" s="2147"/>
      <c r="L1438" s="2147">
        <f>L1383</f>
        <v>0</v>
      </c>
      <c r="M1438" s="2154"/>
    </row>
    <row r="1439" spans="2:13">
      <c r="B1439" s="44"/>
      <c r="H1439" s="2153"/>
      <c r="I1439" s="2153"/>
      <c r="J1439" s="1145"/>
      <c r="K1439" s="1145"/>
      <c r="L1439" s="1145"/>
      <c r="M1439" s="1146"/>
    </row>
    <row r="1440" spans="2:13" ht="13.1">
      <c r="B1440" s="44"/>
      <c r="D1440">
        <f>Summary!$F$32</f>
        <v>0</v>
      </c>
      <c r="F1440" s="1819" t="str">
        <f>F1385</f>
        <v xml:space="preserve"> </v>
      </c>
      <c r="G1440" s="1819"/>
      <c r="H1440" s="2137">
        <f>H1385</f>
        <v>0</v>
      </c>
      <c r="I1440" s="2137"/>
      <c r="J1440" s="2137">
        <f>J1385</f>
        <v>0</v>
      </c>
      <c r="K1440" s="2137"/>
      <c r="L1440" s="2137">
        <f>L1385</f>
        <v>0</v>
      </c>
      <c r="M1440" s="2155"/>
    </row>
    <row r="1441" spans="2:13" ht="13.1">
      <c r="B1441" s="44"/>
      <c r="D1441">
        <f>D1386</f>
        <v>0</v>
      </c>
      <c r="F1441" s="1819" t="str">
        <f>F1386</f>
        <v xml:space="preserve"> </v>
      </c>
      <c r="G1441" s="1819"/>
      <c r="H1441" s="1737">
        <f>H1386</f>
        <v>0</v>
      </c>
      <c r="I1441" s="1737"/>
      <c r="J1441" s="1737">
        <f>J1386</f>
        <v>0</v>
      </c>
      <c r="K1441" s="1737"/>
      <c r="L1441" s="1737">
        <f>L1386</f>
        <v>0</v>
      </c>
      <c r="M1441" s="1791"/>
    </row>
    <row r="1442" spans="2:13">
      <c r="B1442" s="44"/>
      <c r="M1442" s="45"/>
    </row>
    <row r="1443" spans="2:13" ht="13.75" thickBot="1">
      <c r="B1443" s="46"/>
      <c r="C1443" s="21"/>
      <c r="D1443" s="21"/>
      <c r="E1443" s="1664" t="s">
        <v>638</v>
      </c>
      <c r="F1443" s="1664"/>
      <c r="G1443" s="1664"/>
      <c r="H1443" s="1664"/>
      <c r="I1443" s="1664"/>
      <c r="J1443" s="21"/>
      <c r="K1443" s="21"/>
      <c r="L1443" s="21"/>
      <c r="M1443" s="47"/>
    </row>
    <row r="1444" spans="2:13" s="518" customFormat="1" ht="16.100000000000001" thickBot="1">
      <c r="B1444" s="651"/>
      <c r="C1444" s="484"/>
      <c r="D1444" s="484"/>
      <c r="E1444" s="484"/>
      <c r="F1444" s="484"/>
      <c r="G1444" s="484"/>
      <c r="H1444" s="484"/>
      <c r="I1444" s="2138" t="s">
        <v>61</v>
      </c>
      <c r="J1444" s="2139"/>
      <c r="K1444" s="2139"/>
      <c r="L1444" s="2139"/>
      <c r="M1444" s="2140"/>
    </row>
    <row r="1445" spans="2:13" s="518" customFormat="1" ht="16.100000000000001" thickBot="1">
      <c r="B1445" s="652"/>
      <c r="C1445" s="484"/>
      <c r="D1445" s="484"/>
      <c r="E1445" s="484"/>
      <c r="F1445" s="484"/>
      <c r="G1445" s="484"/>
      <c r="H1445" s="484"/>
      <c r="I1445" s="2141" t="str">
        <f>I1390</f>
        <v>Service</v>
      </c>
      <c r="J1445" s="2141"/>
      <c r="K1445" s="1159" t="s">
        <v>62</v>
      </c>
      <c r="L1445" s="2144" t="s">
        <v>1454</v>
      </c>
      <c r="M1445" s="2144"/>
    </row>
    <row r="1446" spans="2:13" s="518" customFormat="1" ht="16.100000000000001" thickBot="1">
      <c r="B1446" s="652"/>
      <c r="C1446" s="484"/>
      <c r="D1446" s="484"/>
      <c r="E1446" s="484"/>
      <c r="F1446" s="484"/>
      <c r="G1446" s="484"/>
      <c r="H1446" s="484"/>
      <c r="I1446" s="2145" t="str">
        <f>I1391</f>
        <v>Tangibles</v>
      </c>
      <c r="J1446" s="2146"/>
      <c r="K1446" s="1160">
        <f>IF(L1446&lt;&gt;0," ",0)</f>
        <v>0</v>
      </c>
      <c r="L1446" s="2156">
        <f>SUM('Cost Control'!K163:K172)</f>
        <v>0</v>
      </c>
      <c r="M1446" s="2157"/>
    </row>
    <row r="1447" spans="2:13" s="518" customFormat="1" ht="16.100000000000001" thickBot="1">
      <c r="B1447" s="652"/>
      <c r="C1447" s="484"/>
      <c r="D1447" s="484"/>
      <c r="E1447" s="484"/>
      <c r="F1447" s="484"/>
      <c r="G1447" s="484"/>
      <c r="H1447" s="484"/>
      <c r="I1447" s="2145" t="str">
        <f t="shared" ref="I1447:I1450" si="0">I1392</f>
        <v>Materials</v>
      </c>
      <c r="J1447" s="2146"/>
      <c r="K1447" s="1161">
        <f>IF(L1447&lt;&gt;0,'Cost Control'!A209,0)</f>
        <v>0</v>
      </c>
      <c r="L1447" s="2151">
        <f>SUM('Cost Control'!K209:K214)</f>
        <v>0</v>
      </c>
      <c r="M1447" s="2152"/>
    </row>
    <row r="1448" spans="2:13" s="518" customFormat="1" ht="16.100000000000001" thickBot="1">
      <c r="B1448" s="652"/>
      <c r="C1448" s="484"/>
      <c r="D1448" s="484"/>
      <c r="E1448" s="484"/>
      <c r="F1448" s="484"/>
      <c r="G1448" s="484"/>
      <c r="H1448" s="484"/>
      <c r="I1448" s="2145" t="str">
        <f t="shared" si="0"/>
        <v>Rentals</v>
      </c>
      <c r="J1448" s="2146"/>
      <c r="K1448" s="1161">
        <f>IF(L1448&lt;&gt;0,'Cost Control'!A196,0)</f>
        <v>0</v>
      </c>
      <c r="L1448" s="2151">
        <f>SUM('Cost Control'!K196:K207)</f>
        <v>0</v>
      </c>
      <c r="M1448" s="2152"/>
    </row>
    <row r="1449" spans="2:13" s="518" customFormat="1" ht="16.100000000000001" thickBot="1">
      <c r="B1449" s="652"/>
      <c r="C1449" s="484"/>
      <c r="D1449" s="484"/>
      <c r="E1449" s="484"/>
      <c r="F1449" s="484"/>
      <c r="G1449" s="484"/>
      <c r="H1449" s="484"/>
      <c r="I1449" s="2145" t="str">
        <f t="shared" si="0"/>
        <v>Supervision</v>
      </c>
      <c r="J1449" s="2146"/>
      <c r="K1449" s="1161" t="str">
        <f>IF(L1449&lt;&gt;0,'Cost Control'!A216," ")</f>
        <v xml:space="preserve"> </v>
      </c>
      <c r="L1449" s="2151">
        <f>SUM('Cost Control'!K216:K222)</f>
        <v>0</v>
      </c>
      <c r="M1449" s="2152"/>
    </row>
    <row r="1450" spans="2:13" s="518" customFormat="1" ht="15.45">
      <c r="B1450" s="652"/>
      <c r="C1450" s="484"/>
      <c r="D1450" s="484"/>
      <c r="E1450" s="484"/>
      <c r="F1450" s="484"/>
      <c r="G1450" s="484"/>
      <c r="H1450" s="484"/>
      <c r="I1450" s="2145" t="str">
        <f t="shared" si="0"/>
        <v>Misc.</v>
      </c>
      <c r="J1450" s="2146"/>
      <c r="K1450" s="1161">
        <f>IF(L1450&lt;&gt;0,'Cost Control'!A224,0)</f>
        <v>0</v>
      </c>
      <c r="L1450" s="2151">
        <f>SUM('Cost Control'!K224:K229)</f>
        <v>0</v>
      </c>
      <c r="M1450" s="2152"/>
    </row>
    <row r="1451" spans="2:13" s="518" customFormat="1" ht="15.45">
      <c r="B1451" s="652"/>
      <c r="C1451" s="484"/>
      <c r="D1451" s="484"/>
      <c r="E1451" s="484"/>
      <c r="F1451" s="484"/>
      <c r="G1451" s="484"/>
      <c r="H1451" s="484"/>
      <c r="I1451" s="2148" t="str">
        <f>IF(L1451&lt;&gt;0,'Cost Control'!B174," ")</f>
        <v xml:space="preserve"> </v>
      </c>
      <c r="J1451" s="2149"/>
      <c r="K1451" s="1161">
        <f>IF(L1451&lt;&gt;0,'Cost Control'!A174,0)</f>
        <v>0</v>
      </c>
      <c r="L1451" s="2151">
        <f>'Cost Control'!K174</f>
        <v>0</v>
      </c>
      <c r="M1451" s="2152"/>
    </row>
    <row r="1452" spans="2:13" s="518" customFormat="1" ht="15.45">
      <c r="B1452" s="652"/>
      <c r="C1452" s="484"/>
      <c r="D1452" s="484"/>
      <c r="E1452" s="484"/>
      <c r="F1452" s="484"/>
      <c r="G1452" s="484"/>
      <c r="H1452" s="484"/>
      <c r="I1452" s="2148" t="str">
        <f>IF(L1452&lt;&gt;0,'Cost Control'!B175," ")</f>
        <v xml:space="preserve"> </v>
      </c>
      <c r="J1452" s="2149"/>
      <c r="K1452" s="1161">
        <f>IF(L1452&lt;&gt;0,'Cost Control'!A175,0)</f>
        <v>0</v>
      </c>
      <c r="L1452" s="2151">
        <f>'Cost Control'!K175</f>
        <v>0</v>
      </c>
      <c r="M1452" s="2152"/>
    </row>
    <row r="1453" spans="2:13" s="518" customFormat="1" ht="15.45">
      <c r="B1453" s="652"/>
      <c r="C1453" s="484"/>
      <c r="D1453" s="484"/>
      <c r="E1453" s="484"/>
      <c r="F1453" s="484"/>
      <c r="G1453" s="484"/>
      <c r="H1453" s="484"/>
      <c r="I1453" s="2148" t="str">
        <f>IF(L1453&lt;&gt;0,'Cost Control'!B176," ")</f>
        <v xml:space="preserve"> </v>
      </c>
      <c r="J1453" s="2149"/>
      <c r="K1453" s="1161">
        <f>IF(L1453&lt;&gt;0,'Cost Control'!A176,0)</f>
        <v>0</v>
      </c>
      <c r="L1453" s="2151">
        <f>'Cost Control'!K176</f>
        <v>0</v>
      </c>
      <c r="M1453" s="2152"/>
    </row>
    <row r="1454" spans="2:13" s="518" customFormat="1" ht="15.45">
      <c r="B1454" s="652"/>
      <c r="C1454" s="484"/>
      <c r="D1454" s="484"/>
      <c r="E1454" s="484"/>
      <c r="F1454" s="484"/>
      <c r="G1454" s="484"/>
      <c r="H1454" s="484"/>
      <c r="I1454" s="2148" t="str">
        <f>IF(L1454&lt;&gt;0,'Cost Control'!B177," ")</f>
        <v xml:space="preserve"> </v>
      </c>
      <c r="J1454" s="2149"/>
      <c r="K1454" s="1161">
        <f>IF(L1454&lt;&gt;0,'Cost Control'!A177,0)</f>
        <v>0</v>
      </c>
      <c r="L1454" s="2151">
        <f>'Cost Control'!K177</f>
        <v>0</v>
      </c>
      <c r="M1454" s="2152"/>
    </row>
    <row r="1455" spans="2:13" s="518" customFormat="1" ht="15.45">
      <c r="B1455" s="652"/>
      <c r="C1455" s="484"/>
      <c r="D1455" s="484"/>
      <c r="E1455" s="484"/>
      <c r="F1455" s="484"/>
      <c r="G1455" s="484"/>
      <c r="H1455" s="484"/>
      <c r="I1455" s="2148" t="str">
        <f>IF(L1455&lt;&gt;0,'Cost Control'!B178," ")</f>
        <v xml:space="preserve"> </v>
      </c>
      <c r="J1455" s="2149"/>
      <c r="K1455" s="1161">
        <f>IF(L1455&lt;&gt;0,'Cost Control'!A178,0)</f>
        <v>0</v>
      </c>
      <c r="L1455" s="2151">
        <f>'Cost Control'!K178</f>
        <v>0</v>
      </c>
      <c r="M1455" s="2152"/>
    </row>
    <row r="1456" spans="2:13" s="518" customFormat="1" ht="15.45">
      <c r="B1456" s="652"/>
      <c r="C1456" s="484"/>
      <c r="D1456" s="484"/>
      <c r="E1456" s="484"/>
      <c r="F1456" s="484"/>
      <c r="G1456" s="484"/>
      <c r="H1456" s="484"/>
      <c r="I1456" s="2148" t="str">
        <f>IF(L1456&lt;&gt;0,'Cost Control'!B179," ")</f>
        <v xml:space="preserve"> </v>
      </c>
      <c r="J1456" s="2149"/>
      <c r="K1456" s="1161">
        <f>IF(L1456&lt;&gt;0,'Cost Control'!A179,0)</f>
        <v>0</v>
      </c>
      <c r="L1456" s="2151">
        <f>'Cost Control'!K179</f>
        <v>0</v>
      </c>
      <c r="M1456" s="2152"/>
    </row>
    <row r="1457" spans="2:13" s="518" customFormat="1" ht="15.45">
      <c r="B1457" s="652"/>
      <c r="C1457" s="484"/>
      <c r="D1457" s="484"/>
      <c r="E1457" s="484"/>
      <c r="F1457" s="484"/>
      <c r="G1457" s="484"/>
      <c r="H1457" s="484"/>
      <c r="I1457" s="2148" t="str">
        <f>IF(L1457&lt;&gt;0,'Cost Control'!B180," ")</f>
        <v xml:space="preserve"> </v>
      </c>
      <c r="J1457" s="2149"/>
      <c r="K1457" s="1161">
        <f>IF(L1457&lt;&gt;0,'Cost Control'!A180,0)</f>
        <v>0</v>
      </c>
      <c r="L1457" s="2151">
        <f>'Cost Control'!K180</f>
        <v>0</v>
      </c>
      <c r="M1457" s="2152"/>
    </row>
    <row r="1458" spans="2:13" s="518" customFormat="1" ht="15.45">
      <c r="B1458" s="652"/>
      <c r="C1458" s="484"/>
      <c r="D1458" s="484"/>
      <c r="E1458" s="484"/>
      <c r="F1458" s="484"/>
      <c r="G1458" s="484"/>
      <c r="H1458" s="484"/>
      <c r="I1458" s="2148" t="str">
        <f>IF(L1458&lt;&gt;0,'Cost Control'!B181," ")</f>
        <v xml:space="preserve"> </v>
      </c>
      <c r="J1458" s="2149"/>
      <c r="K1458" s="1161">
        <f>IF(L1458&lt;&gt;0,'Cost Control'!A181,0)</f>
        <v>0</v>
      </c>
      <c r="L1458" s="2151">
        <f>'Cost Control'!K181</f>
        <v>0</v>
      </c>
      <c r="M1458" s="2152"/>
    </row>
    <row r="1459" spans="2:13" s="518" customFormat="1" ht="15.45">
      <c r="B1459" s="652"/>
      <c r="C1459" s="484"/>
      <c r="D1459" s="484"/>
      <c r="E1459" s="484"/>
      <c r="F1459" s="484"/>
      <c r="G1459" s="484"/>
      <c r="H1459" s="484"/>
      <c r="I1459" s="2148" t="str">
        <f>IF(L1459&lt;&gt;0,'Cost Control'!B182," ")</f>
        <v xml:space="preserve"> </v>
      </c>
      <c r="J1459" s="2149"/>
      <c r="K1459" s="1161">
        <f>IF(L1459&lt;&gt;0,'Cost Control'!A182,0)</f>
        <v>0</v>
      </c>
      <c r="L1459" s="2151">
        <f>'Cost Control'!K182</f>
        <v>0</v>
      </c>
      <c r="M1459" s="2152"/>
    </row>
    <row r="1460" spans="2:13" s="518" customFormat="1" ht="15.45">
      <c r="B1460" s="652"/>
      <c r="C1460" s="484"/>
      <c r="D1460" s="484"/>
      <c r="E1460" s="484"/>
      <c r="F1460" s="484"/>
      <c r="G1460" s="484"/>
      <c r="H1460" s="484"/>
      <c r="I1460" s="2148" t="str">
        <f>IF(L1460&lt;&gt;0,'Cost Control'!B183," ")</f>
        <v xml:space="preserve"> </v>
      </c>
      <c r="J1460" s="2149"/>
      <c r="K1460" s="1161">
        <f>IF(L1460&lt;&gt;0,'Cost Control'!A183,0)</f>
        <v>0</v>
      </c>
      <c r="L1460" s="2151">
        <f>'Cost Control'!K183</f>
        <v>0</v>
      </c>
      <c r="M1460" s="2152"/>
    </row>
    <row r="1461" spans="2:13" s="518" customFormat="1" ht="15.45">
      <c r="B1461" s="652"/>
      <c r="C1461" s="484"/>
      <c r="D1461" s="484"/>
      <c r="E1461" s="484"/>
      <c r="F1461" s="484"/>
      <c r="G1461" s="484"/>
      <c r="H1461" s="484"/>
      <c r="I1461" s="2148" t="str">
        <f>IF(L1461&lt;&gt;0,'Cost Control'!B184," ")</f>
        <v xml:space="preserve"> </v>
      </c>
      <c r="J1461" s="2149"/>
      <c r="K1461" s="1161">
        <f>IF(L1461&lt;&gt;0,'Cost Control'!A184,0)</f>
        <v>0</v>
      </c>
      <c r="L1461" s="2151">
        <f>'Cost Control'!K184</f>
        <v>0</v>
      </c>
      <c r="M1461" s="2152"/>
    </row>
    <row r="1462" spans="2:13" s="518" customFormat="1" ht="15.45">
      <c r="B1462" s="652"/>
      <c r="C1462" s="484"/>
      <c r="D1462" s="484"/>
      <c r="E1462" s="484"/>
      <c r="F1462" s="484"/>
      <c r="G1462" s="484"/>
      <c r="H1462" s="484"/>
      <c r="I1462" s="2148" t="str">
        <f>IF(L1462&lt;&gt;0,'Cost Control'!B185," ")</f>
        <v xml:space="preserve"> </v>
      </c>
      <c r="J1462" s="2149"/>
      <c r="K1462" s="1161">
        <f>IF(L1462&lt;&gt;0,'Cost Control'!A185,0)</f>
        <v>0</v>
      </c>
      <c r="L1462" s="2151">
        <f>'Cost Control'!K185</f>
        <v>0</v>
      </c>
      <c r="M1462" s="2152"/>
    </row>
    <row r="1463" spans="2:13" s="518" customFormat="1" ht="15.45">
      <c r="B1463" s="652"/>
      <c r="C1463" s="484"/>
      <c r="D1463" s="484"/>
      <c r="E1463" s="484"/>
      <c r="F1463" s="484"/>
      <c r="G1463" s="484"/>
      <c r="H1463" s="484"/>
      <c r="I1463" s="2148" t="str">
        <f>IF(L1463&lt;&gt;0,'Cost Control'!B186," ")</f>
        <v xml:space="preserve"> </v>
      </c>
      <c r="J1463" s="2149"/>
      <c r="K1463" s="1161">
        <f>IF(L1463&lt;&gt;0,'Cost Control'!A186,0)</f>
        <v>0</v>
      </c>
      <c r="L1463" s="2151">
        <f>'Cost Control'!K186</f>
        <v>0</v>
      </c>
      <c r="M1463" s="2152"/>
    </row>
    <row r="1464" spans="2:13" s="518" customFormat="1" ht="15.45">
      <c r="B1464" s="652"/>
      <c r="C1464" s="484"/>
      <c r="D1464" s="484"/>
      <c r="E1464" s="484"/>
      <c r="F1464" s="484"/>
      <c r="G1464" s="484"/>
      <c r="H1464" s="484"/>
      <c r="I1464" s="2148" t="str">
        <f>IF(L1464&lt;&gt;0,'Cost Control'!B187," ")</f>
        <v xml:space="preserve"> </v>
      </c>
      <c r="J1464" s="2149"/>
      <c r="K1464" s="1161">
        <f>IF(L1464&lt;&gt;0,'Cost Control'!A187,0)</f>
        <v>0</v>
      </c>
      <c r="L1464" s="2151">
        <f>'Cost Control'!K187</f>
        <v>0</v>
      </c>
      <c r="M1464" s="2152"/>
    </row>
    <row r="1465" spans="2:13" s="518" customFormat="1" ht="15.45">
      <c r="B1465" s="652"/>
      <c r="C1465" s="484"/>
      <c r="D1465" s="484"/>
      <c r="E1465" s="484"/>
      <c r="F1465" s="484"/>
      <c r="G1465" s="484"/>
      <c r="H1465" s="484"/>
      <c r="I1465" s="2148" t="str">
        <f>IF(L1465&lt;&gt;0,'Cost Control'!B188," ")</f>
        <v xml:space="preserve"> </v>
      </c>
      <c r="J1465" s="2149"/>
      <c r="K1465" s="1161">
        <f>IF(L1465&lt;&gt;0,'Cost Control'!A188,0)</f>
        <v>0</v>
      </c>
      <c r="L1465" s="2151">
        <f>'Cost Control'!K188</f>
        <v>0</v>
      </c>
      <c r="M1465" s="2152"/>
    </row>
    <row r="1466" spans="2:13" s="518" customFormat="1" ht="15.45">
      <c r="B1466" s="652"/>
      <c r="C1466" s="484"/>
      <c r="D1466" s="484"/>
      <c r="E1466" s="484"/>
      <c r="F1466" s="484"/>
      <c r="G1466" s="484"/>
      <c r="H1466" s="484"/>
      <c r="I1466" s="2148" t="str">
        <f>IF(L1466&lt;&gt;0,'Cost Control'!B189," ")</f>
        <v xml:space="preserve"> </v>
      </c>
      <c r="J1466" s="2149"/>
      <c r="K1466" s="1161">
        <f>IF(L1466&lt;&gt;0,'Cost Control'!A189,0)</f>
        <v>0</v>
      </c>
      <c r="L1466" s="2151">
        <f>'Cost Control'!K189</f>
        <v>0</v>
      </c>
      <c r="M1466" s="2152"/>
    </row>
    <row r="1467" spans="2:13" s="518" customFormat="1" ht="15.45">
      <c r="B1467" s="652"/>
      <c r="C1467" s="484"/>
      <c r="D1467" s="484"/>
      <c r="E1467" s="484"/>
      <c r="F1467" s="484"/>
      <c r="G1467" s="484"/>
      <c r="H1467" s="484"/>
      <c r="I1467" s="2148" t="str">
        <f>IF(L1467&lt;&gt;0,'Cost Control'!B190," ")</f>
        <v xml:space="preserve"> </v>
      </c>
      <c r="J1467" s="2149"/>
      <c r="K1467" s="1161">
        <f>IF(L1467&lt;&gt;0,'Cost Control'!A190,0)</f>
        <v>0</v>
      </c>
      <c r="L1467" s="2151">
        <f>'Cost Control'!K190</f>
        <v>0</v>
      </c>
      <c r="M1467" s="2152"/>
    </row>
    <row r="1468" spans="2:13" s="518" customFormat="1" ht="15.45">
      <c r="B1468" s="652"/>
      <c r="C1468" s="484"/>
      <c r="D1468" s="484"/>
      <c r="E1468" s="484"/>
      <c r="F1468" s="484"/>
      <c r="G1468" s="484"/>
      <c r="H1468" s="484"/>
      <c r="I1468" s="2148" t="str">
        <f>IF(L1468&lt;&gt;0,'Cost Control'!B191," ")</f>
        <v xml:space="preserve"> </v>
      </c>
      <c r="J1468" s="2149"/>
      <c r="K1468" s="1161">
        <f>IF(L1468&lt;&gt;0,'Cost Control'!A191,0)</f>
        <v>0</v>
      </c>
      <c r="L1468" s="2151">
        <f>'Cost Control'!K191</f>
        <v>0</v>
      </c>
      <c r="M1468" s="2152"/>
    </row>
    <row r="1469" spans="2:13" s="518" customFormat="1" ht="15.45">
      <c r="B1469" s="652"/>
      <c r="C1469" s="484"/>
      <c r="D1469" s="484"/>
      <c r="E1469" s="484"/>
      <c r="F1469" s="484"/>
      <c r="G1469" s="484"/>
      <c r="H1469" s="484"/>
      <c r="I1469" s="2148" t="str">
        <f>IF(L1469&lt;&gt;0,'Cost Control'!B192," ")</f>
        <v xml:space="preserve"> </v>
      </c>
      <c r="J1469" s="2149"/>
      <c r="K1469" s="1161">
        <f>IF(L1469&lt;&gt;0,'Cost Control'!A192,0)</f>
        <v>0</v>
      </c>
      <c r="L1469" s="2151">
        <f>'Cost Control'!K192</f>
        <v>0</v>
      </c>
      <c r="M1469" s="2152"/>
    </row>
    <row r="1470" spans="2:13" s="518" customFormat="1" ht="15.45">
      <c r="B1470" s="652"/>
      <c r="C1470" s="484"/>
      <c r="D1470" s="484"/>
      <c r="E1470" s="484"/>
      <c r="F1470" s="484"/>
      <c r="G1470" s="484"/>
      <c r="H1470" s="484"/>
      <c r="I1470" s="2148" t="str">
        <f>IF(L1470&lt;&gt;0,'Cost Control'!B193," ")</f>
        <v xml:space="preserve"> </v>
      </c>
      <c r="J1470" s="2149"/>
      <c r="K1470" s="1161">
        <f>IF(L1470&lt;&gt;0,'Cost Control'!A193,0)</f>
        <v>0</v>
      </c>
      <c r="L1470" s="2151">
        <f>'Cost Control'!K193</f>
        <v>0</v>
      </c>
      <c r="M1470" s="2152"/>
    </row>
    <row r="1471" spans="2:13" s="518" customFormat="1" ht="15.45">
      <c r="B1471" s="652"/>
      <c r="C1471" s="484"/>
      <c r="D1471" s="484"/>
      <c r="E1471" s="484"/>
      <c r="F1471" s="484"/>
      <c r="G1471" s="484"/>
      <c r="H1471" s="484"/>
      <c r="I1471" s="2148" t="str">
        <f>IF(L1471&lt;&gt;0,'Cost Control'!B194," ")</f>
        <v xml:space="preserve"> </v>
      </c>
      <c r="J1471" s="2149"/>
      <c r="K1471" s="1161">
        <f>IF(L1471&lt;&gt;0,'Cost Control'!A194,0)</f>
        <v>0</v>
      </c>
      <c r="L1471" s="2151">
        <f>'Cost Control'!K194</f>
        <v>0</v>
      </c>
      <c r="M1471" s="2152"/>
    </row>
    <row r="1472" spans="2:13" s="518" customFormat="1" ht="16.100000000000001" thickBot="1">
      <c r="B1472" s="652"/>
      <c r="C1472" s="484"/>
      <c r="D1472" s="484"/>
      <c r="E1472" s="484"/>
      <c r="F1472" s="484"/>
      <c r="G1472" s="484"/>
      <c r="H1472" s="484"/>
      <c r="I1472" s="2148" t="str">
        <f>IF(L1472&lt;&gt;0,'Cost Control'!B195," ")</f>
        <v xml:space="preserve"> </v>
      </c>
      <c r="J1472" s="2149"/>
      <c r="K1472" s="1161">
        <f>IF(L1472&lt;&gt;0,'Cost Control'!A195,0)</f>
        <v>0</v>
      </c>
      <c r="L1472" s="2151">
        <f>'Cost Control'!K195</f>
        <v>0</v>
      </c>
      <c r="M1472" s="2152"/>
    </row>
    <row r="1473" spans="2:13" ht="13.1">
      <c r="B1473" s="141" t="s">
        <v>695</v>
      </c>
      <c r="C1473" s="50"/>
      <c r="D1473" s="50"/>
      <c r="E1473" s="2150">
        <f>K1489</f>
        <v>27</v>
      </c>
      <c r="F1473" s="2150"/>
      <c r="G1473" s="50"/>
      <c r="H1473" s="50"/>
      <c r="I1473" s="50"/>
      <c r="J1473" s="50"/>
      <c r="K1473" s="50"/>
      <c r="L1473" s="50"/>
      <c r="M1473" s="43"/>
    </row>
    <row r="1474" spans="2:13">
      <c r="B1474" s="1628"/>
      <c r="C1474" s="1629"/>
      <c r="D1474" s="1629"/>
      <c r="E1474" s="1629"/>
      <c r="F1474" s="1629"/>
      <c r="G1474" s="1629"/>
      <c r="H1474" s="1629"/>
      <c r="I1474" s="1629"/>
      <c r="J1474" s="1629"/>
      <c r="K1474" s="1629"/>
      <c r="L1474" s="1629"/>
      <c r="M1474" s="1630"/>
    </row>
    <row r="1475" spans="2:13" ht="13.5" thickBot="1">
      <c r="B1475" s="1480"/>
      <c r="C1475" s="1479"/>
      <c r="D1475" s="1479"/>
      <c r="E1475" s="1479"/>
      <c r="F1475" s="1479"/>
      <c r="G1475" s="1479"/>
      <c r="H1475" s="1631"/>
      <c r="I1475" s="1631"/>
      <c r="J1475" s="1631"/>
      <c r="K1475" s="1631"/>
      <c r="L1475" s="1631"/>
      <c r="M1475" s="1555"/>
    </row>
    <row r="1476" spans="2:13" ht="15.45">
      <c r="B1476" s="307" t="s">
        <v>645</v>
      </c>
      <c r="C1476" s="308"/>
      <c r="D1476" s="2135">
        <f>D1421</f>
        <v>0</v>
      </c>
      <c r="E1476" s="2135"/>
      <c r="F1476" s="309" t="s">
        <v>647</v>
      </c>
      <c r="G1476" s="310">
        <f>G1421</f>
        <v>0</v>
      </c>
      <c r="H1476" s="172" t="s">
        <v>648</v>
      </c>
      <c r="I1476" s="472">
        <v>0</v>
      </c>
      <c r="J1476" s="2173" t="s">
        <v>650</v>
      </c>
      <c r="K1476" s="2173"/>
      <c r="L1476" s="1378"/>
      <c r="M1476" s="486" t="str">
        <f>M1421</f>
        <v>° F</v>
      </c>
    </row>
    <row r="1477" spans="2:13">
      <c r="B1477" s="44" t="s">
        <v>644</v>
      </c>
      <c r="E1477" t="s">
        <v>655</v>
      </c>
      <c r="G1477">
        <f>IF('Daily Load'!P488="Yes",Operations!D1438,IF('Daily Load'!V488="Yes",Operations!D1440,Operations!D1441))</f>
        <v>0</v>
      </c>
      <c r="I1477" s="195" t="s">
        <v>651</v>
      </c>
      <c r="L1477" s="2170">
        <f>'Cost Control'!K230</f>
        <v>0</v>
      </c>
      <c r="M1477" s="2171"/>
    </row>
    <row r="1478" spans="2:13">
      <c r="B1478" s="44"/>
      <c r="E1478" s="223" t="s">
        <v>193</v>
      </c>
      <c r="F1478" s="223" t="s">
        <v>194</v>
      </c>
      <c r="G1478" s="223" t="str">
        <f>G1423</f>
        <v>Other</v>
      </c>
      <c r="H1478" s="1627" t="s">
        <v>587</v>
      </c>
      <c r="I1478" s="31" t="s">
        <v>652</v>
      </c>
      <c r="L1478" s="2170">
        <f>L1424</f>
        <v>0</v>
      </c>
      <c r="M1478" s="2171"/>
    </row>
    <row r="1479" spans="2:13" ht="13.5" thickBot="1">
      <c r="B1479" s="44" t="s">
        <v>643</v>
      </c>
      <c r="E1479" s="361">
        <f>IF(E1483&gt;0,E1481-E1483,E1481+E1482+E1480)</f>
        <v>0</v>
      </c>
      <c r="F1479" s="361">
        <f>IF(F1483&gt;0,F1481-F1483,F1481+F1482+F1480)</f>
        <v>0</v>
      </c>
      <c r="G1479" s="361">
        <f>IF(G1483&gt;0,G1481-G1483,G1481+G1482+G1480)</f>
        <v>0</v>
      </c>
      <c r="H1479" t="str">
        <f>H1428</f>
        <v>bbl</v>
      </c>
      <c r="I1479" s="31" t="s">
        <v>653</v>
      </c>
      <c r="L1479" s="2163">
        <f>L1477+L1478</f>
        <v>0</v>
      </c>
      <c r="M1479" s="2164"/>
    </row>
    <row r="1480" spans="2:13" ht="13.5" thickTop="1">
      <c r="B1480" s="311" t="s">
        <v>642</v>
      </c>
      <c r="E1480" s="361">
        <f>IF('Daily Load'!P488="Yes",'Daily Load'!L483,IF('Daily Load'!V488="Yes",'Daily Load'!R483,'Daily Load'!X483))</f>
        <v>0</v>
      </c>
      <c r="F1480" s="361">
        <f>IF('Daily Load'!P488="Yes",'Daily Load'!N483,IF('Daily Load'!V488="Yes",'Daily Load'!T483,'Daily Load'!Z483))</f>
        <v>0</v>
      </c>
      <c r="G1480" s="361">
        <f>IF('Daily Load'!P488="Yes",'Daily Load'!P483,IF('Daily Load'!V488="Yes",'Daily Load'!V483,'Daily Load'!AB483))</f>
        <v>0</v>
      </c>
      <c r="H1480" t="str">
        <f>H1479</f>
        <v>bbl</v>
      </c>
      <c r="I1480" s="31"/>
      <c r="L1480" s="521"/>
      <c r="M1480" s="522"/>
    </row>
    <row r="1481" spans="2:13">
      <c r="B1481" s="44" t="s">
        <v>641</v>
      </c>
      <c r="E1481" s="361">
        <f>IF(G1477=D9,'Daily Load'!F487+E1426,IF(G1477=G1422,'Daily Load'!F487+E1426,'Daily Load'!F487))</f>
        <v>0</v>
      </c>
      <c r="F1481" s="361">
        <f>IF(G1477=D9,'Daily Load'!H487+F1426,IF(G1477=G1422,'Daily Load'!H487+F1426,'Daily Load'!H487))</f>
        <v>0</v>
      </c>
      <c r="G1481" s="361">
        <f>IF(G1477=D9,'Daily Load'!J487+G1426,IF(G1477=G1422,'Daily Load'!J487+G1426,'Daily Load'!J487))</f>
        <v>0</v>
      </c>
      <c r="H1481" t="str">
        <f>H1480</f>
        <v>bbl</v>
      </c>
      <c r="I1481" s="33" t="s">
        <v>654</v>
      </c>
      <c r="J1481" s="19"/>
      <c r="K1481" s="19"/>
      <c r="L1481" s="2165">
        <f>L1426</f>
        <v>0</v>
      </c>
      <c r="M1481" s="2166"/>
    </row>
    <row r="1482" spans="2:13">
      <c r="B1482" s="44" t="s">
        <v>640</v>
      </c>
      <c r="E1482" s="361">
        <f>IF('Daily Load'!P488="Yes",'Daily Load'!L485,IF('Daily Load'!V488="Yes",'Daily Load'!R485,'Daily Load'!X485))</f>
        <v>0</v>
      </c>
      <c r="F1482" s="361">
        <f>IF('Daily Load'!P488="Yes",'Daily Load'!N485,IF('Daily Load'!V488="Yes",'Daily Load'!T485,'Daily Load'!Z485))</f>
        <v>0</v>
      </c>
      <c r="G1482" s="361">
        <f>IF('Daily Load'!P488="Yes",'Daily Load'!P485,IF('Daily Load'!V488="Yes",'Daily Load'!V485,'Daily Load'!AB485))</f>
        <v>0</v>
      </c>
      <c r="H1482" t="str">
        <f>H1481</f>
        <v>bbl</v>
      </c>
      <c r="I1482" s="2160" t="str">
        <f>I1427</f>
        <v xml:space="preserve"> </v>
      </c>
      <c r="J1482" s="2059"/>
      <c r="K1482" s="2161"/>
      <c r="L1482" s="2162" t="str">
        <f>L1427</f>
        <v xml:space="preserve">0 </v>
      </c>
      <c r="M1482" s="2155"/>
    </row>
    <row r="1483" spans="2:13" ht="13.5" thickBot="1">
      <c r="B1483" s="46" t="s">
        <v>639</v>
      </c>
      <c r="C1483" s="21"/>
      <c r="D1483" s="21"/>
      <c r="E1483" s="380">
        <f>IF('Daily Load'!P488="Yes",'Daily Load'!L486,IF('Daily Load'!V488="Yes",'Daily Load'!R486,'Daily Load'!X486))</f>
        <v>0</v>
      </c>
      <c r="F1483" s="380">
        <f>IF('Daily Load'!P488="Yes",'Daily Load'!N486,IF('Daily Load'!V488="Yes",'Daily Load'!T486,'Daily Load'!Z486))</f>
        <v>0</v>
      </c>
      <c r="G1483" s="380">
        <f>IF('Daily Load'!P488="Yes",'Daily Load'!P486,IF('Daily Load'!V488="Yes",'Daily Load'!V485,'Daily Load'!AB486))</f>
        <v>0</v>
      </c>
      <c r="H1483" s="21" t="str">
        <f>H1482</f>
        <v>bbl</v>
      </c>
      <c r="I1483" s="2167" t="s">
        <v>677</v>
      </c>
      <c r="J1483" s="2168"/>
      <c r="K1483" s="2169"/>
      <c r="L1483" s="2167" t="s">
        <v>826</v>
      </c>
      <c r="M1483" s="2172"/>
    </row>
    <row r="1484" spans="2:13">
      <c r="B1484" s="50"/>
      <c r="C1484" s="50"/>
      <c r="D1484" s="50"/>
      <c r="E1484" s="1185"/>
      <c r="F1484" s="1185"/>
      <c r="G1484" s="1185"/>
      <c r="H1484" s="50"/>
      <c r="I1484" s="1186"/>
      <c r="J1484" s="1186"/>
      <c r="K1484" s="1186"/>
      <c r="L1484" s="1186"/>
      <c r="M1484" s="1186"/>
    </row>
    <row r="1485" spans="2:13" ht="13.5" thickBot="1">
      <c r="B1485" s="21"/>
      <c r="C1485" s="21"/>
      <c r="D1485" s="21"/>
      <c r="E1485" s="21"/>
      <c r="F1485" s="21"/>
      <c r="G1485" s="21"/>
      <c r="H1485" s="21"/>
      <c r="I1485" s="21"/>
      <c r="J1485" s="21"/>
      <c r="K1485" s="21"/>
      <c r="L1485" s="21"/>
      <c r="M1485" s="21"/>
    </row>
    <row r="1486" spans="2:13">
      <c r="B1486" s="44"/>
      <c r="M1486" s="45"/>
    </row>
    <row r="1487" spans="2:13">
      <c r="B1487" s="44"/>
      <c r="J1487" s="2143">
        <f>J1432</f>
        <v>0</v>
      </c>
      <c r="K1487" s="2143"/>
      <c r="L1487" s="2143"/>
      <c r="M1487" s="45"/>
    </row>
    <row r="1488" spans="2:13">
      <c r="B1488" s="44"/>
      <c r="M1488" s="45"/>
    </row>
    <row r="1489" spans="2:13" ht="13.1">
      <c r="B1489" s="137" t="s">
        <v>634</v>
      </c>
      <c r="C1489">
        <f>Summary!$C$6</f>
        <v>0</v>
      </c>
      <c r="H1489" s="22" t="s">
        <v>636</v>
      </c>
      <c r="I1489" s="22"/>
      <c r="K1489" s="2158">
        <f>'Cost Control'!L161</f>
        <v>27</v>
      </c>
      <c r="L1489" s="2158"/>
      <c r="M1489" s="2159"/>
    </row>
    <row r="1490" spans="2:13" ht="13.1">
      <c r="B1490" s="44"/>
      <c r="H1490" s="22"/>
      <c r="I1490" s="22"/>
      <c r="M1490" s="45"/>
    </row>
    <row r="1491" spans="2:13" ht="13.1">
      <c r="B1491" s="137" t="s">
        <v>635</v>
      </c>
      <c r="D1491" s="2136">
        <f>D1436</f>
        <v>0</v>
      </c>
      <c r="E1491" s="2136"/>
      <c r="F1491" s="2136"/>
      <c r="G1491" s="2136"/>
      <c r="H1491" s="2136"/>
      <c r="I1491" s="22" t="s">
        <v>637</v>
      </c>
      <c r="J1491" s="3">
        <f>J1436+1</f>
        <v>28</v>
      </c>
      <c r="M1491" s="45"/>
    </row>
    <row r="1492" spans="2:13" ht="13.1">
      <c r="B1492" s="137"/>
      <c r="D1492" s="2136"/>
      <c r="E1492" s="2136"/>
      <c r="F1492" s="2136"/>
      <c r="G1492" s="2136"/>
      <c r="H1492" s="2136"/>
      <c r="I1492" t="s">
        <v>63</v>
      </c>
      <c r="J1492" s="2142">
        <f>J1437</f>
        <v>0</v>
      </c>
      <c r="K1492" s="2143"/>
      <c r="M1492" s="45"/>
    </row>
    <row r="1493" spans="2:13" ht="13.1">
      <c r="B1493" s="137" t="s">
        <v>146</v>
      </c>
      <c r="D1493">
        <f>Summary!$C$32</f>
        <v>0</v>
      </c>
      <c r="F1493" s="1819" t="str">
        <f>F1438</f>
        <v>OPEN HOLE INTERVAL:</v>
      </c>
      <c r="G1493" s="1819"/>
      <c r="H1493" s="2147">
        <f>H1438</f>
        <v>0</v>
      </c>
      <c r="I1493" s="2147"/>
      <c r="J1493" s="2147">
        <f>J1438</f>
        <v>0</v>
      </c>
      <c r="K1493" s="2147"/>
      <c r="L1493" s="2147">
        <f>L1438</f>
        <v>0</v>
      </c>
      <c r="M1493" s="2154"/>
    </row>
    <row r="1494" spans="2:13">
      <c r="B1494" s="44"/>
      <c r="H1494" s="2153"/>
      <c r="I1494" s="2153"/>
      <c r="J1494" s="1145"/>
      <c r="K1494" s="1145"/>
      <c r="L1494" s="1145"/>
      <c r="M1494" s="1146"/>
    </row>
    <row r="1495" spans="2:13" ht="13.1">
      <c r="B1495" s="44"/>
      <c r="D1495">
        <f>Summary!$F$32</f>
        <v>0</v>
      </c>
      <c r="F1495" s="1819" t="str">
        <f>F1440</f>
        <v xml:space="preserve"> </v>
      </c>
      <c r="G1495" s="1819"/>
      <c r="H1495" s="2137">
        <f>H1440</f>
        <v>0</v>
      </c>
      <c r="I1495" s="2137"/>
      <c r="J1495" s="2137">
        <f>J1440</f>
        <v>0</v>
      </c>
      <c r="K1495" s="2137"/>
      <c r="L1495" s="2137">
        <f>L1440</f>
        <v>0</v>
      </c>
      <c r="M1495" s="2155"/>
    </row>
    <row r="1496" spans="2:13" ht="13.1">
      <c r="B1496" s="44"/>
      <c r="D1496">
        <f>D1441</f>
        <v>0</v>
      </c>
      <c r="F1496" s="1819" t="str">
        <f>F1441</f>
        <v xml:space="preserve"> </v>
      </c>
      <c r="G1496" s="1819"/>
      <c r="H1496" s="1737">
        <f>H1441</f>
        <v>0</v>
      </c>
      <c r="I1496" s="1737"/>
      <c r="J1496" s="1737">
        <f>J1441</f>
        <v>0</v>
      </c>
      <c r="K1496" s="1737"/>
      <c r="L1496" s="1737">
        <f>L1441</f>
        <v>0</v>
      </c>
      <c r="M1496" s="1791"/>
    </row>
    <row r="1497" spans="2:13">
      <c r="B1497" s="44"/>
      <c r="M1497" s="45"/>
    </row>
    <row r="1498" spans="2:13" ht="13.75" thickBot="1">
      <c r="B1498" s="46"/>
      <c r="C1498" s="21"/>
      <c r="D1498" s="21"/>
      <c r="E1498" s="1664" t="s">
        <v>638</v>
      </c>
      <c r="F1498" s="1664"/>
      <c r="G1498" s="1664"/>
      <c r="H1498" s="1664"/>
      <c r="I1498" s="1664"/>
      <c r="J1498" s="21"/>
      <c r="K1498" s="21"/>
      <c r="L1498" s="21"/>
      <c r="M1498" s="47"/>
    </row>
    <row r="1499" spans="2:13" s="518" customFormat="1" ht="16.100000000000001" thickBot="1">
      <c r="B1499" s="651"/>
      <c r="C1499" s="484"/>
      <c r="D1499" s="484"/>
      <c r="E1499" s="484"/>
      <c r="F1499" s="484"/>
      <c r="G1499" s="484"/>
      <c r="H1499" s="484"/>
      <c r="I1499" s="2138" t="s">
        <v>61</v>
      </c>
      <c r="J1499" s="2139"/>
      <c r="K1499" s="2139"/>
      <c r="L1499" s="2139"/>
      <c r="M1499" s="2140"/>
    </row>
    <row r="1500" spans="2:13" s="518" customFormat="1" ht="16.100000000000001" thickBot="1">
      <c r="B1500" s="652"/>
      <c r="C1500" s="484"/>
      <c r="D1500" s="484"/>
      <c r="E1500" s="484"/>
      <c r="F1500" s="484"/>
      <c r="G1500" s="484"/>
      <c r="H1500" s="484"/>
      <c r="I1500" s="2141" t="str">
        <f>I1445</f>
        <v>Service</v>
      </c>
      <c r="J1500" s="2141"/>
      <c r="K1500" s="1159" t="s">
        <v>62</v>
      </c>
      <c r="L1500" s="2144" t="s">
        <v>1454</v>
      </c>
      <c r="M1500" s="2144"/>
    </row>
    <row r="1501" spans="2:13" s="518" customFormat="1" ht="16.100000000000001" thickBot="1">
      <c r="B1501" s="652"/>
      <c r="C1501" s="484"/>
      <c r="D1501" s="484"/>
      <c r="E1501" s="484"/>
      <c r="F1501" s="484"/>
      <c r="G1501" s="484"/>
      <c r="H1501" s="484"/>
      <c r="I1501" s="2145" t="s">
        <v>1538</v>
      </c>
      <c r="J1501" s="2146"/>
      <c r="K1501" s="1160">
        <f>IF(L1501&lt;&gt;0," ",0)</f>
        <v>0</v>
      </c>
      <c r="L1501" s="2156">
        <f>SUM('Cost Control'!L163:L172)</f>
        <v>0</v>
      </c>
      <c r="M1501" s="2157"/>
    </row>
    <row r="1502" spans="2:13" s="518" customFormat="1" ht="16.100000000000001" thickBot="1">
      <c r="B1502" s="652"/>
      <c r="C1502" s="484"/>
      <c r="D1502" s="484"/>
      <c r="E1502" s="484"/>
      <c r="F1502" s="484"/>
      <c r="G1502" s="484"/>
      <c r="H1502" s="484"/>
      <c r="I1502" s="2145" t="s">
        <v>1539</v>
      </c>
      <c r="J1502" s="2146"/>
      <c r="K1502" s="1161">
        <f>IF(L1502&lt;&gt;0,'Cost Control'!A209,0)</f>
        <v>0</v>
      </c>
      <c r="L1502" s="2151">
        <f>SUM('Cost Control'!L209:L214)</f>
        <v>0</v>
      </c>
      <c r="M1502" s="2152"/>
    </row>
    <row r="1503" spans="2:13" s="518" customFormat="1" ht="16.100000000000001" thickBot="1">
      <c r="B1503" s="652"/>
      <c r="C1503" s="484"/>
      <c r="D1503" s="484"/>
      <c r="E1503" s="484"/>
      <c r="F1503" s="484"/>
      <c r="G1503" s="484"/>
      <c r="H1503" s="484"/>
      <c r="I1503" s="2145" t="s">
        <v>903</v>
      </c>
      <c r="J1503" s="2146"/>
      <c r="K1503" s="1161">
        <f>IF(L1503&lt;&gt;0,'Cost Control'!A196,0)</f>
        <v>0</v>
      </c>
      <c r="L1503" s="2151">
        <f>SUM('Cost Control'!L196:L207)</f>
        <v>0</v>
      </c>
      <c r="M1503" s="2152"/>
    </row>
    <row r="1504" spans="2:13" s="518" customFormat="1" ht="16.100000000000001" thickBot="1">
      <c r="B1504" s="652"/>
      <c r="C1504" s="484"/>
      <c r="D1504" s="484"/>
      <c r="E1504" s="484"/>
      <c r="F1504" s="484"/>
      <c r="G1504" s="484"/>
      <c r="H1504" s="484"/>
      <c r="I1504" s="2145" t="s">
        <v>1540</v>
      </c>
      <c r="J1504" s="2146"/>
      <c r="K1504" s="1161" t="str">
        <f>IF(L1504&lt;&gt;0,'Cost Control'!A216," ")</f>
        <v xml:space="preserve"> </v>
      </c>
      <c r="L1504" s="2151">
        <f>SUM('Cost Control'!L216:L222)</f>
        <v>0</v>
      </c>
      <c r="M1504" s="2152"/>
    </row>
    <row r="1505" spans="2:13" s="518" customFormat="1" ht="15.45">
      <c r="B1505" s="652"/>
      <c r="C1505" s="484"/>
      <c r="D1505" s="484"/>
      <c r="E1505" s="484"/>
      <c r="F1505" s="484"/>
      <c r="G1505" s="484"/>
      <c r="H1505" s="484"/>
      <c r="I1505" s="2145" t="s">
        <v>1451</v>
      </c>
      <c r="J1505" s="2146"/>
      <c r="K1505" s="1161">
        <f>IF(L1505&lt;&gt;0,'Cost Control'!A224,0)</f>
        <v>0</v>
      </c>
      <c r="L1505" s="2151">
        <f>SUM('Cost Control'!L224:L229)</f>
        <v>0</v>
      </c>
      <c r="M1505" s="2152"/>
    </row>
    <row r="1506" spans="2:13" s="518" customFormat="1" ht="15.45">
      <c r="B1506" s="652"/>
      <c r="C1506" s="484"/>
      <c r="D1506" s="484"/>
      <c r="E1506" s="484"/>
      <c r="F1506" s="484"/>
      <c r="G1506" s="484"/>
      <c r="H1506" s="484"/>
      <c r="I1506" s="2148" t="str">
        <f>IF(L1506&lt;&gt;0,'Cost Control'!B174," ")</f>
        <v xml:space="preserve"> </v>
      </c>
      <c r="J1506" s="2149"/>
      <c r="K1506" s="1161">
        <f>IF(L1506&lt;&gt;0,'Cost Control'!A174,0)</f>
        <v>0</v>
      </c>
      <c r="L1506" s="2151">
        <f>'Cost Control'!L174</f>
        <v>0</v>
      </c>
      <c r="M1506" s="2152"/>
    </row>
    <row r="1507" spans="2:13" s="518" customFormat="1" ht="15.45">
      <c r="B1507" s="652"/>
      <c r="C1507" s="484"/>
      <c r="D1507" s="484"/>
      <c r="E1507" s="484"/>
      <c r="F1507" s="484"/>
      <c r="G1507" s="484"/>
      <c r="H1507" s="484"/>
      <c r="I1507" s="2148" t="str">
        <f>IF(L1507&lt;&gt;0,'Cost Control'!B175," ")</f>
        <v xml:space="preserve"> </v>
      </c>
      <c r="J1507" s="2149"/>
      <c r="K1507" s="1161">
        <f>IF(L1507&lt;&gt;0,'Cost Control'!A175,0)</f>
        <v>0</v>
      </c>
      <c r="L1507" s="2151">
        <f>'Cost Control'!L175</f>
        <v>0</v>
      </c>
      <c r="M1507" s="2152"/>
    </row>
    <row r="1508" spans="2:13" s="518" customFormat="1" ht="15.45">
      <c r="B1508" s="652"/>
      <c r="C1508" s="484"/>
      <c r="D1508" s="484"/>
      <c r="E1508" s="484"/>
      <c r="F1508" s="484"/>
      <c r="G1508" s="484"/>
      <c r="H1508" s="484"/>
      <c r="I1508" s="2148" t="str">
        <f>IF(L1508&lt;&gt;0,'Cost Control'!B176," ")</f>
        <v xml:space="preserve"> </v>
      </c>
      <c r="J1508" s="2149"/>
      <c r="K1508" s="1161">
        <f>IF(L1508&lt;&gt;0,'Cost Control'!A176,0)</f>
        <v>0</v>
      </c>
      <c r="L1508" s="2151">
        <f>'Cost Control'!L176</f>
        <v>0</v>
      </c>
      <c r="M1508" s="2152"/>
    </row>
    <row r="1509" spans="2:13" s="518" customFormat="1" ht="15.45">
      <c r="B1509" s="652"/>
      <c r="C1509" s="484"/>
      <c r="D1509" s="484"/>
      <c r="E1509" s="484"/>
      <c r="F1509" s="484"/>
      <c r="G1509" s="484"/>
      <c r="H1509" s="484"/>
      <c r="I1509" s="2148" t="str">
        <f>IF(L1509&lt;&gt;0,'Cost Control'!B177," ")</f>
        <v xml:space="preserve"> </v>
      </c>
      <c r="J1509" s="2149"/>
      <c r="K1509" s="1161">
        <f>IF(L1509&lt;&gt;0,'Cost Control'!A177,0)</f>
        <v>0</v>
      </c>
      <c r="L1509" s="2151">
        <f>'Cost Control'!L177</f>
        <v>0</v>
      </c>
      <c r="M1509" s="2152"/>
    </row>
    <row r="1510" spans="2:13" s="518" customFormat="1" ht="15.45">
      <c r="B1510" s="652"/>
      <c r="C1510" s="484"/>
      <c r="D1510" s="484"/>
      <c r="E1510" s="484"/>
      <c r="F1510" s="484"/>
      <c r="G1510" s="484"/>
      <c r="H1510" s="484"/>
      <c r="I1510" s="2148" t="str">
        <f>IF(L1510&lt;&gt;0,'Cost Control'!B178," ")</f>
        <v xml:space="preserve"> </v>
      </c>
      <c r="J1510" s="2149"/>
      <c r="K1510" s="1161">
        <f>IF(L1510&lt;&gt;0,'Cost Control'!A178,0)</f>
        <v>0</v>
      </c>
      <c r="L1510" s="2151">
        <f>'Cost Control'!L178</f>
        <v>0</v>
      </c>
      <c r="M1510" s="2152"/>
    </row>
    <row r="1511" spans="2:13" s="518" customFormat="1" ht="15.45">
      <c r="B1511" s="652"/>
      <c r="C1511" s="484"/>
      <c r="D1511" s="484"/>
      <c r="E1511" s="484"/>
      <c r="F1511" s="484"/>
      <c r="G1511" s="484"/>
      <c r="H1511" s="484"/>
      <c r="I1511" s="2148" t="str">
        <f>IF(L1511&lt;&gt;0,'Cost Control'!B179," ")</f>
        <v xml:space="preserve"> </v>
      </c>
      <c r="J1511" s="2149"/>
      <c r="K1511" s="1161">
        <f>IF(L1511&lt;&gt;0,'Cost Control'!A179,0)</f>
        <v>0</v>
      </c>
      <c r="L1511" s="2151">
        <f>'Cost Control'!L179</f>
        <v>0</v>
      </c>
      <c r="M1511" s="2152"/>
    </row>
    <row r="1512" spans="2:13" s="518" customFormat="1" ht="15.45">
      <c r="B1512" s="652"/>
      <c r="C1512" s="484"/>
      <c r="D1512" s="484"/>
      <c r="E1512" s="484"/>
      <c r="F1512" s="484"/>
      <c r="G1512" s="484"/>
      <c r="H1512" s="484"/>
      <c r="I1512" s="2148" t="str">
        <f>IF(L1512&lt;&gt;0,'Cost Control'!B180," ")</f>
        <v xml:space="preserve"> </v>
      </c>
      <c r="J1512" s="2149"/>
      <c r="K1512" s="1161">
        <f>IF(L1512&lt;&gt;0,'Cost Control'!A180,0)</f>
        <v>0</v>
      </c>
      <c r="L1512" s="2151">
        <f>'Cost Control'!L180</f>
        <v>0</v>
      </c>
      <c r="M1512" s="2152"/>
    </row>
    <row r="1513" spans="2:13" s="518" customFormat="1" ht="15.45">
      <c r="B1513" s="652"/>
      <c r="C1513" s="484"/>
      <c r="D1513" s="484"/>
      <c r="E1513" s="484"/>
      <c r="F1513" s="484"/>
      <c r="G1513" s="484"/>
      <c r="H1513" s="484"/>
      <c r="I1513" s="2148" t="str">
        <f>IF(L1513&lt;&gt;0,'Cost Control'!B181," ")</f>
        <v xml:space="preserve"> </v>
      </c>
      <c r="J1513" s="2149"/>
      <c r="K1513" s="1161">
        <f>IF(L1513&lt;&gt;0,'Cost Control'!A181,0)</f>
        <v>0</v>
      </c>
      <c r="L1513" s="2151">
        <f>'Cost Control'!L181</f>
        <v>0</v>
      </c>
      <c r="M1513" s="2152"/>
    </row>
    <row r="1514" spans="2:13" s="518" customFormat="1" ht="15.45">
      <c r="B1514" s="652"/>
      <c r="C1514" s="484"/>
      <c r="D1514" s="484"/>
      <c r="E1514" s="484"/>
      <c r="F1514" s="484"/>
      <c r="G1514" s="484"/>
      <c r="H1514" s="484"/>
      <c r="I1514" s="2148" t="str">
        <f>IF(L1514&lt;&gt;0,'Cost Control'!B182," ")</f>
        <v xml:space="preserve"> </v>
      </c>
      <c r="J1514" s="2149"/>
      <c r="K1514" s="1161">
        <f>IF(L1514&lt;&gt;0,'Cost Control'!A182,0)</f>
        <v>0</v>
      </c>
      <c r="L1514" s="2151">
        <f>'Cost Control'!L182</f>
        <v>0</v>
      </c>
      <c r="M1514" s="2152"/>
    </row>
    <row r="1515" spans="2:13" s="518" customFormat="1" ht="15.45">
      <c r="B1515" s="652"/>
      <c r="C1515" s="484"/>
      <c r="D1515" s="484"/>
      <c r="E1515" s="484"/>
      <c r="F1515" s="484"/>
      <c r="G1515" s="484"/>
      <c r="H1515" s="484"/>
      <c r="I1515" s="2148" t="str">
        <f>IF(L1515&lt;&gt;0,'Cost Control'!B183," ")</f>
        <v xml:space="preserve"> </v>
      </c>
      <c r="J1515" s="2149"/>
      <c r="K1515" s="1161">
        <f>IF(L1515&lt;&gt;0,'Cost Control'!A183,0)</f>
        <v>0</v>
      </c>
      <c r="L1515" s="2151">
        <f>'Cost Control'!L183</f>
        <v>0</v>
      </c>
      <c r="M1515" s="2152"/>
    </row>
    <row r="1516" spans="2:13" s="518" customFormat="1" ht="15.45">
      <c r="B1516" s="652"/>
      <c r="C1516" s="484"/>
      <c r="D1516" s="484"/>
      <c r="E1516" s="484"/>
      <c r="F1516" s="484"/>
      <c r="G1516" s="484"/>
      <c r="H1516" s="484"/>
      <c r="I1516" s="2148" t="str">
        <f>IF(L1516&lt;&gt;0,'Cost Control'!B184," ")</f>
        <v xml:space="preserve"> </v>
      </c>
      <c r="J1516" s="2149"/>
      <c r="K1516" s="1161">
        <f>IF(L1516&lt;&gt;0,'Cost Control'!A184,0)</f>
        <v>0</v>
      </c>
      <c r="L1516" s="2151">
        <f>'Cost Control'!L184</f>
        <v>0</v>
      </c>
      <c r="M1516" s="2152"/>
    </row>
    <row r="1517" spans="2:13" s="518" customFormat="1" ht="15.45">
      <c r="B1517" s="652"/>
      <c r="C1517" s="484"/>
      <c r="D1517" s="484"/>
      <c r="E1517" s="484"/>
      <c r="F1517" s="484"/>
      <c r="G1517" s="484"/>
      <c r="H1517" s="484"/>
      <c r="I1517" s="2148" t="str">
        <f>IF(L1517&lt;&gt;0,'Cost Control'!B185," ")</f>
        <v xml:space="preserve"> </v>
      </c>
      <c r="J1517" s="2149"/>
      <c r="K1517" s="1161">
        <f>IF(L1517&lt;&gt;0,'Cost Control'!A185,0)</f>
        <v>0</v>
      </c>
      <c r="L1517" s="2151">
        <f>'Cost Control'!L185</f>
        <v>0</v>
      </c>
      <c r="M1517" s="2152"/>
    </row>
    <row r="1518" spans="2:13" s="518" customFormat="1" ht="15.45">
      <c r="B1518" s="652"/>
      <c r="C1518" s="484"/>
      <c r="D1518" s="484"/>
      <c r="E1518" s="484"/>
      <c r="F1518" s="484"/>
      <c r="G1518" s="484"/>
      <c r="H1518" s="484"/>
      <c r="I1518" s="2148" t="str">
        <f>IF(L1518&lt;&gt;0,'Cost Control'!B186," ")</f>
        <v xml:space="preserve"> </v>
      </c>
      <c r="J1518" s="2149"/>
      <c r="K1518" s="1161">
        <f>IF(L1518&lt;&gt;0,'Cost Control'!A186,0)</f>
        <v>0</v>
      </c>
      <c r="L1518" s="2151">
        <f>'Cost Control'!L186</f>
        <v>0</v>
      </c>
      <c r="M1518" s="2152"/>
    </row>
    <row r="1519" spans="2:13" s="518" customFormat="1" ht="15.45">
      <c r="B1519" s="652"/>
      <c r="C1519" s="484"/>
      <c r="D1519" s="484"/>
      <c r="E1519" s="484"/>
      <c r="F1519" s="484"/>
      <c r="G1519" s="484"/>
      <c r="H1519" s="484"/>
      <c r="I1519" s="2148" t="str">
        <f>IF(L1519&lt;&gt;0,'Cost Control'!B187," ")</f>
        <v xml:space="preserve"> </v>
      </c>
      <c r="J1519" s="2149"/>
      <c r="K1519" s="1161">
        <f>IF(L1519&lt;&gt;0,'Cost Control'!A187,0)</f>
        <v>0</v>
      </c>
      <c r="L1519" s="2151">
        <f>'Cost Control'!L187</f>
        <v>0</v>
      </c>
      <c r="M1519" s="2152"/>
    </row>
    <row r="1520" spans="2:13" s="518" customFormat="1" ht="15.45">
      <c r="B1520" s="652"/>
      <c r="C1520" s="484"/>
      <c r="D1520" s="484"/>
      <c r="E1520" s="484"/>
      <c r="F1520" s="484"/>
      <c r="G1520" s="484"/>
      <c r="H1520" s="484"/>
      <c r="I1520" s="2148" t="str">
        <f>IF(L1520&lt;&gt;0,'Cost Control'!B188," ")</f>
        <v xml:space="preserve"> </v>
      </c>
      <c r="J1520" s="2149"/>
      <c r="K1520" s="1161">
        <f>IF(L1520&lt;&gt;0,'Cost Control'!A188,0)</f>
        <v>0</v>
      </c>
      <c r="L1520" s="2151">
        <f>'Cost Control'!L188</f>
        <v>0</v>
      </c>
      <c r="M1520" s="2152"/>
    </row>
    <row r="1521" spans="2:13" s="518" customFormat="1" ht="15.45">
      <c r="B1521" s="652"/>
      <c r="C1521" s="484"/>
      <c r="D1521" s="484"/>
      <c r="E1521" s="484"/>
      <c r="F1521" s="484"/>
      <c r="G1521" s="484"/>
      <c r="H1521" s="484"/>
      <c r="I1521" s="2148" t="str">
        <f>IF(L1521&lt;&gt;0,'Cost Control'!B189," ")</f>
        <v xml:space="preserve"> </v>
      </c>
      <c r="J1521" s="2149"/>
      <c r="K1521" s="1161">
        <f>IF(L1521&lt;&gt;0,'Cost Control'!A189,0)</f>
        <v>0</v>
      </c>
      <c r="L1521" s="2151">
        <f>'Cost Control'!L189</f>
        <v>0</v>
      </c>
      <c r="M1521" s="2152"/>
    </row>
    <row r="1522" spans="2:13" s="518" customFormat="1" ht="15.45">
      <c r="B1522" s="652"/>
      <c r="C1522" s="484"/>
      <c r="D1522" s="484"/>
      <c r="E1522" s="484"/>
      <c r="F1522" s="484"/>
      <c r="G1522" s="484"/>
      <c r="H1522" s="484"/>
      <c r="I1522" s="2148" t="str">
        <f>IF(L1522&lt;&gt;0,'Cost Control'!B190," ")</f>
        <v xml:space="preserve"> </v>
      </c>
      <c r="J1522" s="2149"/>
      <c r="K1522" s="1161">
        <f>IF(L1522&lt;&gt;0,'Cost Control'!A190,0)</f>
        <v>0</v>
      </c>
      <c r="L1522" s="2151">
        <f>'Cost Control'!L190</f>
        <v>0</v>
      </c>
      <c r="M1522" s="2152"/>
    </row>
    <row r="1523" spans="2:13" s="518" customFormat="1" ht="15.45">
      <c r="B1523" s="652"/>
      <c r="C1523" s="484"/>
      <c r="D1523" s="484"/>
      <c r="E1523" s="484"/>
      <c r="F1523" s="484"/>
      <c r="G1523" s="484"/>
      <c r="H1523" s="484"/>
      <c r="I1523" s="2148" t="str">
        <f>IF(L1523&lt;&gt;0,'Cost Control'!B191," ")</f>
        <v xml:space="preserve"> </v>
      </c>
      <c r="J1523" s="2149"/>
      <c r="K1523" s="1161">
        <f>IF(L1523&lt;&gt;0,'Cost Control'!A191,0)</f>
        <v>0</v>
      </c>
      <c r="L1523" s="2151">
        <f>'Cost Control'!L191</f>
        <v>0</v>
      </c>
      <c r="M1523" s="2152"/>
    </row>
    <row r="1524" spans="2:13" s="518" customFormat="1" ht="15.45">
      <c r="B1524" s="652"/>
      <c r="C1524" s="484"/>
      <c r="D1524" s="484"/>
      <c r="E1524" s="484"/>
      <c r="F1524" s="484"/>
      <c r="G1524" s="484"/>
      <c r="H1524" s="484"/>
      <c r="I1524" s="2148" t="str">
        <f>IF(L1524&lt;&gt;0,'Cost Control'!B192," ")</f>
        <v xml:space="preserve"> </v>
      </c>
      <c r="J1524" s="2149"/>
      <c r="K1524" s="1161">
        <f>IF(L1524&lt;&gt;0,'Cost Control'!A192,0)</f>
        <v>0</v>
      </c>
      <c r="L1524" s="2151">
        <f>'Cost Control'!L192</f>
        <v>0</v>
      </c>
      <c r="M1524" s="2152"/>
    </row>
    <row r="1525" spans="2:13" s="518" customFormat="1" ht="15.45">
      <c r="B1525" s="652"/>
      <c r="C1525" s="484"/>
      <c r="D1525" s="484"/>
      <c r="E1525" s="484"/>
      <c r="F1525" s="484"/>
      <c r="G1525" s="484"/>
      <c r="H1525" s="484"/>
      <c r="I1525" s="2148" t="str">
        <f>IF(L1525&lt;&gt;0,'Cost Control'!B193," ")</f>
        <v xml:space="preserve"> </v>
      </c>
      <c r="J1525" s="2149"/>
      <c r="K1525" s="1161">
        <f>IF(L1525&lt;&gt;0,'Cost Control'!A193,0)</f>
        <v>0</v>
      </c>
      <c r="L1525" s="2151">
        <f>'Cost Control'!L193</f>
        <v>0</v>
      </c>
      <c r="M1525" s="2152"/>
    </row>
    <row r="1526" spans="2:13" s="518" customFormat="1" ht="15.45">
      <c r="B1526" s="652"/>
      <c r="C1526" s="484"/>
      <c r="D1526" s="484"/>
      <c r="E1526" s="484"/>
      <c r="F1526" s="484"/>
      <c r="G1526" s="484"/>
      <c r="H1526" s="484"/>
      <c r="I1526" s="2148" t="str">
        <f>IF(L1526&lt;&gt;0,'Cost Control'!B194," ")</f>
        <v xml:space="preserve"> </v>
      </c>
      <c r="J1526" s="2149"/>
      <c r="K1526" s="1161">
        <f>IF(L1526&lt;&gt;0,'Cost Control'!A194,0)</f>
        <v>0</v>
      </c>
      <c r="L1526" s="2151">
        <f>'Cost Control'!L194</f>
        <v>0</v>
      </c>
      <c r="M1526" s="2152"/>
    </row>
    <row r="1527" spans="2:13" s="518" customFormat="1" ht="16.100000000000001" thickBot="1">
      <c r="B1527" s="652"/>
      <c r="C1527" s="484"/>
      <c r="D1527" s="484"/>
      <c r="E1527" s="484"/>
      <c r="F1527" s="484"/>
      <c r="G1527" s="484"/>
      <c r="H1527" s="484"/>
      <c r="I1527" s="2148" t="str">
        <f>IF(L1527&lt;&gt;0,'Cost Control'!B195," ")</f>
        <v xml:space="preserve"> </v>
      </c>
      <c r="J1527" s="2149"/>
      <c r="K1527" s="1161">
        <f>IF(L1527&lt;&gt;0,'Cost Control'!A195,0)</f>
        <v>0</v>
      </c>
      <c r="L1527" s="2151">
        <f>'Cost Control'!L195</f>
        <v>0</v>
      </c>
      <c r="M1527" s="2152"/>
    </row>
    <row r="1528" spans="2:13" ht="13.1">
      <c r="B1528" s="141" t="s">
        <v>695</v>
      </c>
      <c r="C1528" s="50"/>
      <c r="D1528" s="50"/>
      <c r="E1528" s="2150">
        <f>K1544</f>
        <v>28</v>
      </c>
      <c r="F1528" s="2150"/>
      <c r="G1528" s="50"/>
      <c r="H1528" s="50"/>
      <c r="I1528" s="50"/>
      <c r="J1528" s="50"/>
      <c r="K1528" s="50"/>
      <c r="L1528" s="50"/>
      <c r="M1528" s="43"/>
    </row>
    <row r="1529" spans="2:13">
      <c r="B1529" s="1628"/>
      <c r="C1529" s="1629"/>
      <c r="D1529" s="1629"/>
      <c r="E1529" s="1629"/>
      <c r="F1529" s="1629"/>
      <c r="G1529" s="1629"/>
      <c r="H1529" s="1629"/>
      <c r="I1529" s="1629"/>
      <c r="J1529" s="1629"/>
      <c r="K1529" s="1629"/>
      <c r="L1529" s="1629"/>
      <c r="M1529" s="1630"/>
    </row>
    <row r="1530" spans="2:13" ht="13.5" thickBot="1">
      <c r="B1530" s="1480"/>
      <c r="C1530" s="1479"/>
      <c r="D1530" s="1479"/>
      <c r="E1530" s="1479"/>
      <c r="F1530" s="1479"/>
      <c r="G1530" s="1479"/>
      <c r="H1530" s="1631"/>
      <c r="I1530" s="1631"/>
      <c r="J1530" s="1631"/>
      <c r="K1530" s="1631"/>
      <c r="L1530" s="1631"/>
      <c r="M1530" s="1555"/>
    </row>
    <row r="1531" spans="2:13" ht="15.45">
      <c r="B1531" s="307" t="s">
        <v>645</v>
      </c>
      <c r="C1531" s="308"/>
      <c r="D1531" s="2135">
        <f>D1476</f>
        <v>0</v>
      </c>
      <c r="E1531" s="2135"/>
      <c r="F1531" s="309" t="s">
        <v>647</v>
      </c>
      <c r="G1531" s="310">
        <f>G1476</f>
        <v>0</v>
      </c>
      <c r="H1531" s="172" t="s">
        <v>648</v>
      </c>
      <c r="I1531" s="472">
        <v>0</v>
      </c>
      <c r="J1531" s="2173" t="s">
        <v>650</v>
      </c>
      <c r="K1531" s="2173"/>
      <c r="L1531" s="1378"/>
      <c r="M1531" s="486" t="str">
        <f>M1476</f>
        <v>° F</v>
      </c>
    </row>
    <row r="1532" spans="2:13">
      <c r="B1532" s="44" t="s">
        <v>644</v>
      </c>
      <c r="E1532" t="s">
        <v>655</v>
      </c>
      <c r="G1532">
        <f>IF('Daily Load'!P506="Yes",Operations!D1493,IF('Daily Load'!V506="Yes",Operations!D1495,Operations!D1496))</f>
        <v>0</v>
      </c>
      <c r="I1532" s="195" t="s">
        <v>651</v>
      </c>
      <c r="L1532" s="2170">
        <f>'Cost Control'!L230</f>
        <v>0</v>
      </c>
      <c r="M1532" s="2171"/>
    </row>
    <row r="1533" spans="2:13">
      <c r="B1533" s="44"/>
      <c r="E1533" s="223" t="s">
        <v>193</v>
      </c>
      <c r="F1533" s="223" t="s">
        <v>194</v>
      </c>
      <c r="G1533" s="223" t="str">
        <f>G1478</f>
        <v>Other</v>
      </c>
      <c r="H1533" s="1627" t="s">
        <v>587</v>
      </c>
      <c r="I1533" s="31" t="s">
        <v>652</v>
      </c>
      <c r="L1533" s="2170">
        <f>L1479</f>
        <v>0</v>
      </c>
      <c r="M1533" s="2171"/>
    </row>
    <row r="1534" spans="2:13" ht="13.5" thickBot="1">
      <c r="B1534" s="44" t="s">
        <v>643</v>
      </c>
      <c r="E1534" s="361">
        <f>IF(E1538&gt;0,E1536-E1538,E1536+E1537+E1535)</f>
        <v>0</v>
      </c>
      <c r="F1534" s="361">
        <f>IF(F1538&gt;0,F1536-F1538,F1536+F1537+F1535)</f>
        <v>0</v>
      </c>
      <c r="G1534" s="361">
        <f>IF(G1538&gt;0,G1536-G1538,G1536+G1537+G1535)</f>
        <v>0</v>
      </c>
      <c r="H1534" t="str">
        <f>H1483</f>
        <v>bbl</v>
      </c>
      <c r="I1534" s="31" t="s">
        <v>653</v>
      </c>
      <c r="L1534" s="2163">
        <f>L1532+L1533</f>
        <v>0</v>
      </c>
      <c r="M1534" s="2164"/>
    </row>
    <row r="1535" spans="2:13" ht="13.5" thickTop="1">
      <c r="B1535" s="311" t="s">
        <v>642</v>
      </c>
      <c r="E1535" s="361">
        <f>IF('Daily Load'!P506="Yes",'Daily Load'!L501,IF('Daily Load'!V506="Yes",'Daily Load'!R501,'Daily Load'!X501))</f>
        <v>0</v>
      </c>
      <c r="F1535" s="361">
        <f>IF('Daily Load'!P506="Yes",'Daily Load'!N501,IF('Daily Load'!V506="Yes",'Daily Load'!T501,'Daily Load'!Z501))</f>
        <v>0</v>
      </c>
      <c r="G1535" s="361">
        <f>IF('Daily Load'!P506="Yes",'Daily Load'!P501,IF('Daily Load'!V506="Yes",'Daily Load'!V501,'Daily Load'!AB501))</f>
        <v>0</v>
      </c>
      <c r="H1535" t="str">
        <f>H1534</f>
        <v>bbl</v>
      </c>
      <c r="I1535" s="31"/>
      <c r="L1535" s="521"/>
      <c r="M1535" s="522"/>
    </row>
    <row r="1536" spans="2:13">
      <c r="B1536" s="44" t="s">
        <v>641</v>
      </c>
      <c r="E1536" s="361">
        <f>IF(G1532=D9,'Daily Load'!F505+E1481,IF(G1532=G1477,'Daily Load'!F505+E1481,'Daily Load'!F505))</f>
        <v>0</v>
      </c>
      <c r="F1536" s="361">
        <f>IF(G1532=D9,'Daily Load'!H505+F1481,IF(G1532=G1477,'Daily Load'!H505+F1481,'Daily Load'!H505))</f>
        <v>0</v>
      </c>
      <c r="G1536" s="361">
        <f>IF(G1532=D9,'Daily Load'!J505+G1481,IF(G1532=G1477,'Daily Load'!J505+G1481,'Daily Load'!J505))</f>
        <v>0</v>
      </c>
      <c r="H1536" t="str">
        <f>H1535</f>
        <v>bbl</v>
      </c>
      <c r="I1536" s="33" t="s">
        <v>654</v>
      </c>
      <c r="J1536" s="19"/>
      <c r="K1536" s="19"/>
      <c r="L1536" s="2165">
        <f>L1481</f>
        <v>0</v>
      </c>
      <c r="M1536" s="2166"/>
    </row>
    <row r="1537" spans="2:13">
      <c r="B1537" s="44" t="s">
        <v>640</v>
      </c>
      <c r="E1537" s="361">
        <f>IF('Daily Load'!P506="Yes",'Daily Load'!L503,IF('Daily Load'!V506="Yes",'Daily Load'!R503,'Daily Load'!X503))</f>
        <v>0</v>
      </c>
      <c r="F1537" s="361">
        <f>IF('Daily Load'!P506="Yes",'Daily Load'!N503,IF('Daily Load'!V506="Yes",'Daily Load'!T503,'Daily Load'!Z503))</f>
        <v>0</v>
      </c>
      <c r="G1537" s="361">
        <f>IF('Daily Load'!P506="Yes",'Daily Load'!P503,IF('Daily Load'!V506="Yes",'Daily Load'!V503,'Daily Load'!AB503))</f>
        <v>0</v>
      </c>
      <c r="H1537" t="str">
        <f>H1536</f>
        <v>bbl</v>
      </c>
      <c r="I1537" s="2160" t="str">
        <f>I1482</f>
        <v xml:space="preserve"> </v>
      </c>
      <c r="J1537" s="2059"/>
      <c r="K1537" s="2161"/>
      <c r="L1537" s="2162" t="str">
        <f>L1482</f>
        <v xml:space="preserve">0 </v>
      </c>
      <c r="M1537" s="2155"/>
    </row>
    <row r="1538" spans="2:13" ht="13.5" thickBot="1">
      <c r="B1538" s="46" t="s">
        <v>639</v>
      </c>
      <c r="C1538" s="21"/>
      <c r="D1538" s="21"/>
      <c r="E1538" s="380">
        <f>IF('Daily Load'!P506="Yes",'Daily Load'!L504,IF('Daily Load'!V506="Yes",'Daily Load'!R504,'Daily Load'!X504))</f>
        <v>0</v>
      </c>
      <c r="F1538" s="380">
        <f>IF('Daily Load'!P506="Yes",'Daily Load'!N504,IF('Daily Load'!V506="Yes",'Daily Load'!T504,'Daily Load'!Z504))</f>
        <v>0</v>
      </c>
      <c r="G1538" s="380">
        <f>IF('Daily Load'!P506="Yes",'Daily Load'!P504,IF('Daily Load'!V506="Yes",'Daily Load'!V504,'Daily Load'!AB504))</f>
        <v>0</v>
      </c>
      <c r="H1538" s="21" t="str">
        <f>H1537</f>
        <v>bbl</v>
      </c>
      <c r="I1538" s="2167" t="s">
        <v>677</v>
      </c>
      <c r="J1538" s="2168"/>
      <c r="K1538" s="2169"/>
      <c r="L1538" s="2167" t="s">
        <v>826</v>
      </c>
      <c r="M1538" s="2172"/>
    </row>
    <row r="1539" spans="2:13">
      <c r="B1539" s="50"/>
      <c r="C1539" s="50"/>
      <c r="D1539" s="50"/>
      <c r="E1539" s="1185"/>
      <c r="F1539" s="1185"/>
      <c r="G1539" s="1185"/>
      <c r="I1539" s="1186"/>
      <c r="J1539" s="1186"/>
      <c r="K1539" s="1186"/>
      <c r="L1539" s="1186"/>
      <c r="M1539" s="1186"/>
    </row>
    <row r="1540" spans="2:13" ht="13.5" thickBot="1">
      <c r="B1540" s="21"/>
      <c r="C1540" s="21"/>
      <c r="D1540" s="21"/>
      <c r="E1540" s="21"/>
      <c r="F1540" s="21"/>
      <c r="G1540" s="21"/>
      <c r="H1540" s="21"/>
      <c r="I1540" s="21"/>
      <c r="J1540" s="21"/>
      <c r="K1540" s="21"/>
      <c r="L1540" s="21"/>
      <c r="M1540" s="21"/>
    </row>
    <row r="1541" spans="2:13">
      <c r="B1541" s="44"/>
      <c r="M1541" s="45"/>
    </row>
    <row r="1542" spans="2:13">
      <c r="B1542" s="44"/>
      <c r="J1542" s="2143">
        <f>J1487</f>
        <v>0</v>
      </c>
      <c r="K1542" s="2143"/>
      <c r="L1542" s="2143"/>
      <c r="M1542" s="45"/>
    </row>
    <row r="1543" spans="2:13">
      <c r="B1543" s="44"/>
      <c r="M1543" s="45"/>
    </row>
    <row r="1544" spans="2:13" ht="13.1">
      <c r="B1544" s="137" t="s">
        <v>634</v>
      </c>
      <c r="C1544">
        <f>Summary!$C$6</f>
        <v>0</v>
      </c>
      <c r="H1544" s="22" t="s">
        <v>636</v>
      </c>
      <c r="I1544" s="22"/>
      <c r="K1544" s="2158">
        <f>'Cost Control'!M161</f>
        <v>28</v>
      </c>
      <c r="L1544" s="2158"/>
      <c r="M1544" s="2159"/>
    </row>
    <row r="1545" spans="2:13" ht="13.1">
      <c r="B1545" s="44"/>
      <c r="H1545" s="22"/>
      <c r="I1545" s="22"/>
      <c r="M1545" s="45"/>
    </row>
    <row r="1546" spans="2:13" ht="13.1">
      <c r="B1546" s="137" t="s">
        <v>635</v>
      </c>
      <c r="D1546" s="2136">
        <f>D1491</f>
        <v>0</v>
      </c>
      <c r="E1546" s="2136"/>
      <c r="F1546" s="2136"/>
      <c r="G1546" s="2136"/>
      <c r="H1546" s="2136"/>
      <c r="I1546" s="22" t="s">
        <v>637</v>
      </c>
      <c r="J1546" s="3">
        <f>J1491+1</f>
        <v>29</v>
      </c>
      <c r="M1546" s="45"/>
    </row>
    <row r="1547" spans="2:13" ht="13.1">
      <c r="B1547" s="137"/>
      <c r="D1547" s="2136"/>
      <c r="E1547" s="2136"/>
      <c r="F1547" s="2136"/>
      <c r="G1547" s="2136"/>
      <c r="H1547" s="2136"/>
      <c r="I1547" t="s">
        <v>63</v>
      </c>
      <c r="J1547" s="2142">
        <f>J1492</f>
        <v>0</v>
      </c>
      <c r="K1547" s="2143"/>
      <c r="M1547" s="45"/>
    </row>
    <row r="1548" spans="2:13" ht="13.1">
      <c r="B1548" s="137" t="s">
        <v>146</v>
      </c>
      <c r="D1548">
        <f>Summary!$C$32</f>
        <v>0</v>
      </c>
      <c r="F1548" s="1819" t="str">
        <f>F1493</f>
        <v>OPEN HOLE INTERVAL:</v>
      </c>
      <c r="G1548" s="1819"/>
      <c r="H1548" s="2147">
        <f>H1493</f>
        <v>0</v>
      </c>
      <c r="I1548" s="2147"/>
      <c r="J1548" s="2147">
        <f>J1493</f>
        <v>0</v>
      </c>
      <c r="K1548" s="2147"/>
      <c r="L1548" s="2147">
        <f>L1493</f>
        <v>0</v>
      </c>
      <c r="M1548" s="2154"/>
    </row>
    <row r="1549" spans="2:13">
      <c r="B1549" s="44"/>
      <c r="H1549" s="2153"/>
      <c r="I1549" s="2153"/>
      <c r="J1549" s="1145"/>
      <c r="K1549" s="1145"/>
      <c r="L1549" s="1145"/>
      <c r="M1549" s="1146"/>
    </row>
    <row r="1550" spans="2:13" ht="13.1">
      <c r="B1550" s="44"/>
      <c r="D1550">
        <f>Summary!$F$32</f>
        <v>0</v>
      </c>
      <c r="F1550" s="1819" t="str">
        <f>F1495</f>
        <v xml:space="preserve"> </v>
      </c>
      <c r="G1550" s="1819"/>
      <c r="H1550" s="2137">
        <f>H1495</f>
        <v>0</v>
      </c>
      <c r="I1550" s="2137"/>
      <c r="J1550" s="2137">
        <f>J1495</f>
        <v>0</v>
      </c>
      <c r="K1550" s="2137"/>
      <c r="L1550" s="2137">
        <f>L1495</f>
        <v>0</v>
      </c>
      <c r="M1550" s="2155"/>
    </row>
    <row r="1551" spans="2:13" ht="13.1">
      <c r="B1551" s="44"/>
      <c r="D1551">
        <f>D1496</f>
        <v>0</v>
      </c>
      <c r="F1551" s="1819" t="str">
        <f>F1496</f>
        <v xml:space="preserve"> </v>
      </c>
      <c r="G1551" s="1819"/>
      <c r="H1551" s="1737">
        <f>H1496</f>
        <v>0</v>
      </c>
      <c r="I1551" s="1737"/>
      <c r="J1551" s="1737">
        <f>J1496</f>
        <v>0</v>
      </c>
      <c r="K1551" s="1737"/>
      <c r="L1551" s="1737">
        <f>L1496</f>
        <v>0</v>
      </c>
      <c r="M1551" s="1791"/>
    </row>
    <row r="1552" spans="2:13">
      <c r="B1552" s="44"/>
      <c r="M1552" s="45"/>
    </row>
    <row r="1553" spans="2:13" ht="13.75" thickBot="1">
      <c r="B1553" s="46"/>
      <c r="C1553" s="21"/>
      <c r="D1553" s="21"/>
      <c r="E1553" s="1664" t="s">
        <v>638</v>
      </c>
      <c r="F1553" s="1664"/>
      <c r="G1553" s="1664"/>
      <c r="H1553" s="1664"/>
      <c r="I1553" s="1664"/>
      <c r="J1553" s="21"/>
      <c r="K1553" s="21"/>
      <c r="L1553" s="21"/>
      <c r="M1553" s="47"/>
    </row>
    <row r="1554" spans="2:13" s="518" customFormat="1" ht="16.100000000000001" thickBot="1">
      <c r="B1554" s="651"/>
      <c r="C1554" s="484"/>
      <c r="D1554" s="484"/>
      <c r="E1554" s="484"/>
      <c r="F1554" s="484"/>
      <c r="G1554" s="484"/>
      <c r="H1554" s="484"/>
      <c r="I1554" s="2138" t="s">
        <v>61</v>
      </c>
      <c r="J1554" s="2139"/>
      <c r="K1554" s="2139"/>
      <c r="L1554" s="2139"/>
      <c r="M1554" s="2140"/>
    </row>
    <row r="1555" spans="2:13" s="518" customFormat="1" ht="16.100000000000001" thickBot="1">
      <c r="B1555" s="652"/>
      <c r="C1555" s="484"/>
      <c r="D1555" s="484"/>
      <c r="E1555" s="484"/>
      <c r="F1555" s="484"/>
      <c r="G1555" s="484"/>
      <c r="H1555" s="484"/>
      <c r="I1555" s="2141" t="str">
        <f>I1500</f>
        <v>Service</v>
      </c>
      <c r="J1555" s="2141"/>
      <c r="K1555" s="1159" t="s">
        <v>62</v>
      </c>
      <c r="L1555" s="2144" t="s">
        <v>1454</v>
      </c>
      <c r="M1555" s="2144"/>
    </row>
    <row r="1556" spans="2:13" s="518" customFormat="1" ht="16.100000000000001" thickBot="1">
      <c r="B1556" s="652"/>
      <c r="C1556" s="484"/>
      <c r="D1556" s="484"/>
      <c r="E1556" s="484"/>
      <c r="F1556" s="484"/>
      <c r="G1556" s="484"/>
      <c r="H1556" s="484"/>
      <c r="I1556" s="2145" t="s">
        <v>1538</v>
      </c>
      <c r="J1556" s="2146"/>
      <c r="K1556" s="1160">
        <f>IF(L1556&lt;&gt;0," ",0)</f>
        <v>0</v>
      </c>
      <c r="L1556" s="2156">
        <f>SUM('Cost Control'!M163:M172)</f>
        <v>0</v>
      </c>
      <c r="M1556" s="2157"/>
    </row>
    <row r="1557" spans="2:13" s="518" customFormat="1" ht="16.100000000000001" thickBot="1">
      <c r="B1557" s="652"/>
      <c r="C1557" s="484"/>
      <c r="D1557" s="484"/>
      <c r="E1557" s="484"/>
      <c r="F1557" s="484"/>
      <c r="G1557" s="484"/>
      <c r="H1557" s="484"/>
      <c r="I1557" s="2145" t="s">
        <v>1539</v>
      </c>
      <c r="J1557" s="2146"/>
      <c r="K1557" s="1161">
        <f>IF(L1557&lt;&gt;0,'Cost Control'!A209,0)</f>
        <v>0</v>
      </c>
      <c r="L1557" s="2151">
        <f>SUM('Cost Control'!M209:M214)</f>
        <v>0</v>
      </c>
      <c r="M1557" s="2152"/>
    </row>
    <row r="1558" spans="2:13" s="518" customFormat="1" ht="16.100000000000001" thickBot="1">
      <c r="B1558" s="652"/>
      <c r="C1558" s="484"/>
      <c r="D1558" s="484"/>
      <c r="E1558" s="484"/>
      <c r="F1558" s="484"/>
      <c r="G1558" s="484"/>
      <c r="H1558" s="484"/>
      <c r="I1558" s="2145" t="s">
        <v>903</v>
      </c>
      <c r="J1558" s="2146"/>
      <c r="K1558" s="1161">
        <f>IF(L1558&lt;&gt;0,'Cost Control'!A196,0)</f>
        <v>0</v>
      </c>
      <c r="L1558" s="2151">
        <f>SUM('Cost Control'!M196:M207)</f>
        <v>0</v>
      </c>
      <c r="M1558" s="2152"/>
    </row>
    <row r="1559" spans="2:13" s="518" customFormat="1" ht="16.100000000000001" thickBot="1">
      <c r="B1559" s="652"/>
      <c r="C1559" s="484"/>
      <c r="D1559" s="484"/>
      <c r="E1559" s="484"/>
      <c r="F1559" s="484"/>
      <c r="G1559" s="484"/>
      <c r="H1559" s="484"/>
      <c r="I1559" s="2145" t="s">
        <v>1540</v>
      </c>
      <c r="J1559" s="2146"/>
      <c r="K1559" s="1161" t="str">
        <f>IF(L1559&lt;&gt;0,'Cost Control'!A216," ")</f>
        <v xml:space="preserve"> </v>
      </c>
      <c r="L1559" s="2151">
        <f>SUM('Cost Control'!M216:M222)</f>
        <v>0</v>
      </c>
      <c r="M1559" s="2152"/>
    </row>
    <row r="1560" spans="2:13" s="518" customFormat="1" ht="15.45">
      <c r="B1560" s="652"/>
      <c r="C1560" s="484"/>
      <c r="D1560" s="484"/>
      <c r="E1560" s="484"/>
      <c r="F1560" s="484"/>
      <c r="G1560" s="484"/>
      <c r="H1560" s="484"/>
      <c r="I1560" s="2145" t="s">
        <v>1451</v>
      </c>
      <c r="J1560" s="2146"/>
      <c r="K1560" s="1161">
        <f>IF(L1560&lt;&gt;0,'Cost Control'!A2245,0)</f>
        <v>0</v>
      </c>
      <c r="L1560" s="2151">
        <f>SUM('Cost Control'!M224:M229)</f>
        <v>0</v>
      </c>
      <c r="M1560" s="2152"/>
    </row>
    <row r="1561" spans="2:13" s="518" customFormat="1" ht="15.45">
      <c r="B1561" s="652"/>
      <c r="C1561" s="484"/>
      <c r="D1561" s="484"/>
      <c r="E1561" s="484"/>
      <c r="F1561" s="484"/>
      <c r="G1561" s="484"/>
      <c r="H1561" s="484"/>
      <c r="I1561" s="2148" t="str">
        <f>IF(L1561&lt;&gt;0,'Cost Control'!B174," ")</f>
        <v xml:space="preserve"> </v>
      </c>
      <c r="J1561" s="2149"/>
      <c r="K1561" s="1161">
        <f>IF(L1561&lt;&gt;0,'Cost Control'!A174,0)</f>
        <v>0</v>
      </c>
      <c r="L1561" s="2151">
        <f>'Cost Control'!M174</f>
        <v>0</v>
      </c>
      <c r="M1561" s="2152"/>
    </row>
    <row r="1562" spans="2:13" s="518" customFormat="1" ht="15.45">
      <c r="B1562" s="652"/>
      <c r="C1562" s="484"/>
      <c r="D1562" s="484"/>
      <c r="E1562" s="484"/>
      <c r="F1562" s="484"/>
      <c r="G1562" s="484"/>
      <c r="H1562" s="484"/>
      <c r="I1562" s="2148" t="str">
        <f>IF(L1562&lt;&gt;0,'Cost Control'!B175," ")</f>
        <v xml:space="preserve"> </v>
      </c>
      <c r="J1562" s="2149"/>
      <c r="K1562" s="1161">
        <f>IF(L1562&lt;&gt;0,'Cost Control'!A175,0)</f>
        <v>0</v>
      </c>
      <c r="L1562" s="2151">
        <f>'Cost Control'!M175</f>
        <v>0</v>
      </c>
      <c r="M1562" s="2152"/>
    </row>
    <row r="1563" spans="2:13" s="518" customFormat="1" ht="15.45">
      <c r="B1563" s="652"/>
      <c r="C1563" s="484"/>
      <c r="D1563" s="484"/>
      <c r="E1563" s="484"/>
      <c r="F1563" s="484"/>
      <c r="G1563" s="484"/>
      <c r="H1563" s="484"/>
      <c r="I1563" s="2148" t="str">
        <f>IF(L1563&lt;&gt;0,'Cost Control'!B176," ")</f>
        <v xml:space="preserve"> </v>
      </c>
      <c r="J1563" s="2149"/>
      <c r="K1563" s="1161">
        <f>IF(L1563&lt;&gt;0,'Cost Control'!A176,0)</f>
        <v>0</v>
      </c>
      <c r="L1563" s="2151">
        <f>'Cost Control'!M176</f>
        <v>0</v>
      </c>
      <c r="M1563" s="2152"/>
    </row>
    <row r="1564" spans="2:13" s="518" customFormat="1" ht="15.45">
      <c r="B1564" s="652"/>
      <c r="C1564" s="484"/>
      <c r="D1564" s="484"/>
      <c r="E1564" s="484"/>
      <c r="F1564" s="484"/>
      <c r="G1564" s="484"/>
      <c r="H1564" s="484"/>
      <c r="I1564" s="2148" t="str">
        <f>IF(L1564&lt;&gt;0,'Cost Control'!B177," ")</f>
        <v xml:space="preserve"> </v>
      </c>
      <c r="J1564" s="2149"/>
      <c r="K1564" s="1161">
        <f>IF(L1564&lt;&gt;0,'Cost Control'!A177,0)</f>
        <v>0</v>
      </c>
      <c r="L1564" s="2151">
        <f>'Cost Control'!M177</f>
        <v>0</v>
      </c>
      <c r="M1564" s="2152"/>
    </row>
    <row r="1565" spans="2:13" s="518" customFormat="1" ht="15.45">
      <c r="B1565" s="652"/>
      <c r="C1565" s="484"/>
      <c r="D1565" s="484"/>
      <c r="E1565" s="484"/>
      <c r="F1565" s="484"/>
      <c r="G1565" s="484"/>
      <c r="H1565" s="484"/>
      <c r="I1565" s="2148" t="str">
        <f>IF(L1565&lt;&gt;0,'Cost Control'!B178," ")</f>
        <v xml:space="preserve"> </v>
      </c>
      <c r="J1565" s="2149"/>
      <c r="K1565" s="1161">
        <f>IF(L1565&lt;&gt;0,'Cost Control'!A178,0)</f>
        <v>0</v>
      </c>
      <c r="L1565" s="2151">
        <f>'Cost Control'!M178</f>
        <v>0</v>
      </c>
      <c r="M1565" s="2152"/>
    </row>
    <row r="1566" spans="2:13" s="518" customFormat="1" ht="15.45">
      <c r="B1566" s="652"/>
      <c r="C1566" s="484"/>
      <c r="D1566" s="484"/>
      <c r="E1566" s="484"/>
      <c r="F1566" s="484"/>
      <c r="G1566" s="484"/>
      <c r="H1566" s="484"/>
      <c r="I1566" s="2148" t="str">
        <f>IF(L1566&lt;&gt;0,'Cost Control'!B179," ")</f>
        <v xml:space="preserve"> </v>
      </c>
      <c r="J1566" s="2149"/>
      <c r="K1566" s="1161">
        <f>IF(L1566&lt;&gt;0,'Cost Control'!A179,0)</f>
        <v>0</v>
      </c>
      <c r="L1566" s="2151">
        <f>'Cost Control'!M179</f>
        <v>0</v>
      </c>
      <c r="M1566" s="2152"/>
    </row>
    <row r="1567" spans="2:13" s="518" customFormat="1" ht="15.45">
      <c r="B1567" s="652"/>
      <c r="C1567" s="484"/>
      <c r="D1567" s="484"/>
      <c r="E1567" s="484"/>
      <c r="F1567" s="484"/>
      <c r="G1567" s="484"/>
      <c r="H1567" s="484"/>
      <c r="I1567" s="2148" t="str">
        <f>IF(L1567&lt;&gt;0,'Cost Control'!B180," ")</f>
        <v xml:space="preserve"> </v>
      </c>
      <c r="J1567" s="2149"/>
      <c r="K1567" s="1161">
        <f>IF(L1567&lt;&gt;0,'Cost Control'!A180,0)</f>
        <v>0</v>
      </c>
      <c r="L1567" s="2151">
        <f>'Cost Control'!M180</f>
        <v>0</v>
      </c>
      <c r="M1567" s="2152"/>
    </row>
    <row r="1568" spans="2:13" s="518" customFormat="1" ht="15.45">
      <c r="B1568" s="652"/>
      <c r="C1568" s="484"/>
      <c r="D1568" s="484"/>
      <c r="E1568" s="484"/>
      <c r="F1568" s="484"/>
      <c r="G1568" s="484"/>
      <c r="H1568" s="484"/>
      <c r="I1568" s="2148" t="str">
        <f>IF(L1568&lt;&gt;0,'Cost Control'!B181," ")</f>
        <v xml:space="preserve"> </v>
      </c>
      <c r="J1568" s="2149"/>
      <c r="K1568" s="1161">
        <f>IF(L1568&lt;&gt;0,'Cost Control'!A181,0)</f>
        <v>0</v>
      </c>
      <c r="L1568" s="2151">
        <f>'Cost Control'!M181</f>
        <v>0</v>
      </c>
      <c r="M1568" s="2152"/>
    </row>
    <row r="1569" spans="2:13" s="518" customFormat="1" ht="15.45">
      <c r="B1569" s="652"/>
      <c r="C1569" s="484"/>
      <c r="D1569" s="484"/>
      <c r="E1569" s="484"/>
      <c r="F1569" s="484"/>
      <c r="G1569" s="484"/>
      <c r="H1569" s="484"/>
      <c r="I1569" s="2148" t="str">
        <f>IF(L1569&lt;&gt;0,'Cost Control'!B182," ")</f>
        <v xml:space="preserve"> </v>
      </c>
      <c r="J1569" s="2149"/>
      <c r="K1569" s="1161">
        <f>IF(L1569&lt;&gt;0,'Cost Control'!A182,0)</f>
        <v>0</v>
      </c>
      <c r="L1569" s="2151">
        <f>'Cost Control'!M182</f>
        <v>0</v>
      </c>
      <c r="M1569" s="2152"/>
    </row>
    <row r="1570" spans="2:13" s="518" customFormat="1" ht="15.45">
      <c r="B1570" s="652"/>
      <c r="C1570" s="484"/>
      <c r="D1570" s="484"/>
      <c r="E1570" s="484"/>
      <c r="F1570" s="484"/>
      <c r="G1570" s="484"/>
      <c r="H1570" s="484"/>
      <c r="I1570" s="2148" t="str">
        <f>IF(L1570&lt;&gt;0,'Cost Control'!B183," ")</f>
        <v xml:space="preserve"> </v>
      </c>
      <c r="J1570" s="2149"/>
      <c r="K1570" s="1161">
        <f>IF(L1570&lt;&gt;0,'Cost Control'!A183,0)</f>
        <v>0</v>
      </c>
      <c r="L1570" s="2151">
        <f>'Cost Control'!M183</f>
        <v>0</v>
      </c>
      <c r="M1570" s="2152"/>
    </row>
    <row r="1571" spans="2:13" s="518" customFormat="1" ht="15.45">
      <c r="B1571" s="652"/>
      <c r="C1571" s="484"/>
      <c r="D1571" s="484"/>
      <c r="E1571" s="484"/>
      <c r="F1571" s="484"/>
      <c r="G1571" s="484"/>
      <c r="H1571" s="484"/>
      <c r="I1571" s="2148" t="str">
        <f>IF(L1571&lt;&gt;0,'Cost Control'!B184," ")</f>
        <v xml:space="preserve"> </v>
      </c>
      <c r="J1571" s="2149"/>
      <c r="K1571" s="1161">
        <f>IF(L1571&lt;&gt;0,'Cost Control'!A184,0)</f>
        <v>0</v>
      </c>
      <c r="L1571" s="2151">
        <f>'Cost Control'!M184</f>
        <v>0</v>
      </c>
      <c r="M1571" s="2152"/>
    </row>
    <row r="1572" spans="2:13" s="518" customFormat="1" ht="15.45">
      <c r="B1572" s="652"/>
      <c r="C1572" s="484"/>
      <c r="D1572" s="484"/>
      <c r="E1572" s="484"/>
      <c r="F1572" s="484"/>
      <c r="G1572" s="484"/>
      <c r="H1572" s="484"/>
      <c r="I1572" s="2148" t="str">
        <f>IF(L1572&lt;&gt;0,'Cost Control'!B185," ")</f>
        <v xml:space="preserve"> </v>
      </c>
      <c r="J1572" s="2149"/>
      <c r="K1572" s="1161">
        <f>IF(L1572&lt;&gt;0,'Cost Control'!A185,0)</f>
        <v>0</v>
      </c>
      <c r="L1572" s="2151">
        <f>'Cost Control'!M185</f>
        <v>0</v>
      </c>
      <c r="M1572" s="2152"/>
    </row>
    <row r="1573" spans="2:13" s="518" customFormat="1" ht="15.45">
      <c r="B1573" s="652"/>
      <c r="C1573" s="484"/>
      <c r="D1573" s="484"/>
      <c r="E1573" s="484"/>
      <c r="F1573" s="484"/>
      <c r="G1573" s="484"/>
      <c r="H1573" s="484"/>
      <c r="I1573" s="2148" t="str">
        <f>IF(L1573&lt;&gt;0,'Cost Control'!B186," ")</f>
        <v xml:space="preserve"> </v>
      </c>
      <c r="J1573" s="2149"/>
      <c r="K1573" s="1161">
        <f>IF(L1573&lt;&gt;0,'Cost Control'!A186,0)</f>
        <v>0</v>
      </c>
      <c r="L1573" s="2151">
        <f>'Cost Control'!M186</f>
        <v>0</v>
      </c>
      <c r="M1573" s="2152"/>
    </row>
    <row r="1574" spans="2:13" s="518" customFormat="1" ht="15.45">
      <c r="B1574" s="652"/>
      <c r="C1574" s="484"/>
      <c r="D1574" s="484"/>
      <c r="E1574" s="484"/>
      <c r="F1574" s="484"/>
      <c r="G1574" s="484"/>
      <c r="H1574" s="484"/>
      <c r="I1574" s="2148" t="str">
        <f>IF(L1574&lt;&gt;0,'Cost Control'!B187," ")</f>
        <v xml:space="preserve"> </v>
      </c>
      <c r="J1574" s="2149"/>
      <c r="K1574" s="1161">
        <f>IF(L1574&lt;&gt;0,'Cost Control'!A187,0)</f>
        <v>0</v>
      </c>
      <c r="L1574" s="2151">
        <f>'Cost Control'!M187</f>
        <v>0</v>
      </c>
      <c r="M1574" s="2152"/>
    </row>
    <row r="1575" spans="2:13" s="518" customFormat="1" ht="15.45">
      <c r="B1575" s="652"/>
      <c r="C1575" s="484"/>
      <c r="D1575" s="484"/>
      <c r="E1575" s="484"/>
      <c r="F1575" s="484"/>
      <c r="G1575" s="484"/>
      <c r="H1575" s="484"/>
      <c r="I1575" s="2148" t="str">
        <f>IF(L1575&lt;&gt;0,'Cost Control'!B188," ")</f>
        <v xml:space="preserve"> </v>
      </c>
      <c r="J1575" s="2149"/>
      <c r="K1575" s="1161">
        <f>IF(L1575&lt;&gt;0,'Cost Control'!A188,0)</f>
        <v>0</v>
      </c>
      <c r="L1575" s="2151">
        <f>'Cost Control'!M188</f>
        <v>0</v>
      </c>
      <c r="M1575" s="2152"/>
    </row>
    <row r="1576" spans="2:13" s="518" customFormat="1" ht="15.45">
      <c r="B1576" s="652"/>
      <c r="C1576" s="484"/>
      <c r="D1576" s="484"/>
      <c r="E1576" s="484"/>
      <c r="F1576" s="484"/>
      <c r="G1576" s="484"/>
      <c r="H1576" s="484"/>
      <c r="I1576" s="2148" t="str">
        <f>IF(L1576&lt;&gt;0,'Cost Control'!B189," ")</f>
        <v xml:space="preserve"> </v>
      </c>
      <c r="J1576" s="2149"/>
      <c r="K1576" s="1161">
        <f>IF(L1576&lt;&gt;0,'Cost Control'!A189,0)</f>
        <v>0</v>
      </c>
      <c r="L1576" s="2151">
        <f>'Cost Control'!M189</f>
        <v>0</v>
      </c>
      <c r="M1576" s="2152"/>
    </row>
    <row r="1577" spans="2:13" s="518" customFormat="1" ht="15.45">
      <c r="B1577" s="652"/>
      <c r="C1577" s="484"/>
      <c r="D1577" s="484"/>
      <c r="E1577" s="484"/>
      <c r="F1577" s="484"/>
      <c r="G1577" s="484"/>
      <c r="H1577" s="484"/>
      <c r="I1577" s="2148" t="str">
        <f>IF(L1577&lt;&gt;0,'Cost Control'!B190," ")</f>
        <v xml:space="preserve"> </v>
      </c>
      <c r="J1577" s="2149"/>
      <c r="K1577" s="1161">
        <f>IF(L1577&lt;&gt;0,'Cost Control'!A190,0)</f>
        <v>0</v>
      </c>
      <c r="L1577" s="2151">
        <f>'Cost Control'!M190</f>
        <v>0</v>
      </c>
      <c r="M1577" s="2152"/>
    </row>
    <row r="1578" spans="2:13" s="518" customFormat="1" ht="15.45">
      <c r="B1578" s="652"/>
      <c r="C1578" s="484"/>
      <c r="D1578" s="484"/>
      <c r="E1578" s="484"/>
      <c r="F1578" s="484"/>
      <c r="G1578" s="484"/>
      <c r="H1578" s="484"/>
      <c r="I1578" s="2148" t="str">
        <f>IF(L1578&lt;&gt;0,'Cost Control'!B191," ")</f>
        <v xml:space="preserve"> </v>
      </c>
      <c r="J1578" s="2149"/>
      <c r="K1578" s="1161">
        <f>IF(L1578&lt;&gt;0,'Cost Control'!A191,0)</f>
        <v>0</v>
      </c>
      <c r="L1578" s="2151">
        <f>'Cost Control'!M191</f>
        <v>0</v>
      </c>
      <c r="M1578" s="2152"/>
    </row>
    <row r="1579" spans="2:13" s="518" customFormat="1" ht="15.45">
      <c r="B1579" s="652"/>
      <c r="C1579" s="484"/>
      <c r="D1579" s="484"/>
      <c r="E1579" s="484"/>
      <c r="F1579" s="484"/>
      <c r="G1579" s="484"/>
      <c r="H1579" s="484"/>
      <c r="I1579" s="2148" t="str">
        <f>IF(L1579&lt;&gt;0,'Cost Control'!B192," ")</f>
        <v xml:space="preserve"> </v>
      </c>
      <c r="J1579" s="2149"/>
      <c r="K1579" s="1161">
        <f>IF(L1579&lt;&gt;0,'Cost Control'!A192,0)</f>
        <v>0</v>
      </c>
      <c r="L1579" s="2151">
        <f>'Cost Control'!M192</f>
        <v>0</v>
      </c>
      <c r="M1579" s="2152"/>
    </row>
    <row r="1580" spans="2:13" s="518" customFormat="1" ht="15.45">
      <c r="B1580" s="652"/>
      <c r="C1580" s="484"/>
      <c r="D1580" s="484"/>
      <c r="E1580" s="484"/>
      <c r="F1580" s="484"/>
      <c r="G1580" s="484"/>
      <c r="H1580" s="484"/>
      <c r="I1580" s="2148" t="str">
        <f>IF(L1580&lt;&gt;0,'Cost Control'!B193," ")</f>
        <v xml:space="preserve"> </v>
      </c>
      <c r="J1580" s="2149"/>
      <c r="K1580" s="1161">
        <f>IF(L1580&lt;&gt;0,'Cost Control'!A193,0)</f>
        <v>0</v>
      </c>
      <c r="L1580" s="2151">
        <f>'Cost Control'!M193</f>
        <v>0</v>
      </c>
      <c r="M1580" s="2152"/>
    </row>
    <row r="1581" spans="2:13" s="518" customFormat="1" ht="15.45">
      <c r="B1581" s="652"/>
      <c r="C1581" s="484"/>
      <c r="D1581" s="484"/>
      <c r="E1581" s="484"/>
      <c r="F1581" s="484"/>
      <c r="G1581" s="484"/>
      <c r="H1581" s="484"/>
      <c r="I1581" s="2148" t="str">
        <f>IF(L1581&lt;&gt;0,'Cost Control'!B194," ")</f>
        <v xml:space="preserve"> </v>
      </c>
      <c r="J1581" s="2149"/>
      <c r="K1581" s="1161">
        <f>IF(L1581&lt;&gt;0,'Cost Control'!A194,0)</f>
        <v>0</v>
      </c>
      <c r="L1581" s="2151">
        <f>'Cost Control'!M194</f>
        <v>0</v>
      </c>
      <c r="M1581" s="2152"/>
    </row>
    <row r="1582" spans="2:13" s="518" customFormat="1" ht="16.100000000000001" thickBot="1">
      <c r="B1582" s="652"/>
      <c r="C1582" s="484"/>
      <c r="D1582" s="484"/>
      <c r="E1582" s="484"/>
      <c r="F1582" s="484"/>
      <c r="G1582" s="484"/>
      <c r="H1582" s="484"/>
      <c r="I1582" s="2148" t="str">
        <f>IF(L1582&lt;&gt;0,'Cost Control'!B195," ")</f>
        <v xml:space="preserve"> </v>
      </c>
      <c r="J1582" s="2149"/>
      <c r="K1582" s="1161">
        <f>IF(L1582&lt;&gt;0,'Cost Control'!A195,0)</f>
        <v>0</v>
      </c>
      <c r="L1582" s="2151">
        <f>'Cost Control'!M195</f>
        <v>0</v>
      </c>
      <c r="M1582" s="2152"/>
    </row>
    <row r="1583" spans="2:13" ht="13.1">
      <c r="B1583" s="141" t="s">
        <v>695</v>
      </c>
      <c r="C1583" s="50"/>
      <c r="D1583" s="50"/>
      <c r="E1583" s="2150">
        <f>K1599</f>
        <v>29</v>
      </c>
      <c r="F1583" s="2150"/>
      <c r="G1583" s="50"/>
      <c r="H1583" s="50"/>
      <c r="I1583" s="50"/>
      <c r="J1583" s="50"/>
      <c r="K1583" s="50"/>
      <c r="L1583" s="50"/>
      <c r="M1583" s="43"/>
    </row>
    <row r="1584" spans="2:13">
      <c r="B1584" s="1628"/>
      <c r="C1584" s="1629"/>
      <c r="D1584" s="1629"/>
      <c r="E1584" s="1629"/>
      <c r="F1584" s="1629"/>
      <c r="G1584" s="1629"/>
      <c r="H1584" s="1629"/>
      <c r="I1584" s="1629"/>
      <c r="J1584" s="1629"/>
      <c r="K1584" s="1629"/>
      <c r="L1584" s="1629"/>
      <c r="M1584" s="1630"/>
    </row>
    <row r="1585" spans="2:13" ht="13.5" thickBot="1">
      <c r="B1585" s="1480"/>
      <c r="C1585" s="1479"/>
      <c r="D1585" s="1479"/>
      <c r="E1585" s="1479"/>
      <c r="F1585" s="1479"/>
      <c r="G1585" s="1479"/>
      <c r="H1585" s="1631"/>
      <c r="I1585" s="1631"/>
      <c r="J1585" s="1631"/>
      <c r="K1585" s="1631"/>
      <c r="L1585" s="1631"/>
      <c r="M1585" s="1555"/>
    </row>
    <row r="1586" spans="2:13" ht="15.45">
      <c r="B1586" s="307" t="s">
        <v>645</v>
      </c>
      <c r="C1586" s="308"/>
      <c r="D1586" s="2135">
        <f>D1531</f>
        <v>0</v>
      </c>
      <c r="E1586" s="2135"/>
      <c r="F1586" s="309" t="s">
        <v>647</v>
      </c>
      <c r="G1586" s="310">
        <f>G1531</f>
        <v>0</v>
      </c>
      <c r="H1586" s="172" t="s">
        <v>648</v>
      </c>
      <c r="I1586" s="472">
        <v>0</v>
      </c>
      <c r="J1586" s="2173" t="s">
        <v>650</v>
      </c>
      <c r="K1586" s="2173"/>
      <c r="L1586" s="1378"/>
      <c r="M1586" s="486" t="str">
        <f>M1531</f>
        <v>° F</v>
      </c>
    </row>
    <row r="1587" spans="2:13">
      <c r="B1587" s="44" t="s">
        <v>644</v>
      </c>
      <c r="E1587" t="s">
        <v>655</v>
      </c>
      <c r="G1587">
        <f>IF('Daily Load'!P524="Yes",Operations!D1548,IF('Daily Load'!V524="Yes",Operations!D1550,Operations!D1551))</f>
        <v>0</v>
      </c>
      <c r="I1587" s="195" t="s">
        <v>651</v>
      </c>
      <c r="L1587" s="2170">
        <f>'Cost Control'!M230</f>
        <v>0</v>
      </c>
      <c r="M1587" s="2171"/>
    </row>
    <row r="1588" spans="2:13">
      <c r="B1588" s="44"/>
      <c r="E1588" s="223" t="s">
        <v>193</v>
      </c>
      <c r="F1588" s="223" t="s">
        <v>194</v>
      </c>
      <c r="G1588" s="223" t="str">
        <f>G1533</f>
        <v>Other</v>
      </c>
      <c r="H1588" s="1627" t="s">
        <v>587</v>
      </c>
      <c r="I1588" s="31" t="s">
        <v>652</v>
      </c>
      <c r="L1588" s="2170">
        <f>L1534</f>
        <v>0</v>
      </c>
      <c r="M1588" s="2171"/>
    </row>
    <row r="1589" spans="2:13" ht="13.5" thickBot="1">
      <c r="B1589" s="44" t="s">
        <v>643</v>
      </c>
      <c r="E1589" s="361">
        <f>IF(E1593&gt;0,E1591-E1593,E1591+E1592+E1590)</f>
        <v>0</v>
      </c>
      <c r="F1589" s="361">
        <f>IF(F1593&gt;0,F1591-F1593,F1591+F1592+F1590)</f>
        <v>0</v>
      </c>
      <c r="G1589" s="361">
        <f>IF(G1593&gt;0,G1591-G1593,G1591+G1592+G1590)</f>
        <v>0</v>
      </c>
      <c r="H1589" t="str">
        <f>H1538</f>
        <v>bbl</v>
      </c>
      <c r="I1589" s="31" t="s">
        <v>653</v>
      </c>
      <c r="L1589" s="2163">
        <f>L1587+L1588</f>
        <v>0</v>
      </c>
      <c r="M1589" s="2164"/>
    </row>
    <row r="1590" spans="2:13" ht="13.5" thickTop="1">
      <c r="B1590" s="311" t="s">
        <v>642</v>
      </c>
      <c r="E1590" s="361">
        <f>IF('Daily Load'!P524="Yes",'Daily Load'!L519,IF('Daily Load'!V524="Yes",'Daily Load'!R519,'Daily Load'!X519))</f>
        <v>0</v>
      </c>
      <c r="F1590" s="361">
        <f>IF('Daily Load'!P524="Yes",'Daily Load'!N519,IF('Daily Load'!V524="Yes",'Daily Load'!T519,'Daily Load'!Z519))</f>
        <v>0</v>
      </c>
      <c r="G1590" s="361">
        <f>IF('Daily Load'!P524="Yes",'Daily Load'!P519,IF('Daily Load'!V524="Yes",'Daily Load'!V519,'Daily Load'!AB519))</f>
        <v>0</v>
      </c>
      <c r="H1590" t="str">
        <f>H1589</f>
        <v>bbl</v>
      </c>
      <c r="I1590" s="31"/>
      <c r="L1590" s="521"/>
      <c r="M1590" s="522"/>
    </row>
    <row r="1591" spans="2:13">
      <c r="B1591" s="44" t="s">
        <v>641</v>
      </c>
      <c r="E1591" s="361">
        <f>IF(G1587=D9,'Daily Load'!F523+E1536,IF(G1587=G1532,'Daily Load'!F523+E1536,'Daily Load'!F523))</f>
        <v>0</v>
      </c>
      <c r="F1591" s="361">
        <f>IF(G1587=D9,'Daily Load'!H523+F1536,IF(G1587=G1532,'Daily Load'!H523+F1536,'Daily Load'!H523))</f>
        <v>0</v>
      </c>
      <c r="G1591" s="361">
        <f>IF(G1587=D9,'Daily Load'!J523+G1536,IF(G1587=G1532,'Daily Load'!J523+G1536,'Daily Load'!J523))</f>
        <v>0</v>
      </c>
      <c r="H1591" t="str">
        <f>H1590</f>
        <v>bbl</v>
      </c>
      <c r="I1591" s="33" t="s">
        <v>654</v>
      </c>
      <c r="J1591" s="19"/>
      <c r="K1591" s="19"/>
      <c r="L1591" s="2165">
        <f>L1536</f>
        <v>0</v>
      </c>
      <c r="M1591" s="2166"/>
    </row>
    <row r="1592" spans="2:13">
      <c r="B1592" s="44" t="s">
        <v>640</v>
      </c>
      <c r="E1592" s="361">
        <f>IF('Daily Load'!P524="Yes",'Daily Load'!L521,IF('Daily Load'!V524="Yes",'Daily Load'!R521,'Daily Load'!X521))</f>
        <v>0</v>
      </c>
      <c r="F1592" s="361">
        <f>IF('Daily Load'!P524="Yes",'Daily Load'!N521,IF('Daily Load'!V524="Yes",'Daily Load'!T521,'Daily Load'!Z521))</f>
        <v>0</v>
      </c>
      <c r="G1592" s="361">
        <f>IF('Daily Load'!P524="Yes",'Daily Load'!P521,IF('Daily Load'!V524="Yes",'Daily Load'!V521,'Daily Load'!AB521))</f>
        <v>0</v>
      </c>
      <c r="H1592" t="str">
        <f>H1591</f>
        <v>bbl</v>
      </c>
      <c r="I1592" s="2160" t="str">
        <f>I1537</f>
        <v xml:space="preserve"> </v>
      </c>
      <c r="J1592" s="2059"/>
      <c r="K1592" s="2161"/>
      <c r="L1592" s="2162" t="str">
        <f>L1537</f>
        <v xml:space="preserve">0 </v>
      </c>
      <c r="M1592" s="2155"/>
    </row>
    <row r="1593" spans="2:13" ht="13.5" thickBot="1">
      <c r="B1593" s="46" t="s">
        <v>639</v>
      </c>
      <c r="C1593" s="21"/>
      <c r="D1593" s="21"/>
      <c r="E1593" s="380">
        <f>IF('Daily Load'!P524="Yes",'Daily Load'!L522,IF('Daily Load'!V524="Yes",'Daily Load'!R522,'Daily Load'!X522))</f>
        <v>0</v>
      </c>
      <c r="F1593" s="380">
        <f>IF('Daily Load'!P524="Yes",'Daily Load'!N522,IF('Daily Load'!V524="Yes",'Daily Load'!T522,'Daily Load'!Z522))</f>
        <v>0</v>
      </c>
      <c r="G1593" s="380">
        <f>IF('Daily Load'!P524="Yes",'Daily Load'!P522,IF('Daily Load'!V524="Yes",'Daily Load'!V522,'Daily Load'!AB522))</f>
        <v>0</v>
      </c>
      <c r="H1593" s="21" t="str">
        <f>H1592</f>
        <v>bbl</v>
      </c>
      <c r="I1593" s="2167" t="s">
        <v>677</v>
      </c>
      <c r="J1593" s="2168"/>
      <c r="K1593" s="2169"/>
      <c r="L1593" s="2167" t="s">
        <v>826</v>
      </c>
      <c r="M1593" s="2172"/>
    </row>
    <row r="1594" spans="2:13">
      <c r="B1594" s="50"/>
      <c r="C1594" s="50"/>
      <c r="D1594" s="50"/>
      <c r="E1594" s="1185"/>
      <c r="F1594" s="1185"/>
      <c r="G1594" s="1185"/>
      <c r="H1594" s="50"/>
      <c r="I1594" s="1186"/>
      <c r="J1594" s="1186"/>
      <c r="K1594" s="1186"/>
      <c r="L1594" s="1186"/>
      <c r="M1594" s="1186"/>
    </row>
    <row r="1595" spans="2:13" ht="13.5" thickBot="1">
      <c r="B1595" s="21"/>
      <c r="C1595" s="21"/>
      <c r="D1595" s="21"/>
      <c r="E1595" s="21"/>
      <c r="F1595" s="21"/>
      <c r="G1595" s="21"/>
      <c r="H1595" s="21"/>
      <c r="I1595" s="21"/>
      <c r="J1595" s="21"/>
      <c r="K1595" s="21"/>
      <c r="L1595" s="21"/>
      <c r="M1595" s="21"/>
    </row>
    <row r="1596" spans="2:13">
      <c r="B1596" s="44"/>
      <c r="M1596" s="45"/>
    </row>
    <row r="1597" spans="2:13">
      <c r="B1597" s="44"/>
      <c r="J1597" s="2143">
        <f>J1542</f>
        <v>0</v>
      </c>
      <c r="K1597" s="2143"/>
      <c r="L1597" s="2143"/>
      <c r="M1597" s="45"/>
    </row>
    <row r="1598" spans="2:13">
      <c r="B1598" s="44"/>
      <c r="M1598" s="45"/>
    </row>
    <row r="1599" spans="2:13" ht="13.1">
      <c r="B1599" s="137" t="s">
        <v>634</v>
      </c>
      <c r="C1599">
        <f>Summary!$C$6</f>
        <v>0</v>
      </c>
      <c r="H1599" s="22" t="s">
        <v>636</v>
      </c>
      <c r="I1599" s="22"/>
      <c r="K1599" s="2158">
        <f>'Cost Control'!N161</f>
        <v>29</v>
      </c>
      <c r="L1599" s="2158"/>
      <c r="M1599" s="2159"/>
    </row>
    <row r="1600" spans="2:13" ht="13.1">
      <c r="B1600" s="44"/>
      <c r="H1600" s="22"/>
      <c r="I1600" s="22"/>
      <c r="M1600" s="45"/>
    </row>
    <row r="1601" spans="2:13" ht="13.1">
      <c r="B1601" s="137" t="s">
        <v>635</v>
      </c>
      <c r="D1601" s="2136">
        <f>D1546</f>
        <v>0</v>
      </c>
      <c r="E1601" s="2136"/>
      <c r="F1601" s="2136"/>
      <c r="G1601" s="2136"/>
      <c r="H1601" s="2136"/>
      <c r="I1601" s="22" t="s">
        <v>637</v>
      </c>
      <c r="J1601" s="3">
        <f>J1546+1</f>
        <v>30</v>
      </c>
      <c r="M1601" s="45"/>
    </row>
    <row r="1602" spans="2:13" ht="13.1">
      <c r="B1602" s="137"/>
      <c r="D1602" s="2136"/>
      <c r="E1602" s="2136"/>
      <c r="F1602" s="2136"/>
      <c r="G1602" s="2136"/>
      <c r="H1602" s="2136"/>
      <c r="I1602" t="s">
        <v>63</v>
      </c>
      <c r="J1602" s="2142">
        <f>J1547</f>
        <v>0</v>
      </c>
      <c r="K1602" s="2143"/>
      <c r="M1602" s="45"/>
    </row>
    <row r="1603" spans="2:13" ht="13.1">
      <c r="B1603" s="137" t="s">
        <v>146</v>
      </c>
      <c r="D1603">
        <f>Summary!$C$32</f>
        <v>0</v>
      </c>
      <c r="F1603" s="1819" t="str">
        <f>F1548</f>
        <v>OPEN HOLE INTERVAL:</v>
      </c>
      <c r="G1603" s="1819"/>
      <c r="H1603" s="2147">
        <f>H1548</f>
        <v>0</v>
      </c>
      <c r="I1603" s="2147"/>
      <c r="J1603" s="2147">
        <f>J1548</f>
        <v>0</v>
      </c>
      <c r="K1603" s="2147"/>
      <c r="L1603" s="2147">
        <f>L1548</f>
        <v>0</v>
      </c>
      <c r="M1603" s="2154"/>
    </row>
    <row r="1604" spans="2:13">
      <c r="B1604" s="44"/>
      <c r="H1604" s="2153"/>
      <c r="I1604" s="2153"/>
      <c r="J1604" s="1145"/>
      <c r="K1604" s="1145"/>
      <c r="L1604" s="1145"/>
      <c r="M1604" s="1146"/>
    </row>
    <row r="1605" spans="2:13" ht="13.1">
      <c r="B1605" s="44"/>
      <c r="D1605">
        <f>Summary!$F$32</f>
        <v>0</v>
      </c>
      <c r="F1605" s="1819" t="str">
        <f>F1550</f>
        <v xml:space="preserve"> </v>
      </c>
      <c r="G1605" s="1819"/>
      <c r="H1605" s="2137">
        <f>H1550</f>
        <v>0</v>
      </c>
      <c r="I1605" s="2137"/>
      <c r="J1605" s="2137">
        <f>J1550</f>
        <v>0</v>
      </c>
      <c r="K1605" s="2137"/>
      <c r="L1605" s="2137">
        <f>L1550</f>
        <v>0</v>
      </c>
      <c r="M1605" s="2155"/>
    </row>
    <row r="1606" spans="2:13" ht="13.1">
      <c r="B1606" s="44"/>
      <c r="D1606">
        <f>D1551</f>
        <v>0</v>
      </c>
      <c r="F1606" s="1819" t="str">
        <f>F1551</f>
        <v xml:space="preserve"> </v>
      </c>
      <c r="G1606" s="1819"/>
      <c r="H1606" s="1737">
        <f>H1551</f>
        <v>0</v>
      </c>
      <c r="I1606" s="1737"/>
      <c r="J1606" s="1737">
        <f>J1551</f>
        <v>0</v>
      </c>
      <c r="K1606" s="1737"/>
      <c r="L1606" s="1737">
        <f>L1551</f>
        <v>0</v>
      </c>
      <c r="M1606" s="1791"/>
    </row>
    <row r="1607" spans="2:13">
      <c r="B1607" s="44"/>
      <c r="M1607" s="45"/>
    </row>
    <row r="1608" spans="2:13" ht="13.75" thickBot="1">
      <c r="B1608" s="46"/>
      <c r="C1608" s="21"/>
      <c r="D1608" s="21"/>
      <c r="E1608" s="1664" t="s">
        <v>638</v>
      </c>
      <c r="F1608" s="1664"/>
      <c r="G1608" s="1664"/>
      <c r="H1608" s="1664"/>
      <c r="I1608" s="1664"/>
      <c r="J1608" s="21"/>
      <c r="K1608" s="21"/>
      <c r="L1608" s="21"/>
      <c r="M1608" s="47"/>
    </row>
    <row r="1609" spans="2:13" s="518" customFormat="1" ht="16.100000000000001" thickBot="1">
      <c r="B1609" s="651"/>
      <c r="C1609" s="484"/>
      <c r="D1609" s="484"/>
      <c r="E1609" s="484"/>
      <c r="F1609" s="484"/>
      <c r="G1609" s="484"/>
      <c r="H1609" s="484"/>
      <c r="I1609" s="2138" t="s">
        <v>61</v>
      </c>
      <c r="J1609" s="2139"/>
      <c r="K1609" s="2139"/>
      <c r="L1609" s="2139"/>
      <c r="M1609" s="2140"/>
    </row>
    <row r="1610" spans="2:13" s="518" customFormat="1" ht="16.100000000000001" thickBot="1">
      <c r="B1610" s="652"/>
      <c r="C1610" s="484"/>
      <c r="D1610" s="484"/>
      <c r="E1610" s="484"/>
      <c r="F1610" s="484"/>
      <c r="G1610" s="484"/>
      <c r="H1610" s="484"/>
      <c r="I1610" s="2141" t="str">
        <f>I1555</f>
        <v>Service</v>
      </c>
      <c r="J1610" s="2141"/>
      <c r="K1610" s="1159" t="s">
        <v>62</v>
      </c>
      <c r="L1610" s="2144" t="s">
        <v>1454</v>
      </c>
      <c r="M1610" s="2144"/>
    </row>
    <row r="1611" spans="2:13" s="518" customFormat="1" ht="16.100000000000001" thickBot="1">
      <c r="B1611" s="652"/>
      <c r="C1611" s="484"/>
      <c r="D1611" s="484"/>
      <c r="E1611" s="484"/>
      <c r="F1611" s="484"/>
      <c r="G1611" s="484"/>
      <c r="H1611" s="484"/>
      <c r="I1611" s="2145" t="s">
        <v>1538</v>
      </c>
      <c r="J1611" s="2146"/>
      <c r="K1611" s="1160">
        <f>IF(L1611&lt;&gt;0," ",0)</f>
        <v>0</v>
      </c>
      <c r="L1611" s="2156">
        <f>SUM('Cost Control'!N163:N172)</f>
        <v>0</v>
      </c>
      <c r="M1611" s="2157"/>
    </row>
    <row r="1612" spans="2:13" s="518" customFormat="1" ht="16.100000000000001" thickBot="1">
      <c r="B1612" s="652"/>
      <c r="C1612" s="484"/>
      <c r="D1612" s="484"/>
      <c r="E1612" s="484"/>
      <c r="F1612" s="484"/>
      <c r="G1612" s="484"/>
      <c r="H1612" s="484"/>
      <c r="I1612" s="2145" t="s">
        <v>1539</v>
      </c>
      <c r="J1612" s="2146"/>
      <c r="K1612" s="1161">
        <f>IF(L1612&lt;&gt;0,'Cost Control'!A209,0)</f>
        <v>0</v>
      </c>
      <c r="L1612" s="2151">
        <f>SUM('Cost Control'!N209:N214)</f>
        <v>0</v>
      </c>
      <c r="M1612" s="2152"/>
    </row>
    <row r="1613" spans="2:13" s="518" customFormat="1" ht="16.100000000000001" thickBot="1">
      <c r="B1613" s="652"/>
      <c r="C1613" s="484"/>
      <c r="D1613" s="484"/>
      <c r="E1613" s="484"/>
      <c r="F1613" s="484"/>
      <c r="G1613" s="484"/>
      <c r="H1613" s="484"/>
      <c r="I1613" s="2145" t="s">
        <v>903</v>
      </c>
      <c r="J1613" s="2146"/>
      <c r="K1613" s="1161">
        <f>IF(L1613&lt;&gt;0,'Cost Control'!A196,0)</f>
        <v>0</v>
      </c>
      <c r="L1613" s="2151">
        <f>SUM('Cost Control'!N196:N207)</f>
        <v>0</v>
      </c>
      <c r="M1613" s="2152"/>
    </row>
    <row r="1614" spans="2:13" s="518" customFormat="1" ht="16.100000000000001" thickBot="1">
      <c r="B1614" s="652"/>
      <c r="C1614" s="484"/>
      <c r="D1614" s="484"/>
      <c r="E1614" s="484"/>
      <c r="F1614" s="484"/>
      <c r="G1614" s="484"/>
      <c r="H1614" s="484"/>
      <c r="I1614" s="2145" t="s">
        <v>1540</v>
      </c>
      <c r="J1614" s="2146"/>
      <c r="K1614" s="1161" t="str">
        <f>IF(L1614&lt;&gt;0,'Cost Control'!A216," ")</f>
        <v xml:space="preserve"> </v>
      </c>
      <c r="L1614" s="2151">
        <f>SUM('Cost Control'!N216:N222)</f>
        <v>0</v>
      </c>
      <c r="M1614" s="2152"/>
    </row>
    <row r="1615" spans="2:13" s="518" customFormat="1" ht="15.45">
      <c r="B1615" s="652"/>
      <c r="C1615" s="484"/>
      <c r="D1615" s="484"/>
      <c r="E1615" s="484"/>
      <c r="F1615" s="484"/>
      <c r="G1615" s="484"/>
      <c r="H1615" s="484"/>
      <c r="I1615" s="2145" t="s">
        <v>1451</v>
      </c>
      <c r="J1615" s="2146"/>
      <c r="K1615" s="1161">
        <f>IF(L1615&lt;&gt;0,'Cost Control'!A224,0)</f>
        <v>0</v>
      </c>
      <c r="L1615" s="2151">
        <f>SUM('Cost Control'!N224:N229)</f>
        <v>0</v>
      </c>
      <c r="M1615" s="2152"/>
    </row>
    <row r="1616" spans="2:13" s="518" customFormat="1" ht="15.45">
      <c r="B1616" s="652"/>
      <c r="C1616" s="484"/>
      <c r="D1616" s="484"/>
      <c r="E1616" s="484"/>
      <c r="F1616" s="484"/>
      <c r="G1616" s="484"/>
      <c r="H1616" s="484"/>
      <c r="I1616" s="2148" t="str">
        <f>IF(L1616&lt;&gt;0,'Cost Control'!B174," ")</f>
        <v xml:space="preserve"> </v>
      </c>
      <c r="J1616" s="2149"/>
      <c r="K1616" s="1161">
        <f>IF(L1616&lt;&gt;0,'Cost Control'!A174,0)</f>
        <v>0</v>
      </c>
      <c r="L1616" s="2151">
        <f>'Cost Control'!N174</f>
        <v>0</v>
      </c>
      <c r="M1616" s="2152"/>
    </row>
    <row r="1617" spans="2:13" s="518" customFormat="1" ht="15.45">
      <c r="B1617" s="652"/>
      <c r="C1617" s="484"/>
      <c r="D1617" s="484"/>
      <c r="E1617" s="484"/>
      <c r="F1617" s="484"/>
      <c r="G1617" s="484"/>
      <c r="H1617" s="484"/>
      <c r="I1617" s="2148" t="str">
        <f>IF(L1617&lt;&gt;0,'Cost Control'!B175," ")</f>
        <v xml:space="preserve"> </v>
      </c>
      <c r="J1617" s="2149"/>
      <c r="K1617" s="1161">
        <f>IF(L1617&lt;&gt;0,'Cost Control'!A175,0)</f>
        <v>0</v>
      </c>
      <c r="L1617" s="2151">
        <f>'Cost Control'!N175</f>
        <v>0</v>
      </c>
      <c r="M1617" s="2152"/>
    </row>
    <row r="1618" spans="2:13" s="518" customFormat="1" ht="15.45">
      <c r="B1618" s="652"/>
      <c r="C1618" s="484"/>
      <c r="D1618" s="484"/>
      <c r="E1618" s="484"/>
      <c r="F1618" s="484"/>
      <c r="G1618" s="484"/>
      <c r="H1618" s="484"/>
      <c r="I1618" s="2148" t="str">
        <f>IF(L1618&lt;&gt;0,'Cost Control'!B176," ")</f>
        <v xml:space="preserve"> </v>
      </c>
      <c r="J1618" s="2149"/>
      <c r="K1618" s="1161">
        <f>IF(L1618&lt;&gt;0,'Cost Control'!A176,0)</f>
        <v>0</v>
      </c>
      <c r="L1618" s="2151">
        <f>'Cost Control'!N176</f>
        <v>0</v>
      </c>
      <c r="M1618" s="2152"/>
    </row>
    <row r="1619" spans="2:13" s="518" customFormat="1" ht="15.45">
      <c r="B1619" s="652"/>
      <c r="C1619" s="484"/>
      <c r="D1619" s="484"/>
      <c r="E1619" s="484"/>
      <c r="F1619" s="484"/>
      <c r="G1619" s="484"/>
      <c r="H1619" s="484"/>
      <c r="I1619" s="2148" t="str">
        <f>IF(L1619&lt;&gt;0,'Cost Control'!B177," ")</f>
        <v xml:space="preserve"> </v>
      </c>
      <c r="J1619" s="2149"/>
      <c r="K1619" s="1161">
        <f>IF(L1619&lt;&gt;0,'Cost Control'!A177,0)</f>
        <v>0</v>
      </c>
      <c r="L1619" s="2151">
        <f>'Cost Control'!N177</f>
        <v>0</v>
      </c>
      <c r="M1619" s="2152"/>
    </row>
    <row r="1620" spans="2:13" s="518" customFormat="1" ht="15.45">
      <c r="B1620" s="652"/>
      <c r="C1620" s="484"/>
      <c r="D1620" s="484"/>
      <c r="E1620" s="484"/>
      <c r="F1620" s="484"/>
      <c r="G1620" s="484"/>
      <c r="H1620" s="484"/>
      <c r="I1620" s="2148" t="str">
        <f>IF(L1620&lt;&gt;0,'Cost Control'!B178," ")</f>
        <v xml:space="preserve"> </v>
      </c>
      <c r="J1620" s="2149"/>
      <c r="K1620" s="1161">
        <f>IF(L1620&lt;&gt;0,'Cost Control'!A178,0)</f>
        <v>0</v>
      </c>
      <c r="L1620" s="2151">
        <f>'Cost Control'!N178</f>
        <v>0</v>
      </c>
      <c r="M1620" s="2152"/>
    </row>
    <row r="1621" spans="2:13" s="518" customFormat="1" ht="15.45">
      <c r="B1621" s="652"/>
      <c r="C1621" s="484"/>
      <c r="D1621" s="484"/>
      <c r="E1621" s="484"/>
      <c r="F1621" s="484"/>
      <c r="G1621" s="484"/>
      <c r="H1621" s="484"/>
      <c r="I1621" s="2148" t="str">
        <f>IF(L1621&lt;&gt;0,'Cost Control'!B179," ")</f>
        <v xml:space="preserve"> </v>
      </c>
      <c r="J1621" s="2149"/>
      <c r="K1621" s="1161">
        <f>IF(L1621&lt;&gt;0,'Cost Control'!A179,0)</f>
        <v>0</v>
      </c>
      <c r="L1621" s="2151">
        <f>'Cost Control'!N179</f>
        <v>0</v>
      </c>
      <c r="M1621" s="2152"/>
    </row>
    <row r="1622" spans="2:13" s="518" customFormat="1" ht="15.45">
      <c r="B1622" s="652"/>
      <c r="C1622" s="484"/>
      <c r="D1622" s="484"/>
      <c r="E1622" s="484"/>
      <c r="F1622" s="484"/>
      <c r="G1622" s="484"/>
      <c r="H1622" s="484"/>
      <c r="I1622" s="2148" t="str">
        <f>IF(L1622&lt;&gt;0,'Cost Control'!B180," ")</f>
        <v xml:space="preserve"> </v>
      </c>
      <c r="J1622" s="2149"/>
      <c r="K1622" s="1161">
        <f>IF(L1622&lt;&gt;0,'Cost Control'!A180,0)</f>
        <v>0</v>
      </c>
      <c r="L1622" s="2151">
        <f>'Cost Control'!N180</f>
        <v>0</v>
      </c>
      <c r="M1622" s="2152"/>
    </row>
    <row r="1623" spans="2:13" s="518" customFormat="1" ht="15.45">
      <c r="B1623" s="652"/>
      <c r="C1623" s="484"/>
      <c r="D1623" s="484"/>
      <c r="E1623" s="484"/>
      <c r="F1623" s="484"/>
      <c r="G1623" s="484"/>
      <c r="H1623" s="484"/>
      <c r="I1623" s="2148" t="str">
        <f>IF(L1623&lt;&gt;0,'Cost Control'!B181," ")</f>
        <v xml:space="preserve"> </v>
      </c>
      <c r="J1623" s="2149"/>
      <c r="K1623" s="1161">
        <f>IF(L1623&lt;&gt;0,'Cost Control'!A181,0)</f>
        <v>0</v>
      </c>
      <c r="L1623" s="2151">
        <f>'Cost Control'!N181</f>
        <v>0</v>
      </c>
      <c r="M1623" s="2152"/>
    </row>
    <row r="1624" spans="2:13" s="518" customFormat="1" ht="15.45">
      <c r="B1624" s="652"/>
      <c r="C1624" s="484"/>
      <c r="D1624" s="484"/>
      <c r="E1624" s="484"/>
      <c r="F1624" s="484"/>
      <c r="G1624" s="484"/>
      <c r="H1624" s="484"/>
      <c r="I1624" s="2148" t="str">
        <f>IF(L1624&lt;&gt;0,'Cost Control'!B182," ")</f>
        <v xml:space="preserve"> </v>
      </c>
      <c r="J1624" s="2149"/>
      <c r="K1624" s="1161">
        <f>IF(L1624&lt;&gt;0,'Cost Control'!A182,0)</f>
        <v>0</v>
      </c>
      <c r="L1624" s="2151">
        <f>'Cost Control'!N182</f>
        <v>0</v>
      </c>
      <c r="M1624" s="2152"/>
    </row>
    <row r="1625" spans="2:13" s="518" customFormat="1" ht="15.45">
      <c r="B1625" s="652"/>
      <c r="C1625" s="484"/>
      <c r="D1625" s="484"/>
      <c r="E1625" s="484"/>
      <c r="F1625" s="484"/>
      <c r="G1625" s="484"/>
      <c r="H1625" s="484"/>
      <c r="I1625" s="2148" t="str">
        <f>IF(L1625&lt;&gt;0,'Cost Control'!B183," ")</f>
        <v xml:space="preserve"> </v>
      </c>
      <c r="J1625" s="2149"/>
      <c r="K1625" s="1161">
        <f>IF(L1625&lt;&gt;0,'Cost Control'!A183,0)</f>
        <v>0</v>
      </c>
      <c r="L1625" s="2151">
        <f>'Cost Control'!N183</f>
        <v>0</v>
      </c>
      <c r="M1625" s="2152"/>
    </row>
    <row r="1626" spans="2:13" s="518" customFormat="1" ht="15.45">
      <c r="B1626" s="652"/>
      <c r="C1626" s="484"/>
      <c r="D1626" s="484"/>
      <c r="E1626" s="484"/>
      <c r="F1626" s="484"/>
      <c r="G1626" s="484"/>
      <c r="H1626" s="484"/>
      <c r="I1626" s="2148" t="str">
        <f>IF(L1626&lt;&gt;0,'Cost Control'!B184," ")</f>
        <v xml:space="preserve"> </v>
      </c>
      <c r="J1626" s="2149"/>
      <c r="K1626" s="1161">
        <f>IF(L1626&lt;&gt;0,'Cost Control'!A184,0)</f>
        <v>0</v>
      </c>
      <c r="L1626" s="2151">
        <f>'Cost Control'!N184</f>
        <v>0</v>
      </c>
      <c r="M1626" s="2152"/>
    </row>
    <row r="1627" spans="2:13" s="518" customFormat="1" ht="15.45">
      <c r="B1627" s="652"/>
      <c r="C1627" s="484"/>
      <c r="D1627" s="484"/>
      <c r="E1627" s="484"/>
      <c r="F1627" s="484"/>
      <c r="G1627" s="484"/>
      <c r="H1627" s="484"/>
      <c r="I1627" s="2148" t="str">
        <f>IF(L1627&lt;&gt;0,'Cost Control'!B185," ")</f>
        <v xml:space="preserve"> </v>
      </c>
      <c r="J1627" s="2149"/>
      <c r="K1627" s="1161">
        <f>IF(L1627&lt;&gt;0,'Cost Control'!A185,0)</f>
        <v>0</v>
      </c>
      <c r="L1627" s="2151">
        <f>'Cost Control'!N185</f>
        <v>0</v>
      </c>
      <c r="M1627" s="2152"/>
    </row>
    <row r="1628" spans="2:13" s="518" customFormat="1" ht="15.45">
      <c r="B1628" s="652"/>
      <c r="C1628" s="484"/>
      <c r="D1628" s="484"/>
      <c r="E1628" s="484"/>
      <c r="F1628" s="484"/>
      <c r="G1628" s="484"/>
      <c r="H1628" s="484"/>
      <c r="I1628" s="2148" t="str">
        <f>IF(L1628&lt;&gt;0,'Cost Control'!B186," ")</f>
        <v xml:space="preserve"> </v>
      </c>
      <c r="J1628" s="2149"/>
      <c r="K1628" s="1161">
        <f>IF(L1628&lt;&gt;0,'Cost Control'!A186,0)</f>
        <v>0</v>
      </c>
      <c r="L1628" s="2151">
        <f>'Cost Control'!N186</f>
        <v>0</v>
      </c>
      <c r="M1628" s="2152"/>
    </row>
    <row r="1629" spans="2:13" s="518" customFormat="1" ht="15.45">
      <c r="B1629" s="652"/>
      <c r="C1629" s="484"/>
      <c r="D1629" s="484"/>
      <c r="E1629" s="484"/>
      <c r="F1629" s="484"/>
      <c r="G1629" s="484"/>
      <c r="H1629" s="484"/>
      <c r="I1629" s="2148" t="str">
        <f>IF(L1629&lt;&gt;0,'Cost Control'!B187," ")</f>
        <v xml:space="preserve"> </v>
      </c>
      <c r="J1629" s="2149"/>
      <c r="K1629" s="1161">
        <f>IF(L1629&lt;&gt;0,'Cost Control'!A187,0)</f>
        <v>0</v>
      </c>
      <c r="L1629" s="2151">
        <f>'Cost Control'!N187</f>
        <v>0</v>
      </c>
      <c r="M1629" s="2152"/>
    </row>
    <row r="1630" spans="2:13" s="518" customFormat="1" ht="15.45">
      <c r="B1630" s="652"/>
      <c r="C1630" s="484"/>
      <c r="D1630" s="484"/>
      <c r="E1630" s="484"/>
      <c r="F1630" s="484"/>
      <c r="G1630" s="484"/>
      <c r="H1630" s="484"/>
      <c r="I1630" s="2148" t="str">
        <f>IF(L1630&lt;&gt;0,'Cost Control'!B188," ")</f>
        <v xml:space="preserve"> </v>
      </c>
      <c r="J1630" s="2149"/>
      <c r="K1630" s="1161">
        <f>IF(L1630&lt;&gt;0,'Cost Control'!A188,0)</f>
        <v>0</v>
      </c>
      <c r="L1630" s="2151">
        <f>'Cost Control'!N188</f>
        <v>0</v>
      </c>
      <c r="M1630" s="2152"/>
    </row>
    <row r="1631" spans="2:13" s="518" customFormat="1" ht="15.45">
      <c r="B1631" s="652"/>
      <c r="C1631" s="484"/>
      <c r="D1631" s="484"/>
      <c r="E1631" s="484"/>
      <c r="F1631" s="484"/>
      <c r="G1631" s="484"/>
      <c r="H1631" s="484"/>
      <c r="I1631" s="2148" t="str">
        <f>IF(L1631&lt;&gt;0,'Cost Control'!B189," ")</f>
        <v xml:space="preserve"> </v>
      </c>
      <c r="J1631" s="2149"/>
      <c r="K1631" s="1161">
        <f>IF(L1631&lt;&gt;0,'Cost Control'!A189,0)</f>
        <v>0</v>
      </c>
      <c r="L1631" s="2151">
        <f>'Cost Control'!N189</f>
        <v>0</v>
      </c>
      <c r="M1631" s="2152"/>
    </row>
    <row r="1632" spans="2:13" s="518" customFormat="1" ht="15.45">
      <c r="B1632" s="652"/>
      <c r="C1632" s="484"/>
      <c r="D1632" s="484"/>
      <c r="E1632" s="484"/>
      <c r="F1632" s="484"/>
      <c r="G1632" s="484"/>
      <c r="H1632" s="484"/>
      <c r="I1632" s="2148" t="str">
        <f>IF(L1632&lt;&gt;0,'Cost Control'!B190," ")</f>
        <v xml:space="preserve"> </v>
      </c>
      <c r="J1632" s="2149"/>
      <c r="K1632" s="1161">
        <f>IF(L1632&lt;&gt;0,'Cost Control'!A190,0)</f>
        <v>0</v>
      </c>
      <c r="L1632" s="2151">
        <f>'Cost Control'!N190</f>
        <v>0</v>
      </c>
      <c r="M1632" s="2152"/>
    </row>
    <row r="1633" spans="2:13" s="518" customFormat="1" ht="15.45">
      <c r="B1633" s="652"/>
      <c r="C1633" s="484"/>
      <c r="D1633" s="484"/>
      <c r="E1633" s="484"/>
      <c r="F1633" s="484"/>
      <c r="G1633" s="484"/>
      <c r="H1633" s="484"/>
      <c r="I1633" s="2148" t="str">
        <f>IF(L1633&lt;&gt;0,'Cost Control'!B191," ")</f>
        <v xml:space="preserve"> </v>
      </c>
      <c r="J1633" s="2149"/>
      <c r="K1633" s="1161">
        <f>IF(L1633&lt;&gt;0,'Cost Control'!A191,0)</f>
        <v>0</v>
      </c>
      <c r="L1633" s="2151">
        <f>'Cost Control'!N191</f>
        <v>0</v>
      </c>
      <c r="M1633" s="2152"/>
    </row>
    <row r="1634" spans="2:13" s="518" customFormat="1" ht="15.45">
      <c r="B1634" s="652"/>
      <c r="C1634" s="484"/>
      <c r="D1634" s="484"/>
      <c r="E1634" s="484"/>
      <c r="F1634" s="484"/>
      <c r="G1634" s="484"/>
      <c r="H1634" s="484"/>
      <c r="I1634" s="2148" t="str">
        <f>IF(L1634&lt;&gt;0,'Cost Control'!B192," ")</f>
        <v xml:space="preserve"> </v>
      </c>
      <c r="J1634" s="2149"/>
      <c r="K1634" s="1161">
        <f>IF(L1634&lt;&gt;0,'Cost Control'!A192,0)</f>
        <v>0</v>
      </c>
      <c r="L1634" s="2151">
        <f>'Cost Control'!N192</f>
        <v>0</v>
      </c>
      <c r="M1634" s="2152"/>
    </row>
    <row r="1635" spans="2:13" s="518" customFormat="1" ht="15.45">
      <c r="B1635" s="652"/>
      <c r="C1635" s="484"/>
      <c r="D1635" s="484"/>
      <c r="E1635" s="484"/>
      <c r="F1635" s="484"/>
      <c r="G1635" s="484"/>
      <c r="H1635" s="484"/>
      <c r="I1635" s="2148" t="str">
        <f>IF(L1635&lt;&gt;0,'Cost Control'!B193," ")</f>
        <v xml:space="preserve"> </v>
      </c>
      <c r="J1635" s="2149"/>
      <c r="K1635" s="1161">
        <f>IF(L1635&lt;&gt;0,'Cost Control'!A193,0)</f>
        <v>0</v>
      </c>
      <c r="L1635" s="2151">
        <f>'Cost Control'!N193</f>
        <v>0</v>
      </c>
      <c r="M1635" s="2152"/>
    </row>
    <row r="1636" spans="2:13" s="518" customFormat="1" ht="16.100000000000001" thickBot="1">
      <c r="B1636" s="652"/>
      <c r="C1636" s="484"/>
      <c r="D1636" s="484"/>
      <c r="E1636" s="484"/>
      <c r="F1636" s="484"/>
      <c r="G1636" s="484"/>
      <c r="H1636" s="484"/>
      <c r="I1636" s="2148" t="str">
        <f>IF(L1636&lt;&gt;0,'Cost Control'!B194," ")</f>
        <v xml:space="preserve"> </v>
      </c>
      <c r="J1636" s="2149"/>
      <c r="K1636" s="1161">
        <f>IF(L1636&lt;&gt;0,'Cost Control'!A194,0)</f>
        <v>0</v>
      </c>
      <c r="L1636" s="2151">
        <f>'Cost Control'!N194</f>
        <v>0</v>
      </c>
      <c r="M1636" s="2152"/>
    </row>
    <row r="1637" spans="2:13" ht="13.1">
      <c r="B1637" s="141" t="s">
        <v>695</v>
      </c>
      <c r="C1637" s="50"/>
      <c r="D1637" s="50"/>
      <c r="E1637" s="2150">
        <f>IF(K1599=0,0,K1599+1)</f>
        <v>30</v>
      </c>
      <c r="F1637" s="2150"/>
      <c r="G1637" s="50"/>
      <c r="H1637" s="50"/>
      <c r="I1637" s="50"/>
      <c r="J1637" s="50"/>
      <c r="K1637" s="50"/>
      <c r="L1637" s="50"/>
      <c r="M1637" s="43"/>
    </row>
    <row r="1638" spans="2:13">
      <c r="B1638" s="1628"/>
      <c r="C1638" s="1629"/>
      <c r="D1638" s="1629"/>
      <c r="E1638" s="1629"/>
      <c r="F1638" s="1629"/>
      <c r="G1638" s="1629"/>
      <c r="H1638" s="1629"/>
      <c r="I1638" s="1629"/>
      <c r="J1638" s="1629"/>
      <c r="K1638" s="1629"/>
      <c r="L1638" s="1629"/>
      <c r="M1638" s="1630"/>
    </row>
    <row r="1639" spans="2:13" ht="13.5" thickBot="1">
      <c r="B1639" s="1480"/>
      <c r="C1639" s="1479"/>
      <c r="D1639" s="1479"/>
      <c r="E1639" s="1479"/>
      <c r="F1639" s="1479"/>
      <c r="G1639" s="1479"/>
      <c r="H1639" s="1631"/>
      <c r="I1639" s="1631"/>
      <c r="J1639" s="1631"/>
      <c r="K1639" s="1631"/>
      <c r="L1639" s="1631"/>
      <c r="M1639" s="1555"/>
    </row>
    <row r="1640" spans="2:13" ht="15.45">
      <c r="B1640" s="307" t="s">
        <v>645</v>
      </c>
      <c r="C1640" s="308"/>
      <c r="D1640" s="2135">
        <f>D1586</f>
        <v>0</v>
      </c>
      <c r="E1640" s="2135"/>
      <c r="F1640" s="309" t="s">
        <v>647</v>
      </c>
      <c r="G1640" s="310">
        <f>G1586</f>
        <v>0</v>
      </c>
      <c r="H1640" s="172" t="s">
        <v>648</v>
      </c>
      <c r="I1640" s="472">
        <v>0</v>
      </c>
      <c r="J1640" s="2173" t="s">
        <v>650</v>
      </c>
      <c r="K1640" s="2173"/>
      <c r="L1640" s="1378"/>
      <c r="M1640" s="486" t="str">
        <f>M1586</f>
        <v>° F</v>
      </c>
    </row>
    <row r="1641" spans="2:13">
      <c r="B1641" s="44" t="s">
        <v>644</v>
      </c>
      <c r="E1641" t="s">
        <v>655</v>
      </c>
      <c r="G1641">
        <f>IF('Daily Load'!P542="Yes",Operations!D1603,IF('Daily Load'!V542="Yes",Operations!D1605,Operations!D1606))</f>
        <v>0</v>
      </c>
      <c r="I1641" s="195" t="s">
        <v>651</v>
      </c>
      <c r="L1641" s="2170">
        <f>'Cost Control'!N230</f>
        <v>0</v>
      </c>
      <c r="M1641" s="2171"/>
    </row>
    <row r="1642" spans="2:13">
      <c r="B1642" s="44"/>
      <c r="E1642" s="223" t="s">
        <v>193</v>
      </c>
      <c r="F1642" s="223" t="s">
        <v>194</v>
      </c>
      <c r="G1642" s="223" t="str">
        <f>G1588</f>
        <v>Other</v>
      </c>
      <c r="H1642" s="1627" t="s">
        <v>587</v>
      </c>
      <c r="I1642" s="31" t="s">
        <v>652</v>
      </c>
      <c r="L1642" s="2170">
        <f>L1589</f>
        <v>0</v>
      </c>
      <c r="M1642" s="2171"/>
    </row>
    <row r="1643" spans="2:13" ht="13.5" thickBot="1">
      <c r="B1643" s="44" t="s">
        <v>643</v>
      </c>
      <c r="E1643" s="361">
        <f>IF(E1647&gt;0,E1645-E1647,E1645+E1646+E1644)</f>
        <v>0</v>
      </c>
      <c r="F1643" s="361">
        <f>IF(F1647&gt;0,F1645-F1647,F1645+F1646+F1644)</f>
        <v>0</v>
      </c>
      <c r="G1643" s="361">
        <f>IF(G1647&gt;0,G1645-G1647,G1645+G1646+G1644)</f>
        <v>0</v>
      </c>
      <c r="H1643" t="str">
        <f>H1592</f>
        <v>bbl</v>
      </c>
      <c r="I1643" s="31" t="s">
        <v>653</v>
      </c>
      <c r="L1643" s="2163">
        <f>L1641+L1642</f>
        <v>0</v>
      </c>
      <c r="M1643" s="2164"/>
    </row>
    <row r="1644" spans="2:13" ht="13.5" thickTop="1">
      <c r="B1644" s="311" t="s">
        <v>642</v>
      </c>
      <c r="E1644" s="361">
        <f>IF('Daily Load'!P542="Yes",'Daily Load'!L537,IF('Daily Load'!V542="Yes",'Daily Load'!R537,'Daily Load'!X537))</f>
        <v>0</v>
      </c>
      <c r="F1644" s="361">
        <f>IF('Daily Load'!P542="Yes",'Daily Load'!N537,IF('Daily Load'!V542="Yes",'Daily Load'!T537,'Daily Load'!Z537))</f>
        <v>0</v>
      </c>
      <c r="G1644" s="361">
        <f>IF('Daily Load'!P542="Yes",'Daily Load'!P537,IF('Daily Load'!V542="Yes",'Daily Load'!V537,'Daily Load'!AB537))</f>
        <v>0</v>
      </c>
      <c r="H1644" t="str">
        <f>H1643</f>
        <v>bbl</v>
      </c>
      <c r="I1644" s="31"/>
      <c r="L1644" s="521"/>
      <c r="M1644" s="522"/>
    </row>
    <row r="1645" spans="2:13">
      <c r="B1645" s="44" t="s">
        <v>641</v>
      </c>
      <c r="E1645" s="361">
        <f>IF(G1641=D9,'Daily Load'!F541+E1591,IF(G1641=G1587,'Daily Load'!F541+E1591,'Daily Load'!F541))</f>
        <v>0</v>
      </c>
      <c r="F1645" s="361">
        <f>IF(G1641=D9,'Daily Load'!H541+F1591,IF(G1641=G1587,'Daily Load'!H541+F1591,'Daily Load'!H541))</f>
        <v>0</v>
      </c>
      <c r="G1645" s="361">
        <f>IF(G1641=D9,'Daily Load'!J541+G1591,IF(G1641=G1587,'Daily Load'!J541+G1591,'Daily Load'!J541))</f>
        <v>0</v>
      </c>
      <c r="H1645" t="str">
        <f>H1644</f>
        <v>bbl</v>
      </c>
      <c r="I1645" s="33" t="s">
        <v>654</v>
      </c>
      <c r="J1645" s="19"/>
      <c r="K1645" s="19"/>
      <c r="L1645" s="2165">
        <f>L1591</f>
        <v>0</v>
      </c>
      <c r="M1645" s="2166"/>
    </row>
    <row r="1646" spans="2:13">
      <c r="B1646" s="44" t="s">
        <v>640</v>
      </c>
      <c r="E1646" s="361">
        <f>IF('Daily Load'!P542="Yes",'Daily Load'!L539,IF('Daily Load'!V542="Yes",'Daily Load'!R539,'Daily Load'!X539))</f>
        <v>0</v>
      </c>
      <c r="F1646" s="361">
        <f>IF('Daily Load'!P542="Yes",'Daily Load'!N539,IF('Daily Load'!V542="Yes",'Daily Load'!T539,'Daily Load'!Z539))</f>
        <v>0</v>
      </c>
      <c r="G1646" s="361">
        <f>IF('Daily Load'!P542="Yes",'Daily Load'!P539,IF('Daily Load'!V542="Yes",'Daily Load'!V539,'Daily Load'!AB539))</f>
        <v>0</v>
      </c>
      <c r="H1646" t="str">
        <f>H1645</f>
        <v>bbl</v>
      </c>
      <c r="I1646" s="2160" t="str">
        <f>I1592</f>
        <v xml:space="preserve"> </v>
      </c>
      <c r="J1646" s="2059"/>
      <c r="K1646" s="2161"/>
      <c r="L1646" s="2162" t="str">
        <f>L1592</f>
        <v xml:space="preserve">0 </v>
      </c>
      <c r="M1646" s="2155"/>
    </row>
    <row r="1647" spans="2:13" ht="13.5" thickBot="1">
      <c r="B1647" s="46" t="s">
        <v>639</v>
      </c>
      <c r="C1647" s="21"/>
      <c r="D1647" s="21"/>
      <c r="E1647" s="380">
        <f>IF('Daily Load'!P542="Yes",'Daily Load'!L540,IF('Daily Load'!V542="Yes",'Daily Load'!R540,'Daily Load'!X540))</f>
        <v>0</v>
      </c>
      <c r="F1647" s="380">
        <f>IF('Daily Load'!P542="Yes",'Daily Load'!N540,IF('Daily Load'!V542="Yes",'Daily Load'!T540,'Daily Load'!Z540))</f>
        <v>0</v>
      </c>
      <c r="G1647" s="380">
        <f>IF('Daily Load'!P542="Yes",'Daily Load'!P540,IF('Daily Load'!V542="Yes",'Daily Load'!V540,'Daily Load'!AB540))</f>
        <v>0</v>
      </c>
      <c r="H1647" s="21" t="str">
        <f>H1646</f>
        <v>bbl</v>
      </c>
      <c r="I1647" s="2167" t="s">
        <v>677</v>
      </c>
      <c r="J1647" s="2168"/>
      <c r="K1647" s="2169"/>
      <c r="L1647" s="2167" t="s">
        <v>826</v>
      </c>
      <c r="M1647" s="2172"/>
    </row>
  </sheetData>
  <sheetProtection sheet="1" formatCells="0" formatColumns="0" formatRows="0" insertColumns="0" insertRows="0" selectLockedCells="1"/>
  <protectedRanges>
    <protectedRange sqref="I1146 L1146 I1201 L1201 I1256 L1256 I1311 L1311 I1366 L1366 I1421 L1421 I1476 L1476 I1531 L1531 I1586 L1586 I1640 L1640" name="Range3"/>
    <protectedRange sqref="I596 L596 I651 L651 I706 L706 I761 L761 I816 L816 I871 L871 I926 L926 I981 L981 I1036 L1036 I1091:J1091 L1091" name="Range2"/>
    <protectedRange sqref="B45:M45 I47 L47 I101 L101 I156 L156 I211 L211 I266 L266 I321 L321 I376 L376 I431 L431 I486 L486 I541 L541 B99:M99 B154:M154 B209:M209 B264:M264 B319:M319 B374:M374 B429:M429 B484:M484 B539:M539 B594:M594 B649:M649 B704:M704 B759:M759 B814:M814 B869:M869 B924:M924 B979:M979 B1034:M1034 B1089:M1089 B1144:M1144 B1199:M1199 B1254:M1254 B1309:M1309 B1364:M1364 B1419:M1419 B1474:M1474 B1529:M1529 B1584:M1584 B1638:M1638" name="Range1"/>
  </protectedRanges>
  <mergeCells count="2582">
    <mergeCell ref="L1148:M1148"/>
    <mergeCell ref="L1053:M1053"/>
    <mergeCell ref="L1055:M1055"/>
    <mergeCell ref="L1043:M1043"/>
    <mergeCell ref="L1042:M1042"/>
    <mergeCell ref="L1062:M1062"/>
    <mergeCell ref="L1108:M1108"/>
    <mergeCell ref="L1110:M1110"/>
    <mergeCell ref="L1067:M1067"/>
    <mergeCell ref="H1056:I1056"/>
    <mergeCell ref="J1091:K1091"/>
    <mergeCell ref="I1062:J1062"/>
    <mergeCell ref="I1085:J1085"/>
    <mergeCell ref="J1053:K1053"/>
    <mergeCell ref="I1059:M1059"/>
    <mergeCell ref="L1063:M1063"/>
    <mergeCell ref="I1069:J1069"/>
    <mergeCell ref="L1069:M1069"/>
    <mergeCell ref="H1053:I1053"/>
    <mergeCell ref="H1054:I1054"/>
    <mergeCell ref="J1052:K1052"/>
    <mergeCell ref="J1108:K1108"/>
    <mergeCell ref="H1110:I1110"/>
    <mergeCell ref="I1075:J1075"/>
    <mergeCell ref="L1075:M1075"/>
    <mergeCell ref="L1079:M1079"/>
    <mergeCell ref="I1080:J1080"/>
    <mergeCell ref="L1080:M1080"/>
    <mergeCell ref="I1081:J1081"/>
    <mergeCell ref="L1081:M1081"/>
    <mergeCell ref="L1076:M1076"/>
    <mergeCell ref="L1369:M1369"/>
    <mergeCell ref="L713:M713"/>
    <mergeCell ref="I1140:J1140"/>
    <mergeCell ref="L1140:M1140"/>
    <mergeCell ref="L1147:M1147"/>
    <mergeCell ref="L1037:M1037"/>
    <mergeCell ref="L1038:M1038"/>
    <mergeCell ref="I1032:J1032"/>
    <mergeCell ref="L1032:M1032"/>
    <mergeCell ref="L1039:M1039"/>
    <mergeCell ref="L1093:M1093"/>
    <mergeCell ref="I1173:J1173"/>
    <mergeCell ref="L1173:M1173"/>
    <mergeCell ref="L1151:M1151"/>
    <mergeCell ref="J1166:K1166"/>
    <mergeCell ref="L1165:M1165"/>
    <mergeCell ref="L1171:M1171"/>
    <mergeCell ref="I1172:J1172"/>
    <mergeCell ref="I1170:J1170"/>
    <mergeCell ref="K1159:M1159"/>
    <mergeCell ref="H1163:I1163"/>
    <mergeCell ref="L998:M998"/>
    <mergeCell ref="L1000:M1000"/>
    <mergeCell ref="I975:J975"/>
    <mergeCell ref="L975:M975"/>
    <mergeCell ref="L982:M982"/>
    <mergeCell ref="L983:M983"/>
    <mergeCell ref="L984:M984"/>
    <mergeCell ref="L986:M986"/>
    <mergeCell ref="H1000:I1000"/>
    <mergeCell ref="H944:I944"/>
    <mergeCell ref="J1000:K1000"/>
    <mergeCell ref="H1384:I1384"/>
    <mergeCell ref="L1391:M1391"/>
    <mergeCell ref="I1392:J1392"/>
    <mergeCell ref="J1421:K1421"/>
    <mergeCell ref="I1391:J1391"/>
    <mergeCell ref="I1537:K1537"/>
    <mergeCell ref="I755:J755"/>
    <mergeCell ref="L755:M755"/>
    <mergeCell ref="J726:K726"/>
    <mergeCell ref="L726:M726"/>
    <mergeCell ref="I733:J733"/>
    <mergeCell ref="L733:M733"/>
    <mergeCell ref="L734:M734"/>
    <mergeCell ref="I735:J735"/>
    <mergeCell ref="L735:M735"/>
    <mergeCell ref="L1482:M1482"/>
    <mergeCell ref="I1538:K1538"/>
    <mergeCell ref="L1538:M1538"/>
    <mergeCell ref="L1502:M1502"/>
    <mergeCell ref="I1503:J1503"/>
    <mergeCell ref="L1503:M1503"/>
    <mergeCell ref="I1525:J1525"/>
    <mergeCell ref="L1525:M1525"/>
    <mergeCell ref="J1531:K1531"/>
    <mergeCell ref="L1386:M1386"/>
    <mergeCell ref="L1537:M1537"/>
    <mergeCell ref="L1440:M1440"/>
    <mergeCell ref="J1441:K1441"/>
    <mergeCell ref="L1441:M1441"/>
    <mergeCell ref="L1496:M1496"/>
    <mergeCell ref="L1477:M1477"/>
    <mergeCell ref="L1478:M1478"/>
    <mergeCell ref="D1146:E1146"/>
    <mergeCell ref="J1146:K1146"/>
    <mergeCell ref="D1106:H1107"/>
    <mergeCell ref="H1108:I1108"/>
    <mergeCell ref="H1109:I1109"/>
    <mergeCell ref="L1438:M1438"/>
    <mergeCell ref="L1383:M1383"/>
    <mergeCell ref="L1385:M1385"/>
    <mergeCell ref="L1371:M1371"/>
    <mergeCell ref="L1422:M1422"/>
    <mergeCell ref="L1423:M1423"/>
    <mergeCell ref="L1410:M1410"/>
    <mergeCell ref="L1411:M1411"/>
    <mergeCell ref="I1283:J1283"/>
    <mergeCell ref="L1283:M1283"/>
    <mergeCell ref="L1284:M1284"/>
    <mergeCell ref="I1285:J1285"/>
    <mergeCell ref="L1285:M1285"/>
    <mergeCell ref="I1286:J1286"/>
    <mergeCell ref="L1286:M1286"/>
    <mergeCell ref="L1221:M1221"/>
    <mergeCell ref="L1273:M1273"/>
    <mergeCell ref="L1275:M1275"/>
    <mergeCell ref="I1250:J1250"/>
    <mergeCell ref="L1250:M1250"/>
    <mergeCell ref="L1257:M1257"/>
    <mergeCell ref="L1261:M1261"/>
    <mergeCell ref="I1263:K1263"/>
    <mergeCell ref="I1262:K1262"/>
    <mergeCell ref="I1412:J1412"/>
    <mergeCell ref="L1409:M1409"/>
    <mergeCell ref="L1412:M1412"/>
    <mergeCell ref="D981:E981"/>
    <mergeCell ref="J981:K981"/>
    <mergeCell ref="I951:J951"/>
    <mergeCell ref="I954:J954"/>
    <mergeCell ref="I957:J957"/>
    <mergeCell ref="I960:J960"/>
    <mergeCell ref="I963:J963"/>
    <mergeCell ref="I966:J966"/>
    <mergeCell ref="I969:J969"/>
    <mergeCell ref="D926:E926"/>
    <mergeCell ref="J926:K926"/>
    <mergeCell ref="L1218:M1218"/>
    <mergeCell ref="L1220:M1220"/>
    <mergeCell ref="L1226:M1226"/>
    <mergeCell ref="L1367:M1367"/>
    <mergeCell ref="L1368:M1368"/>
    <mergeCell ref="L1313:M1313"/>
    <mergeCell ref="L1312:M1312"/>
    <mergeCell ref="L1287:M1287"/>
    <mergeCell ref="L1263:M1263"/>
    <mergeCell ref="K1269:M1269"/>
    <mergeCell ref="I1063:J1063"/>
    <mergeCell ref="I1064:J1064"/>
    <mergeCell ref="I1068:J1068"/>
    <mergeCell ref="D1091:E1091"/>
    <mergeCell ref="I1070:J1070"/>
    <mergeCell ref="I1073:J1073"/>
    <mergeCell ref="I1076:J1076"/>
    <mergeCell ref="I1079:J1079"/>
    <mergeCell ref="I1082:J1082"/>
    <mergeCell ref="L1068:M1068"/>
    <mergeCell ref="E1088:F1088"/>
    <mergeCell ref="L847:M847"/>
    <mergeCell ref="I848:J848"/>
    <mergeCell ref="L848:M848"/>
    <mergeCell ref="L852:M852"/>
    <mergeCell ref="L853:M853"/>
    <mergeCell ref="I854:J854"/>
    <mergeCell ref="L854:M854"/>
    <mergeCell ref="I853:J853"/>
    <mergeCell ref="L849:M849"/>
    <mergeCell ref="L850:M850"/>
    <mergeCell ref="I851:J851"/>
    <mergeCell ref="J945:K945"/>
    <mergeCell ref="J946:K946"/>
    <mergeCell ref="D996:H997"/>
    <mergeCell ref="H998:I998"/>
    <mergeCell ref="H999:I999"/>
    <mergeCell ref="J998:K998"/>
    <mergeCell ref="J997:K997"/>
    <mergeCell ref="I877:K877"/>
    <mergeCell ref="L877:M877"/>
    <mergeCell ref="I878:K878"/>
    <mergeCell ref="L946:M946"/>
    <mergeCell ref="L927:M927"/>
    <mergeCell ref="L928:M928"/>
    <mergeCell ref="I921:J921"/>
    <mergeCell ref="I922:J922"/>
    <mergeCell ref="L929:M929"/>
    <mergeCell ref="L931:M931"/>
    <mergeCell ref="L921:M921"/>
    <mergeCell ref="L922:M922"/>
    <mergeCell ref="L891:M891"/>
    <mergeCell ref="E978:F978"/>
    <mergeCell ref="I626:J626"/>
    <mergeCell ref="L635:M635"/>
    <mergeCell ref="I636:J636"/>
    <mergeCell ref="L636:M636"/>
    <mergeCell ref="I633:J633"/>
    <mergeCell ref="L633:M633"/>
    <mergeCell ref="I634:J634"/>
    <mergeCell ref="L634:M634"/>
    <mergeCell ref="I639:J639"/>
    <mergeCell ref="L639:M639"/>
    <mergeCell ref="I640:J640"/>
    <mergeCell ref="L640:M640"/>
    <mergeCell ref="L874:M874"/>
    <mergeCell ref="L876:M876"/>
    <mergeCell ref="L896:M896"/>
    <mergeCell ref="L888:M888"/>
    <mergeCell ref="L890:M890"/>
    <mergeCell ref="K884:M884"/>
    <mergeCell ref="J888:K888"/>
    <mergeCell ref="L865:M865"/>
    <mergeCell ref="L872:M872"/>
    <mergeCell ref="L873:M873"/>
    <mergeCell ref="I866:J866"/>
    <mergeCell ref="L866:M866"/>
    <mergeCell ref="I867:J867"/>
    <mergeCell ref="L867:M867"/>
    <mergeCell ref="J871:K871"/>
    <mergeCell ref="L833:M833"/>
    <mergeCell ref="L835:M835"/>
    <mergeCell ref="L895:M895"/>
    <mergeCell ref="E893:I893"/>
    <mergeCell ref="H889:I889"/>
    <mergeCell ref="J616:K616"/>
    <mergeCell ref="L616:M616"/>
    <mergeCell ref="L668:M668"/>
    <mergeCell ref="L670:M670"/>
    <mergeCell ref="L378:M378"/>
    <mergeCell ref="L379:M379"/>
    <mergeCell ref="L381:M381"/>
    <mergeCell ref="J396:K396"/>
    <mergeCell ref="L396:M396"/>
    <mergeCell ref="L382:M382"/>
    <mergeCell ref="I383:K383"/>
    <mergeCell ref="L383:M383"/>
    <mergeCell ref="H395:I395"/>
    <mergeCell ref="J395:K395"/>
    <mergeCell ref="I566:J566"/>
    <mergeCell ref="I569:J569"/>
    <mergeCell ref="L597:M597"/>
    <mergeCell ref="L598:M598"/>
    <mergeCell ref="L599:M599"/>
    <mergeCell ref="L601:M601"/>
    <mergeCell ref="J596:K596"/>
    <mergeCell ref="L602:M602"/>
    <mergeCell ref="I603:K603"/>
    <mergeCell ref="L603:M603"/>
    <mergeCell ref="J613:K613"/>
    <mergeCell ref="L615:M615"/>
    <mergeCell ref="I645:J645"/>
    <mergeCell ref="L645:M645"/>
    <mergeCell ref="H616:I616"/>
    <mergeCell ref="J651:K651"/>
    <mergeCell ref="H670:I670"/>
    <mergeCell ref="L628:M628"/>
    <mergeCell ref="E288:I288"/>
    <mergeCell ref="J341:K341"/>
    <mergeCell ref="L341:M341"/>
    <mergeCell ref="I315:J315"/>
    <mergeCell ref="L315:M315"/>
    <mergeCell ref="L323:M323"/>
    <mergeCell ref="L324:M324"/>
    <mergeCell ref="E318:F318"/>
    <mergeCell ref="D321:E321"/>
    <mergeCell ref="J231:K231"/>
    <mergeCell ref="L231:M231"/>
    <mergeCell ref="L283:M283"/>
    <mergeCell ref="L285:M285"/>
    <mergeCell ref="I260:J260"/>
    <mergeCell ref="L260:M260"/>
    <mergeCell ref="J285:K285"/>
    <mergeCell ref="L267:M267"/>
    <mergeCell ref="L268:M268"/>
    <mergeCell ref="H231:I231"/>
    <mergeCell ref="I238:J238"/>
    <mergeCell ref="L238:M238"/>
    <mergeCell ref="I234:M234"/>
    <mergeCell ref="I235:J235"/>
    <mergeCell ref="L235:M235"/>
    <mergeCell ref="I236:J236"/>
    <mergeCell ref="L236:M236"/>
    <mergeCell ref="I237:J237"/>
    <mergeCell ref="L237:M237"/>
    <mergeCell ref="J338:K338"/>
    <mergeCell ref="J321:K321"/>
    <mergeCell ref="I291:J291"/>
    <mergeCell ref="L43:M43"/>
    <mergeCell ref="L37:M37"/>
    <mergeCell ref="I41:J41"/>
    <mergeCell ref="I42:J42"/>
    <mergeCell ref="I43:J43"/>
    <mergeCell ref="I33:J33"/>
    <mergeCell ref="L50:M50"/>
    <mergeCell ref="I81:J81"/>
    <mergeCell ref="L81:M81"/>
    <mergeCell ref="I82:J82"/>
    <mergeCell ref="L82:M82"/>
    <mergeCell ref="I87:J87"/>
    <mergeCell ref="L87:M87"/>
    <mergeCell ref="I88:J88"/>
    <mergeCell ref="L228:M228"/>
    <mergeCell ref="L230:M230"/>
    <mergeCell ref="I205:J205"/>
    <mergeCell ref="L205:M205"/>
    <mergeCell ref="H228:I228"/>
    <mergeCell ref="H229:I229"/>
    <mergeCell ref="D226:H227"/>
    <mergeCell ref="D211:E211"/>
    <mergeCell ref="L213:M213"/>
    <mergeCell ref="L214:M214"/>
    <mergeCell ref="L173:M173"/>
    <mergeCell ref="L175:M175"/>
    <mergeCell ref="I150:J150"/>
    <mergeCell ref="L150:M150"/>
    <mergeCell ref="L157:M157"/>
    <mergeCell ref="L158:M158"/>
    <mergeCell ref="L159:M159"/>
    <mergeCell ref="L161:M161"/>
    <mergeCell ref="I35:J35"/>
    <mergeCell ref="I36:J36"/>
    <mergeCell ref="I37:J37"/>
    <mergeCell ref="I38:J38"/>
    <mergeCell ref="L18:M18"/>
    <mergeCell ref="L19:M19"/>
    <mergeCell ref="L20:M20"/>
    <mergeCell ref="L21:M21"/>
    <mergeCell ref="L22:M22"/>
    <mergeCell ref="I34:J34"/>
    <mergeCell ref="L29:M29"/>
    <mergeCell ref="L30:M30"/>
    <mergeCell ref="I39:J39"/>
    <mergeCell ref="I31:J31"/>
    <mergeCell ref="I32:J32"/>
    <mergeCell ref="J67:K67"/>
    <mergeCell ref="L118:M118"/>
    <mergeCell ref="L102:M102"/>
    <mergeCell ref="L103:M103"/>
    <mergeCell ref="L104:M104"/>
    <mergeCell ref="L106:M106"/>
    <mergeCell ref="L107:M107"/>
    <mergeCell ref="I108:K108"/>
    <mergeCell ref="H67:I67"/>
    <mergeCell ref="L40:M40"/>
    <mergeCell ref="L31:M31"/>
    <mergeCell ref="L32:M32"/>
    <mergeCell ref="L67:M67"/>
    <mergeCell ref="L64:M64"/>
    <mergeCell ref="L66:M66"/>
    <mergeCell ref="L41:M41"/>
    <mergeCell ref="L42:M42"/>
    <mergeCell ref="I28:J28"/>
    <mergeCell ref="I29:J29"/>
    <mergeCell ref="I30:J30"/>
    <mergeCell ref="J10:K10"/>
    <mergeCell ref="L10:M10"/>
    <mergeCell ref="L11:M11"/>
    <mergeCell ref="I23:J23"/>
    <mergeCell ref="I24:J24"/>
    <mergeCell ref="I25:J25"/>
    <mergeCell ref="I18:J18"/>
    <mergeCell ref="I19:J19"/>
    <mergeCell ref="I20:J20"/>
    <mergeCell ref="I21:J21"/>
    <mergeCell ref="L48:M48"/>
    <mergeCell ref="L49:M49"/>
    <mergeCell ref="J12:K12"/>
    <mergeCell ref="L12:M12"/>
    <mergeCell ref="L25:M25"/>
    <mergeCell ref="L26:M26"/>
    <mergeCell ref="L27:M27"/>
    <mergeCell ref="L28:M28"/>
    <mergeCell ref="I22:J22"/>
    <mergeCell ref="L23:M23"/>
    <mergeCell ref="L24:M24"/>
    <mergeCell ref="L17:M17"/>
    <mergeCell ref="L38:M38"/>
    <mergeCell ref="L39:M39"/>
    <mergeCell ref="L33:M33"/>
    <mergeCell ref="L34:M34"/>
    <mergeCell ref="L35:M35"/>
    <mergeCell ref="L36:M36"/>
    <mergeCell ref="I40:J40"/>
    <mergeCell ref="E98:F98"/>
    <mergeCell ref="I70:M70"/>
    <mergeCell ref="I71:J71"/>
    <mergeCell ref="L71:M71"/>
    <mergeCell ref="I72:J72"/>
    <mergeCell ref="L72:M72"/>
    <mergeCell ref="I73:J73"/>
    <mergeCell ref="L73:M73"/>
    <mergeCell ref="L74:M74"/>
    <mergeCell ref="I75:J75"/>
    <mergeCell ref="L80:M80"/>
    <mergeCell ref="I77:J77"/>
    <mergeCell ref="L77:M77"/>
    <mergeCell ref="I78:J78"/>
    <mergeCell ref="L78:M78"/>
    <mergeCell ref="I83:J83"/>
    <mergeCell ref="L83:M83"/>
    <mergeCell ref="I84:J84"/>
    <mergeCell ref="L84:M84"/>
    <mergeCell ref="E208:F208"/>
    <mergeCell ref="L162:M162"/>
    <mergeCell ref="I163:K163"/>
    <mergeCell ref="L163:M163"/>
    <mergeCell ref="J173:K173"/>
    <mergeCell ref="J176:K176"/>
    <mergeCell ref="L176:M176"/>
    <mergeCell ref="I181:J181"/>
    <mergeCell ref="L181:M181"/>
    <mergeCell ref="I182:J182"/>
    <mergeCell ref="I183:J183"/>
    <mergeCell ref="L183:M183"/>
    <mergeCell ref="I184:J184"/>
    <mergeCell ref="J120:K120"/>
    <mergeCell ref="H121:I121"/>
    <mergeCell ref="I126:J126"/>
    <mergeCell ref="J121:K121"/>
    <mergeCell ref="I124:M124"/>
    <mergeCell ref="I125:J125"/>
    <mergeCell ref="L125:M125"/>
    <mergeCell ref="I128:J128"/>
    <mergeCell ref="L120:M120"/>
    <mergeCell ref="J156:K156"/>
    <mergeCell ref="H174:I174"/>
    <mergeCell ref="H176:I176"/>
    <mergeCell ref="L180:M180"/>
    <mergeCell ref="I189:J189"/>
    <mergeCell ref="L189:M189"/>
    <mergeCell ref="I190:J190"/>
    <mergeCell ref="L190:M190"/>
    <mergeCell ref="I188:J188"/>
    <mergeCell ref="L188:M188"/>
    <mergeCell ref="E373:F373"/>
    <mergeCell ref="I346:J346"/>
    <mergeCell ref="I349:J349"/>
    <mergeCell ref="H341:I341"/>
    <mergeCell ref="E343:I343"/>
    <mergeCell ref="I348:J348"/>
    <mergeCell ref="I354:J354"/>
    <mergeCell ref="I357:J357"/>
    <mergeCell ref="L425:M425"/>
    <mergeCell ref="H396:I396"/>
    <mergeCell ref="E398:I398"/>
    <mergeCell ref="I300:J300"/>
    <mergeCell ref="L303:M303"/>
    <mergeCell ref="I303:J303"/>
    <mergeCell ref="L299:M299"/>
    <mergeCell ref="L300:M300"/>
    <mergeCell ref="I301:J301"/>
    <mergeCell ref="L301:M301"/>
    <mergeCell ref="I302:J302"/>
    <mergeCell ref="I306:J306"/>
    <mergeCell ref="I307:J307"/>
    <mergeCell ref="L304:M304"/>
    <mergeCell ref="I305:J305"/>
    <mergeCell ref="L305:M305"/>
    <mergeCell ref="L306:M306"/>
    <mergeCell ref="I304:J304"/>
    <mergeCell ref="L326:M326"/>
    <mergeCell ref="E428:F428"/>
    <mergeCell ref="L401:M401"/>
    <mergeCell ref="I402:J402"/>
    <mergeCell ref="L402:M402"/>
    <mergeCell ref="I403:J403"/>
    <mergeCell ref="D541:E541"/>
    <mergeCell ref="J541:K541"/>
    <mergeCell ref="L487:M487"/>
    <mergeCell ref="L488:M488"/>
    <mergeCell ref="L489:M489"/>
    <mergeCell ref="L491:M491"/>
    <mergeCell ref="L492:M492"/>
    <mergeCell ref="I492:K492"/>
    <mergeCell ref="K499:M499"/>
    <mergeCell ref="D501:H502"/>
    <mergeCell ref="J560:K560"/>
    <mergeCell ref="H561:I561"/>
    <mergeCell ref="L543:M543"/>
    <mergeCell ref="L544:M544"/>
    <mergeCell ref="L546:M546"/>
    <mergeCell ref="L558:M558"/>
    <mergeCell ref="L560:M560"/>
    <mergeCell ref="J561:K561"/>
    <mergeCell ref="D556:H557"/>
    <mergeCell ref="H558:I558"/>
    <mergeCell ref="H559:I559"/>
    <mergeCell ref="J558:K558"/>
    <mergeCell ref="H560:I560"/>
    <mergeCell ref="J450:K450"/>
    <mergeCell ref="D486:E486"/>
    <mergeCell ref="E483:F483"/>
    <mergeCell ref="I456:J456"/>
    <mergeCell ref="J615:K615"/>
    <mergeCell ref="I602:K602"/>
    <mergeCell ref="K609:M609"/>
    <mergeCell ref="J612:K612"/>
    <mergeCell ref="L656:M656"/>
    <mergeCell ref="H615:I615"/>
    <mergeCell ref="E618:I618"/>
    <mergeCell ref="E648:F648"/>
    <mergeCell ref="D651:E651"/>
    <mergeCell ref="I619:M619"/>
    <mergeCell ref="I620:J620"/>
    <mergeCell ref="L620:M620"/>
    <mergeCell ref="I621:J621"/>
    <mergeCell ref="L621:M621"/>
    <mergeCell ref="D666:H667"/>
    <mergeCell ref="H668:I668"/>
    <mergeCell ref="H669:I669"/>
    <mergeCell ref="J668:K668"/>
    <mergeCell ref="I657:K657"/>
    <mergeCell ref="L657:M657"/>
    <mergeCell ref="I658:K658"/>
    <mergeCell ref="L658:M658"/>
    <mergeCell ref="K664:M664"/>
    <mergeCell ref="L622:M622"/>
    <mergeCell ref="I623:J623"/>
    <mergeCell ref="L623:M623"/>
    <mergeCell ref="I624:J624"/>
    <mergeCell ref="L624:M624"/>
    <mergeCell ref="I625:J625"/>
    <mergeCell ref="I627:J627"/>
    <mergeCell ref="L627:M627"/>
    <mergeCell ref="I628:J628"/>
    <mergeCell ref="I1010:J1010"/>
    <mergeCell ref="L1010:M1010"/>
    <mergeCell ref="I1015:J1015"/>
    <mergeCell ref="L1015:M1015"/>
    <mergeCell ref="I1016:J1016"/>
    <mergeCell ref="L1016:M1016"/>
    <mergeCell ref="E703:F703"/>
    <mergeCell ref="J670:K670"/>
    <mergeCell ref="H671:I671"/>
    <mergeCell ref="I677:J677"/>
    <mergeCell ref="E673:I673"/>
    <mergeCell ref="H778:I778"/>
    <mergeCell ref="H779:I779"/>
    <mergeCell ref="J778:K778"/>
    <mergeCell ref="H780:I780"/>
    <mergeCell ref="E813:F813"/>
    <mergeCell ref="I786:J786"/>
    <mergeCell ref="I789:J789"/>
    <mergeCell ref="I784:M784"/>
    <mergeCell ref="I785:J785"/>
    <mergeCell ref="I864:J864"/>
    <mergeCell ref="I841:J841"/>
    <mergeCell ref="I844:J844"/>
    <mergeCell ref="I847:J847"/>
    <mergeCell ref="I850:J850"/>
    <mergeCell ref="I843:J843"/>
    <mergeCell ref="I846:J846"/>
    <mergeCell ref="I849:J849"/>
    <mergeCell ref="I852:J852"/>
    <mergeCell ref="L712:M712"/>
    <mergeCell ref="L707:M707"/>
    <mergeCell ref="L708:M708"/>
    <mergeCell ref="D1161:H1162"/>
    <mergeCell ref="L1163:M1163"/>
    <mergeCell ref="J1162:K1162"/>
    <mergeCell ref="H1164:I1164"/>
    <mergeCell ref="L1166:M1166"/>
    <mergeCell ref="F1163:G1163"/>
    <mergeCell ref="H1001:I1001"/>
    <mergeCell ref="I1006:J1006"/>
    <mergeCell ref="J1001:K1001"/>
    <mergeCell ref="I1004:M1004"/>
    <mergeCell ref="I1005:J1005"/>
    <mergeCell ref="L1005:M1005"/>
    <mergeCell ref="I1043:K1043"/>
    <mergeCell ref="I1060:J1060"/>
    <mergeCell ref="L1060:M1060"/>
    <mergeCell ref="I1061:J1061"/>
    <mergeCell ref="L1061:M1061"/>
    <mergeCell ref="D1036:E1036"/>
    <mergeCell ref="J1036:K1036"/>
    <mergeCell ref="E1058:I1058"/>
    <mergeCell ref="J1055:K1055"/>
    <mergeCell ref="I1042:K1042"/>
    <mergeCell ref="K1049:M1049"/>
    <mergeCell ref="H1055:I1055"/>
    <mergeCell ref="J1056:K1056"/>
    <mergeCell ref="L1056:M1056"/>
    <mergeCell ref="I1011:J1011"/>
    <mergeCell ref="L1011:M1011"/>
    <mergeCell ref="I1012:J1012"/>
    <mergeCell ref="L1012:M1012"/>
    <mergeCell ref="I1009:J1009"/>
    <mergeCell ref="L1009:M1009"/>
    <mergeCell ref="K1379:M1379"/>
    <mergeCell ref="L1373:M1373"/>
    <mergeCell ref="D1381:H1382"/>
    <mergeCell ref="E1308:F1308"/>
    <mergeCell ref="I1336:J1336"/>
    <mergeCell ref="J1331:K1331"/>
    <mergeCell ref="F1273:G1273"/>
    <mergeCell ref="I1207:K1207"/>
    <mergeCell ref="L1207:M1207"/>
    <mergeCell ref="L1208:M1208"/>
    <mergeCell ref="L1258:M1258"/>
    <mergeCell ref="E1143:F1143"/>
    <mergeCell ref="I1116:J1116"/>
    <mergeCell ref="I1117:J1117"/>
    <mergeCell ref="E1198:F1198"/>
    <mergeCell ref="D1201:E1201"/>
    <mergeCell ref="J1201:K1201"/>
    <mergeCell ref="I1171:J1171"/>
    <mergeCell ref="I1174:J1174"/>
    <mergeCell ref="I1177:J1177"/>
    <mergeCell ref="I1180:J1180"/>
    <mergeCell ref="I1183:J1183"/>
    <mergeCell ref="I1189:J1189"/>
    <mergeCell ref="I1176:J1176"/>
    <mergeCell ref="L1202:M1202"/>
    <mergeCell ref="L1203:M1203"/>
    <mergeCell ref="I1188:J1188"/>
    <mergeCell ref="L1188:M1188"/>
    <mergeCell ref="L1189:M1189"/>
    <mergeCell ref="I1190:J1190"/>
    <mergeCell ref="L1190:M1190"/>
    <mergeCell ref="I1191:J1191"/>
    <mergeCell ref="I1396:J1396"/>
    <mergeCell ref="L1396:M1396"/>
    <mergeCell ref="L1400:M1400"/>
    <mergeCell ref="I1401:J1401"/>
    <mergeCell ref="L1401:M1401"/>
    <mergeCell ref="I1402:J1402"/>
    <mergeCell ref="L1402:M1402"/>
    <mergeCell ref="L1397:M1397"/>
    <mergeCell ref="I1398:J1398"/>
    <mergeCell ref="L1398:M1398"/>
    <mergeCell ref="I1399:J1399"/>
    <mergeCell ref="L1399:M1399"/>
    <mergeCell ref="L1204:M1204"/>
    <mergeCell ref="L1206:M1206"/>
    <mergeCell ref="D1256:E1256"/>
    <mergeCell ref="J1256:K1256"/>
    <mergeCell ref="D1216:H1217"/>
    <mergeCell ref="H1218:I1218"/>
    <mergeCell ref="H1219:I1219"/>
    <mergeCell ref="J1218:K1218"/>
    <mergeCell ref="H1220:I1220"/>
    <mergeCell ref="E1253:F1253"/>
    <mergeCell ref="H1383:I1383"/>
    <mergeCell ref="L1372:M1372"/>
    <mergeCell ref="I1373:K1373"/>
    <mergeCell ref="F1383:G1383"/>
    <mergeCell ref="D1311:E1311"/>
    <mergeCell ref="J1311:K1311"/>
    <mergeCell ref="L1336:M1336"/>
    <mergeCell ref="D1366:E1366"/>
    <mergeCell ref="J1366:K1366"/>
    <mergeCell ref="E1363:F1363"/>
    <mergeCell ref="I1397:J1397"/>
    <mergeCell ref="I1400:J1400"/>
    <mergeCell ref="I1403:J1403"/>
    <mergeCell ref="I1406:J1406"/>
    <mergeCell ref="I1409:J1409"/>
    <mergeCell ref="I1410:J1410"/>
    <mergeCell ref="I1411:J1411"/>
    <mergeCell ref="L1426:M1426"/>
    <mergeCell ref="L1424:M1424"/>
    <mergeCell ref="D1476:E1476"/>
    <mergeCell ref="J1476:K1476"/>
    <mergeCell ref="D1436:H1437"/>
    <mergeCell ref="H1438:I1438"/>
    <mergeCell ref="H1439:I1439"/>
    <mergeCell ref="J1438:K1438"/>
    <mergeCell ref="H1440:I1440"/>
    <mergeCell ref="J1440:K1440"/>
    <mergeCell ref="H1441:I1441"/>
    <mergeCell ref="E1473:F1473"/>
    <mergeCell ref="H1496:I1496"/>
    <mergeCell ref="J1495:K1495"/>
    <mergeCell ref="D1531:E1531"/>
    <mergeCell ref="I1499:M1499"/>
    <mergeCell ref="I1500:J1500"/>
    <mergeCell ref="L1500:M1500"/>
    <mergeCell ref="I1501:J1501"/>
    <mergeCell ref="L1501:M1501"/>
    <mergeCell ref="I1502:J1502"/>
    <mergeCell ref="I1504:J1504"/>
    <mergeCell ref="L1504:M1504"/>
    <mergeCell ref="I1507:J1507"/>
    <mergeCell ref="I1455:J1455"/>
    <mergeCell ref="L1455:M1455"/>
    <mergeCell ref="I1456:J1456"/>
    <mergeCell ref="L1456:M1456"/>
    <mergeCell ref="I1453:J1453"/>
    <mergeCell ref="L1453:M1453"/>
    <mergeCell ref="L1479:M1479"/>
    <mergeCell ref="L1481:M1481"/>
    <mergeCell ref="E1583:F1583"/>
    <mergeCell ref="J1550:K1550"/>
    <mergeCell ref="L1532:M1532"/>
    <mergeCell ref="L1533:M1533"/>
    <mergeCell ref="L1534:M1534"/>
    <mergeCell ref="L1536:M1536"/>
    <mergeCell ref="J1551:K1551"/>
    <mergeCell ref="L1551:M1551"/>
    <mergeCell ref="I1580:J1580"/>
    <mergeCell ref="L1580:M1580"/>
    <mergeCell ref="L1642:M1642"/>
    <mergeCell ref="L1643:M1643"/>
    <mergeCell ref="L1645:M1645"/>
    <mergeCell ref="K1599:M1599"/>
    <mergeCell ref="J1640:K1640"/>
    <mergeCell ref="L1641:M1641"/>
    <mergeCell ref="J1603:K1603"/>
    <mergeCell ref="J1605:K1605"/>
    <mergeCell ref="L1611:M1611"/>
    <mergeCell ref="L1612:M1612"/>
    <mergeCell ref="L1592:M1592"/>
    <mergeCell ref="E1637:F1637"/>
    <mergeCell ref="D1640:E1640"/>
    <mergeCell ref="D1601:H1602"/>
    <mergeCell ref="H1603:I1603"/>
    <mergeCell ref="H1604:I1604"/>
    <mergeCell ref="H1605:I1605"/>
    <mergeCell ref="H1606:I1606"/>
    <mergeCell ref="I1611:J1611"/>
    <mergeCell ref="I1612:J1612"/>
    <mergeCell ref="D1586:E1586"/>
    <mergeCell ref="J1586:K1586"/>
    <mergeCell ref="L1587:M1587"/>
    <mergeCell ref="L1588:M1588"/>
    <mergeCell ref="L1589:M1589"/>
    <mergeCell ref="L1591:M1591"/>
    <mergeCell ref="L182:M182"/>
    <mergeCell ref="J175:K175"/>
    <mergeCell ref="I162:K162"/>
    <mergeCell ref="K169:M169"/>
    <mergeCell ref="D171:H172"/>
    <mergeCell ref="H173:I173"/>
    <mergeCell ref="H175:I175"/>
    <mergeCell ref="I179:M179"/>
    <mergeCell ref="I180:J180"/>
    <mergeCell ref="F173:G173"/>
    <mergeCell ref="I218:K218"/>
    <mergeCell ref="L218:M218"/>
    <mergeCell ref="K224:M224"/>
    <mergeCell ref="J222:L222"/>
    <mergeCell ref="J486:K486"/>
    <mergeCell ref="I458:J458"/>
    <mergeCell ref="H394:I394"/>
    <mergeCell ref="L393:M393"/>
    <mergeCell ref="L395:M395"/>
    <mergeCell ref="I425:J425"/>
    <mergeCell ref="I437:K437"/>
    <mergeCell ref="L437:M437"/>
    <mergeCell ref="I438:K438"/>
    <mergeCell ref="L438:M438"/>
    <mergeCell ref="K444:M444"/>
    <mergeCell ref="E453:I453"/>
    <mergeCell ref="L450:M450"/>
    <mergeCell ref="H449:I449"/>
    <mergeCell ref="H1166:I1166"/>
    <mergeCell ref="H1165:I1165"/>
    <mergeCell ref="J1165:K1165"/>
    <mergeCell ref="K994:M994"/>
    <mergeCell ref="E1003:I1003"/>
    <mergeCell ref="E1033:F1033"/>
    <mergeCell ref="L1152:M1152"/>
    <mergeCell ref="I1346:J1346"/>
    <mergeCell ref="I1349:J1349"/>
    <mergeCell ref="I1335:J1335"/>
    <mergeCell ref="I1358:J1358"/>
    <mergeCell ref="I1362:J1362"/>
    <mergeCell ref="I1208:K1208"/>
    <mergeCell ref="I1281:J1281"/>
    <mergeCell ref="I1284:J1284"/>
    <mergeCell ref="I1287:J1287"/>
    <mergeCell ref="J1221:K1221"/>
    <mergeCell ref="I1290:J1290"/>
    <mergeCell ref="L1317:M1317"/>
    <mergeCell ref="I1318:K1318"/>
    <mergeCell ref="L1318:M1318"/>
    <mergeCell ref="K1324:M1324"/>
    <mergeCell ref="E1333:I1333"/>
    <mergeCell ref="I1294:J1294"/>
    <mergeCell ref="L1294:M1294"/>
    <mergeCell ref="I1295:J1295"/>
    <mergeCell ref="L1295:M1295"/>
    <mergeCell ref="L1191:M1191"/>
    <mergeCell ref="I1192:J1192"/>
    <mergeCell ref="L1153:M1153"/>
    <mergeCell ref="J1163:K1163"/>
    <mergeCell ref="I1169:M1169"/>
    <mergeCell ref="I1646:K1646"/>
    <mergeCell ref="I1554:M1554"/>
    <mergeCell ref="I1555:J1555"/>
    <mergeCell ref="L1555:M1555"/>
    <mergeCell ref="J1547:K1547"/>
    <mergeCell ref="H1551:I1551"/>
    <mergeCell ref="H1549:I1549"/>
    <mergeCell ref="I1593:K1593"/>
    <mergeCell ref="L1593:M1593"/>
    <mergeCell ref="I1592:K1592"/>
    <mergeCell ref="L1646:M1646"/>
    <mergeCell ref="I1647:K1647"/>
    <mergeCell ref="L1647:M1647"/>
    <mergeCell ref="I53:K53"/>
    <mergeCell ref="K60:M60"/>
    <mergeCell ref="J230:K230"/>
    <mergeCell ref="L212:M212"/>
    <mergeCell ref="I327:K327"/>
    <mergeCell ref="I328:K328"/>
    <mergeCell ref="L322:M322"/>
    <mergeCell ref="J64:K64"/>
    <mergeCell ref="H66:I66"/>
    <mergeCell ref="J66:K66"/>
    <mergeCell ref="H65:I65"/>
    <mergeCell ref="L108:M108"/>
    <mergeCell ref="J228:K228"/>
    <mergeCell ref="H230:I230"/>
    <mergeCell ref="L217:M217"/>
    <mergeCell ref="I217:K217"/>
    <mergeCell ref="L328:M328"/>
    <mergeCell ref="I272:K272"/>
    <mergeCell ref="K279:M279"/>
    <mergeCell ref="L327:M327"/>
    <mergeCell ref="I292:J292"/>
    <mergeCell ref="L292:M292"/>
    <mergeCell ref="J393:K393"/>
    <mergeCell ref="I382:K382"/>
    <mergeCell ref="K389:M389"/>
    <mergeCell ref="H393:I393"/>
    <mergeCell ref="D391:H392"/>
    <mergeCell ref="F393:G393"/>
    <mergeCell ref="D376:E376"/>
    <mergeCell ref="J376:K376"/>
    <mergeCell ref="L370:M370"/>
    <mergeCell ref="L377:M377"/>
    <mergeCell ref="L371:M371"/>
    <mergeCell ref="I372:J372"/>
    <mergeCell ref="L372:M372"/>
    <mergeCell ref="I370:J370"/>
    <mergeCell ref="I371:J371"/>
    <mergeCell ref="L296:M296"/>
    <mergeCell ref="L297:M297"/>
    <mergeCell ref="I298:J298"/>
    <mergeCell ref="L298:M298"/>
    <mergeCell ref="L293:M293"/>
    <mergeCell ref="L294:M294"/>
    <mergeCell ref="I295:J295"/>
    <mergeCell ref="L295:M295"/>
    <mergeCell ref="L302:M302"/>
    <mergeCell ref="I294:J294"/>
    <mergeCell ref="I297:J297"/>
    <mergeCell ref="I293:J293"/>
    <mergeCell ref="I296:J296"/>
    <mergeCell ref="I299:J299"/>
    <mergeCell ref="L455:M455"/>
    <mergeCell ref="J451:K451"/>
    <mergeCell ref="L451:M451"/>
    <mergeCell ref="L457:M457"/>
    <mergeCell ref="I457:J457"/>
    <mergeCell ref="I454:M454"/>
    <mergeCell ref="I455:J455"/>
    <mergeCell ref="L456:M456"/>
    <mergeCell ref="I493:K493"/>
    <mergeCell ref="L493:M493"/>
    <mergeCell ref="F503:G503"/>
    <mergeCell ref="I548:K548"/>
    <mergeCell ref="L548:M548"/>
    <mergeCell ref="I509:M509"/>
    <mergeCell ref="I510:J510"/>
    <mergeCell ref="L510:M510"/>
    <mergeCell ref="J502:K502"/>
    <mergeCell ref="L542:M542"/>
    <mergeCell ref="L458:M458"/>
    <mergeCell ref="I459:J459"/>
    <mergeCell ref="L459:M459"/>
    <mergeCell ref="I460:J460"/>
    <mergeCell ref="L460:M460"/>
    <mergeCell ref="I463:J463"/>
    <mergeCell ref="L463:M463"/>
    <mergeCell ref="I464:J464"/>
    <mergeCell ref="L464:M464"/>
    <mergeCell ref="I461:J461"/>
    <mergeCell ref="L461:M461"/>
    <mergeCell ref="I462:J462"/>
    <mergeCell ref="L462:M462"/>
    <mergeCell ref="I467:J467"/>
    <mergeCell ref="L613:M613"/>
    <mergeCell ref="H614:I614"/>
    <mergeCell ref="I622:J622"/>
    <mergeCell ref="K939:M939"/>
    <mergeCell ref="H833:I833"/>
    <mergeCell ref="L822:M822"/>
    <mergeCell ref="I823:K823"/>
    <mergeCell ref="L823:M823"/>
    <mergeCell ref="L625:M625"/>
    <mergeCell ref="I822:K822"/>
    <mergeCell ref="K829:M829"/>
    <mergeCell ref="D831:H832"/>
    <mergeCell ref="L626:M626"/>
    <mergeCell ref="D941:H942"/>
    <mergeCell ref="H943:I943"/>
    <mergeCell ref="L932:M932"/>
    <mergeCell ref="I933:K933"/>
    <mergeCell ref="L933:M933"/>
    <mergeCell ref="L943:M943"/>
    <mergeCell ref="J942:K942"/>
    <mergeCell ref="J943:K943"/>
    <mergeCell ref="I932:K932"/>
    <mergeCell ref="F943:G943"/>
    <mergeCell ref="I631:J631"/>
    <mergeCell ref="L631:M631"/>
    <mergeCell ref="I632:J632"/>
    <mergeCell ref="L632:M632"/>
    <mergeCell ref="I629:J629"/>
    <mergeCell ref="L629:M629"/>
    <mergeCell ref="I630:J630"/>
    <mergeCell ref="L630:M630"/>
    <mergeCell ref="I635:J635"/>
    <mergeCell ref="B1:M1"/>
    <mergeCell ref="F2:I2"/>
    <mergeCell ref="J2:L2"/>
    <mergeCell ref="B56:M56"/>
    <mergeCell ref="H12:I12"/>
    <mergeCell ref="J11:K11"/>
    <mergeCell ref="K5:M5"/>
    <mergeCell ref="D47:E47"/>
    <mergeCell ref="J47:K47"/>
    <mergeCell ref="E44:F44"/>
    <mergeCell ref="L75:M75"/>
    <mergeCell ref="I76:J76"/>
    <mergeCell ref="L76:M76"/>
    <mergeCell ref="I74:J74"/>
    <mergeCell ref="I79:J79"/>
    <mergeCell ref="L79:M79"/>
    <mergeCell ref="I80:J80"/>
    <mergeCell ref="D7:H8"/>
    <mergeCell ref="H9:I9"/>
    <mergeCell ref="H10:I10"/>
    <mergeCell ref="J9:K9"/>
    <mergeCell ref="J8:K8"/>
    <mergeCell ref="F9:G9"/>
    <mergeCell ref="L9:M9"/>
    <mergeCell ref="L53:M53"/>
    <mergeCell ref="I54:K54"/>
    <mergeCell ref="L54:M54"/>
    <mergeCell ref="F57:I57"/>
    <mergeCell ref="J57:L57"/>
    <mergeCell ref="L52:M52"/>
    <mergeCell ref="I26:J26"/>
    <mergeCell ref="I27:J27"/>
    <mergeCell ref="L88:M88"/>
    <mergeCell ref="I85:J85"/>
    <mergeCell ref="L85:M85"/>
    <mergeCell ref="I86:J86"/>
    <mergeCell ref="L86:M86"/>
    <mergeCell ref="I91:J91"/>
    <mergeCell ref="L91:M91"/>
    <mergeCell ref="I92:J92"/>
    <mergeCell ref="L92:M92"/>
    <mergeCell ref="I89:J89"/>
    <mergeCell ref="L89:M89"/>
    <mergeCell ref="I90:J90"/>
    <mergeCell ref="L90:M90"/>
    <mergeCell ref="L96:M96"/>
    <mergeCell ref="I97:J97"/>
    <mergeCell ref="L97:M97"/>
    <mergeCell ref="K114:M114"/>
    <mergeCell ref="I93:J93"/>
    <mergeCell ref="L93:M93"/>
    <mergeCell ref="I94:J94"/>
    <mergeCell ref="L94:M94"/>
    <mergeCell ref="J101:K101"/>
    <mergeCell ref="I95:J95"/>
    <mergeCell ref="L95:M95"/>
    <mergeCell ref="I96:J96"/>
    <mergeCell ref="L128:M128"/>
    <mergeCell ref="I129:J129"/>
    <mergeCell ref="L129:M129"/>
    <mergeCell ref="I107:K107"/>
    <mergeCell ref="L126:M126"/>
    <mergeCell ref="I127:J127"/>
    <mergeCell ref="L127:M127"/>
    <mergeCell ref="J112:L112"/>
    <mergeCell ref="H120:I120"/>
    <mergeCell ref="I132:J132"/>
    <mergeCell ref="L132:M132"/>
    <mergeCell ref="I133:J133"/>
    <mergeCell ref="L133:M133"/>
    <mergeCell ref="I130:J130"/>
    <mergeCell ref="L130:M130"/>
    <mergeCell ref="I131:J131"/>
    <mergeCell ref="L131:M131"/>
    <mergeCell ref="E123:I123"/>
    <mergeCell ref="F121:G121"/>
    <mergeCell ref="D116:H117"/>
    <mergeCell ref="H118:I118"/>
    <mergeCell ref="H119:I119"/>
    <mergeCell ref="F118:G118"/>
    <mergeCell ref="J118:K118"/>
    <mergeCell ref="L121:M121"/>
    <mergeCell ref="I136:J136"/>
    <mergeCell ref="L136:M136"/>
    <mergeCell ref="I137:J137"/>
    <mergeCell ref="L137:M137"/>
    <mergeCell ref="I134:J134"/>
    <mergeCell ref="L134:M134"/>
    <mergeCell ref="I135:J135"/>
    <mergeCell ref="L135:M135"/>
    <mergeCell ref="I140:J140"/>
    <mergeCell ref="L140:M140"/>
    <mergeCell ref="I141:J141"/>
    <mergeCell ref="L141:M141"/>
    <mergeCell ref="I138:J138"/>
    <mergeCell ref="L138:M138"/>
    <mergeCell ref="I139:J139"/>
    <mergeCell ref="L139:M139"/>
    <mergeCell ref="L144:M144"/>
    <mergeCell ref="I145:J145"/>
    <mergeCell ref="L145:M145"/>
    <mergeCell ref="I142:J142"/>
    <mergeCell ref="L142:M142"/>
    <mergeCell ref="I143:J143"/>
    <mergeCell ref="L143:M143"/>
    <mergeCell ref="L151:M151"/>
    <mergeCell ref="I152:J152"/>
    <mergeCell ref="I146:J146"/>
    <mergeCell ref="L146:M146"/>
    <mergeCell ref="I147:J147"/>
    <mergeCell ref="L147:M147"/>
    <mergeCell ref="I185:J185"/>
    <mergeCell ref="L185:M185"/>
    <mergeCell ref="I186:J186"/>
    <mergeCell ref="L186:M186"/>
    <mergeCell ref="I187:J187"/>
    <mergeCell ref="L148:M148"/>
    <mergeCell ref="L152:M152"/>
    <mergeCell ref="I149:J149"/>
    <mergeCell ref="L149:M149"/>
    <mergeCell ref="I151:J151"/>
    <mergeCell ref="J172:K172"/>
    <mergeCell ref="L184:M184"/>
    <mergeCell ref="L187:M187"/>
    <mergeCell ref="E178:I178"/>
    <mergeCell ref="L194:M194"/>
    <mergeCell ref="L191:M191"/>
    <mergeCell ref="I192:J192"/>
    <mergeCell ref="L192:M192"/>
    <mergeCell ref="L197:M197"/>
    <mergeCell ref="I198:J198"/>
    <mergeCell ref="L198:M198"/>
    <mergeCell ref="L195:M195"/>
    <mergeCell ref="I196:J196"/>
    <mergeCell ref="L196:M196"/>
    <mergeCell ref="L201:M201"/>
    <mergeCell ref="I202:J202"/>
    <mergeCell ref="L202:M202"/>
    <mergeCell ref="L199:M199"/>
    <mergeCell ref="I200:J200"/>
    <mergeCell ref="L200:M200"/>
    <mergeCell ref="L206:M206"/>
    <mergeCell ref="I199:J199"/>
    <mergeCell ref="I195:J195"/>
    <mergeCell ref="I191:J191"/>
    <mergeCell ref="I201:J201"/>
    <mergeCell ref="I197:J197"/>
    <mergeCell ref="I193:J193"/>
    <mergeCell ref="L193:M193"/>
    <mergeCell ref="I194:J194"/>
    <mergeCell ref="I207:J207"/>
    <mergeCell ref="L207:M207"/>
    <mergeCell ref="L203:M203"/>
    <mergeCell ref="I204:J204"/>
    <mergeCell ref="L204:M204"/>
    <mergeCell ref="I241:J241"/>
    <mergeCell ref="L241:M241"/>
    <mergeCell ref="I242:J242"/>
    <mergeCell ref="L242:M242"/>
    <mergeCell ref="I239:J239"/>
    <mergeCell ref="L239:M239"/>
    <mergeCell ref="I240:J240"/>
    <mergeCell ref="L240:M240"/>
    <mergeCell ref="I245:J245"/>
    <mergeCell ref="L245:M245"/>
    <mergeCell ref="I246:J246"/>
    <mergeCell ref="L246:M246"/>
    <mergeCell ref="I243:J243"/>
    <mergeCell ref="L243:M243"/>
    <mergeCell ref="I244:J244"/>
    <mergeCell ref="L244:M244"/>
    <mergeCell ref="J227:K227"/>
    <mergeCell ref="I203:J203"/>
    <mergeCell ref="I206:J206"/>
    <mergeCell ref="L216:M216"/>
    <mergeCell ref="J211:K211"/>
    <mergeCell ref="I249:J249"/>
    <mergeCell ref="L249:M249"/>
    <mergeCell ref="I250:J250"/>
    <mergeCell ref="L250:M250"/>
    <mergeCell ref="I247:J247"/>
    <mergeCell ref="L247:M247"/>
    <mergeCell ref="I248:J248"/>
    <mergeCell ref="L248:M248"/>
    <mergeCell ref="I253:J253"/>
    <mergeCell ref="L253:M253"/>
    <mergeCell ref="I254:J254"/>
    <mergeCell ref="L254:M254"/>
    <mergeCell ref="I251:J251"/>
    <mergeCell ref="L251:M251"/>
    <mergeCell ref="I252:J252"/>
    <mergeCell ref="L252:M252"/>
    <mergeCell ref="I255:J255"/>
    <mergeCell ref="L255:M255"/>
    <mergeCell ref="L259:M259"/>
    <mergeCell ref="I256:J256"/>
    <mergeCell ref="L256:M256"/>
    <mergeCell ref="I257:J257"/>
    <mergeCell ref="L257:M257"/>
    <mergeCell ref="I258:J258"/>
    <mergeCell ref="L258:M258"/>
    <mergeCell ref="I259:J259"/>
    <mergeCell ref="J286:K286"/>
    <mergeCell ref="L286:M286"/>
    <mergeCell ref="L291:M291"/>
    <mergeCell ref="L271:M271"/>
    <mergeCell ref="I273:K273"/>
    <mergeCell ref="L273:M273"/>
    <mergeCell ref="J283:K283"/>
    <mergeCell ref="H285:I285"/>
    <mergeCell ref="I289:M289"/>
    <mergeCell ref="I290:J290"/>
    <mergeCell ref="J282:K282"/>
    <mergeCell ref="J277:L277"/>
    <mergeCell ref="L269:M269"/>
    <mergeCell ref="I261:J261"/>
    <mergeCell ref="L261:M261"/>
    <mergeCell ref="I262:J262"/>
    <mergeCell ref="L262:M262"/>
    <mergeCell ref="J266:K266"/>
    <mergeCell ref="L272:M272"/>
    <mergeCell ref="D281:H282"/>
    <mergeCell ref="H283:I283"/>
    <mergeCell ref="L290:M290"/>
    <mergeCell ref="H284:I284"/>
    <mergeCell ref="H286:I286"/>
    <mergeCell ref="L309:M309"/>
    <mergeCell ref="I310:J310"/>
    <mergeCell ref="L310:M310"/>
    <mergeCell ref="I311:J311"/>
    <mergeCell ref="L311:M311"/>
    <mergeCell ref="L307:M307"/>
    <mergeCell ref="I308:J308"/>
    <mergeCell ref="L308:M308"/>
    <mergeCell ref="I309:J309"/>
    <mergeCell ref="L316:M316"/>
    <mergeCell ref="I317:J317"/>
    <mergeCell ref="L317:M317"/>
    <mergeCell ref="L312:M312"/>
    <mergeCell ref="I313:J313"/>
    <mergeCell ref="L313:M313"/>
    <mergeCell ref="I314:J314"/>
    <mergeCell ref="L314:M314"/>
    <mergeCell ref="I312:J312"/>
    <mergeCell ref="I316:J316"/>
    <mergeCell ref="K334:M334"/>
    <mergeCell ref="L346:M346"/>
    <mergeCell ref="I347:J347"/>
    <mergeCell ref="L347:M347"/>
    <mergeCell ref="L338:M338"/>
    <mergeCell ref="L340:M340"/>
    <mergeCell ref="I344:M344"/>
    <mergeCell ref="I345:J345"/>
    <mergeCell ref="L345:M345"/>
    <mergeCell ref="J340:K340"/>
    <mergeCell ref="L351:M351"/>
    <mergeCell ref="I352:J352"/>
    <mergeCell ref="L352:M352"/>
    <mergeCell ref="I353:J353"/>
    <mergeCell ref="L353:M353"/>
    <mergeCell ref="L348:M348"/>
    <mergeCell ref="L349:M349"/>
    <mergeCell ref="I350:J350"/>
    <mergeCell ref="L350:M350"/>
    <mergeCell ref="I351:J351"/>
    <mergeCell ref="J337:K337"/>
    <mergeCell ref="H340:I340"/>
    <mergeCell ref="L357:M357"/>
    <mergeCell ref="I358:J358"/>
    <mergeCell ref="L358:M358"/>
    <mergeCell ref="I359:J359"/>
    <mergeCell ref="L359:M359"/>
    <mergeCell ref="L354:M354"/>
    <mergeCell ref="I355:J355"/>
    <mergeCell ref="L355:M355"/>
    <mergeCell ref="I356:J356"/>
    <mergeCell ref="L356:M356"/>
    <mergeCell ref="I362:J362"/>
    <mergeCell ref="L362:M362"/>
    <mergeCell ref="I363:J363"/>
    <mergeCell ref="L363:M363"/>
    <mergeCell ref="L360:M360"/>
    <mergeCell ref="I361:J361"/>
    <mergeCell ref="L361:M361"/>
    <mergeCell ref="I369:J369"/>
    <mergeCell ref="L369:M369"/>
    <mergeCell ref="I366:J366"/>
    <mergeCell ref="L366:M366"/>
    <mergeCell ref="I367:J367"/>
    <mergeCell ref="L367:M367"/>
    <mergeCell ref="L403:M403"/>
    <mergeCell ref="I401:J401"/>
    <mergeCell ref="L404:M404"/>
    <mergeCell ref="I405:J405"/>
    <mergeCell ref="L405:M405"/>
    <mergeCell ref="I406:J406"/>
    <mergeCell ref="L406:M406"/>
    <mergeCell ref="I404:J404"/>
    <mergeCell ref="L407:M407"/>
    <mergeCell ref="I408:J408"/>
    <mergeCell ref="L408:M408"/>
    <mergeCell ref="J392:K392"/>
    <mergeCell ref="I399:M399"/>
    <mergeCell ref="I400:J400"/>
    <mergeCell ref="I423:J423"/>
    <mergeCell ref="I419:J419"/>
    <mergeCell ref="I409:J409"/>
    <mergeCell ref="L409:M409"/>
    <mergeCell ref="I407:J407"/>
    <mergeCell ref="L410:M410"/>
    <mergeCell ref="I411:J411"/>
    <mergeCell ref="L411:M411"/>
    <mergeCell ref="I412:J412"/>
    <mergeCell ref="L412:M412"/>
    <mergeCell ref="I410:J410"/>
    <mergeCell ref="L413:M413"/>
    <mergeCell ref="I414:J414"/>
    <mergeCell ref="L414:M414"/>
    <mergeCell ref="I415:J415"/>
    <mergeCell ref="L415:M415"/>
    <mergeCell ref="I413:J413"/>
    <mergeCell ref="L416:M416"/>
    <mergeCell ref="I417:J417"/>
    <mergeCell ref="L417:M417"/>
    <mergeCell ref="L476:M476"/>
    <mergeCell ref="I473:J473"/>
    <mergeCell ref="L473:M473"/>
    <mergeCell ref="I474:J474"/>
    <mergeCell ref="L474:M474"/>
    <mergeCell ref="I476:J476"/>
    <mergeCell ref="I418:J418"/>
    <mergeCell ref="L418:M418"/>
    <mergeCell ref="I416:J416"/>
    <mergeCell ref="I421:J421"/>
    <mergeCell ref="L421:M421"/>
    <mergeCell ref="I422:J422"/>
    <mergeCell ref="L422:M422"/>
    <mergeCell ref="L419:M419"/>
    <mergeCell ref="I420:J420"/>
    <mergeCell ref="L420:M420"/>
    <mergeCell ref="I426:J426"/>
    <mergeCell ref="L448:M448"/>
    <mergeCell ref="H448:I448"/>
    <mergeCell ref="L423:M423"/>
    <mergeCell ref="I424:J424"/>
    <mergeCell ref="L424:M424"/>
    <mergeCell ref="L432:M432"/>
    <mergeCell ref="L433:M433"/>
    <mergeCell ref="L434:M434"/>
    <mergeCell ref="L436:M436"/>
    <mergeCell ref="L426:M426"/>
    <mergeCell ref="I427:J427"/>
    <mergeCell ref="L427:M427"/>
    <mergeCell ref="J448:K448"/>
    <mergeCell ref="J431:K431"/>
    <mergeCell ref="J447:K447"/>
    <mergeCell ref="E508:I508"/>
    <mergeCell ref="H506:I506"/>
    <mergeCell ref="J506:K506"/>
    <mergeCell ref="L506:M506"/>
    <mergeCell ref="J503:K503"/>
    <mergeCell ref="L505:M505"/>
    <mergeCell ref="H503:I503"/>
    <mergeCell ref="L511:M511"/>
    <mergeCell ref="I512:J512"/>
    <mergeCell ref="L512:M512"/>
    <mergeCell ref="I513:J513"/>
    <mergeCell ref="L513:M513"/>
    <mergeCell ref="I511:J511"/>
    <mergeCell ref="L514:M514"/>
    <mergeCell ref="I515:J515"/>
    <mergeCell ref="L515:M515"/>
    <mergeCell ref="I516:J516"/>
    <mergeCell ref="L516:M516"/>
    <mergeCell ref="I514:J514"/>
    <mergeCell ref="H505:I505"/>
    <mergeCell ref="J505:K505"/>
    <mergeCell ref="H504:I504"/>
    <mergeCell ref="L503:M503"/>
    <mergeCell ref="L517:M517"/>
    <mergeCell ref="I518:J518"/>
    <mergeCell ref="L518:M518"/>
    <mergeCell ref="I519:J519"/>
    <mergeCell ref="L519:M519"/>
    <mergeCell ref="I517:J517"/>
    <mergeCell ref="L520:M520"/>
    <mergeCell ref="I521:J521"/>
    <mergeCell ref="L521:M521"/>
    <mergeCell ref="I522:J522"/>
    <mergeCell ref="L522:M522"/>
    <mergeCell ref="I520:J520"/>
    <mergeCell ref="L523:M523"/>
    <mergeCell ref="I524:J524"/>
    <mergeCell ref="L524:M524"/>
    <mergeCell ref="I525:J525"/>
    <mergeCell ref="L525:M525"/>
    <mergeCell ref="I523:J523"/>
    <mergeCell ref="L526:M526"/>
    <mergeCell ref="I527:J527"/>
    <mergeCell ref="L527:M527"/>
    <mergeCell ref="I528:J528"/>
    <mergeCell ref="L528:M528"/>
    <mergeCell ref="I526:J526"/>
    <mergeCell ref="L529:M529"/>
    <mergeCell ref="I530:J530"/>
    <mergeCell ref="L530:M530"/>
    <mergeCell ref="I531:J531"/>
    <mergeCell ref="L531:M531"/>
    <mergeCell ref="I529:J529"/>
    <mergeCell ref="I536:J536"/>
    <mergeCell ref="L536:M536"/>
    <mergeCell ref="I535:J535"/>
    <mergeCell ref="L535:M535"/>
    <mergeCell ref="L532:M532"/>
    <mergeCell ref="I533:J533"/>
    <mergeCell ref="L533:M533"/>
    <mergeCell ref="I534:J534"/>
    <mergeCell ref="L534:M534"/>
    <mergeCell ref="I532:J532"/>
    <mergeCell ref="I537:J537"/>
    <mergeCell ref="L537:M537"/>
    <mergeCell ref="I564:M564"/>
    <mergeCell ref="I565:J565"/>
    <mergeCell ref="L565:M565"/>
    <mergeCell ref="J557:K557"/>
    <mergeCell ref="K554:M554"/>
    <mergeCell ref="E563:I563"/>
    <mergeCell ref="I547:K547"/>
    <mergeCell ref="L547:M547"/>
    <mergeCell ref="L569:M569"/>
    <mergeCell ref="I570:J570"/>
    <mergeCell ref="L570:M570"/>
    <mergeCell ref="I571:J571"/>
    <mergeCell ref="L571:M571"/>
    <mergeCell ref="L566:M566"/>
    <mergeCell ref="I567:J567"/>
    <mergeCell ref="L567:M567"/>
    <mergeCell ref="I568:J568"/>
    <mergeCell ref="L568:M568"/>
    <mergeCell ref="J552:L552"/>
    <mergeCell ref="L561:M561"/>
    <mergeCell ref="I574:J574"/>
    <mergeCell ref="L574:M574"/>
    <mergeCell ref="I575:J575"/>
    <mergeCell ref="L575:M575"/>
    <mergeCell ref="I572:J572"/>
    <mergeCell ref="L572:M572"/>
    <mergeCell ref="I573:J573"/>
    <mergeCell ref="L573:M573"/>
    <mergeCell ref="I578:J578"/>
    <mergeCell ref="L578:M578"/>
    <mergeCell ref="I579:J579"/>
    <mergeCell ref="L579:M579"/>
    <mergeCell ref="I576:J576"/>
    <mergeCell ref="L576:M576"/>
    <mergeCell ref="I577:J577"/>
    <mergeCell ref="L577:M577"/>
    <mergeCell ref="I582:J582"/>
    <mergeCell ref="L582:M582"/>
    <mergeCell ref="I583:J583"/>
    <mergeCell ref="L583:M583"/>
    <mergeCell ref="I580:J580"/>
    <mergeCell ref="L580:M580"/>
    <mergeCell ref="I581:J581"/>
    <mergeCell ref="L581:M581"/>
    <mergeCell ref="I586:J586"/>
    <mergeCell ref="L586:M586"/>
    <mergeCell ref="I587:J587"/>
    <mergeCell ref="L587:M587"/>
    <mergeCell ref="I584:J584"/>
    <mergeCell ref="L584:M584"/>
    <mergeCell ref="I585:J585"/>
    <mergeCell ref="L585:M585"/>
    <mergeCell ref="I588:J588"/>
    <mergeCell ref="L588:M588"/>
    <mergeCell ref="I592:J592"/>
    <mergeCell ref="L592:M592"/>
    <mergeCell ref="I589:J589"/>
    <mergeCell ref="L589:M589"/>
    <mergeCell ref="I591:J591"/>
    <mergeCell ref="L591:M591"/>
    <mergeCell ref="I590:J590"/>
    <mergeCell ref="L590:M590"/>
    <mergeCell ref="I637:J637"/>
    <mergeCell ref="L637:M637"/>
    <mergeCell ref="I638:J638"/>
    <mergeCell ref="L638:M638"/>
    <mergeCell ref="I643:J643"/>
    <mergeCell ref="L643:M643"/>
    <mergeCell ref="I644:J644"/>
    <mergeCell ref="L644:M644"/>
    <mergeCell ref="I641:J641"/>
    <mergeCell ref="L641:M641"/>
    <mergeCell ref="I642:J642"/>
    <mergeCell ref="L642:M642"/>
    <mergeCell ref="I675:J675"/>
    <mergeCell ref="L675:M675"/>
    <mergeCell ref="J667:K667"/>
    <mergeCell ref="J671:K671"/>
    <mergeCell ref="L671:M671"/>
    <mergeCell ref="I646:J646"/>
    <mergeCell ref="L646:M646"/>
    <mergeCell ref="I647:J647"/>
    <mergeCell ref="L647:M647"/>
    <mergeCell ref="L654:M654"/>
    <mergeCell ref="L678:M678"/>
    <mergeCell ref="I679:J679"/>
    <mergeCell ref="L679:M679"/>
    <mergeCell ref="L652:M652"/>
    <mergeCell ref="L653:M653"/>
    <mergeCell ref="I676:J676"/>
    <mergeCell ref="L676:M676"/>
    <mergeCell ref="I674:M674"/>
    <mergeCell ref="I682:J682"/>
    <mergeCell ref="L682:M682"/>
    <mergeCell ref="I683:J683"/>
    <mergeCell ref="L683:M683"/>
    <mergeCell ref="I680:J680"/>
    <mergeCell ref="L680:M680"/>
    <mergeCell ref="I681:J681"/>
    <mergeCell ref="L681:M681"/>
    <mergeCell ref="I686:J686"/>
    <mergeCell ref="L686:M686"/>
    <mergeCell ref="L677:M677"/>
    <mergeCell ref="I678:J678"/>
    <mergeCell ref="I687:J687"/>
    <mergeCell ref="L687:M687"/>
    <mergeCell ref="I684:J684"/>
    <mergeCell ref="L684:M684"/>
    <mergeCell ref="I685:J685"/>
    <mergeCell ref="L685:M685"/>
    <mergeCell ref="I690:J690"/>
    <mergeCell ref="L690:M690"/>
    <mergeCell ref="I691:J691"/>
    <mergeCell ref="L691:M691"/>
    <mergeCell ref="I688:J688"/>
    <mergeCell ref="L688:M688"/>
    <mergeCell ref="I689:J689"/>
    <mergeCell ref="L689:M689"/>
    <mergeCell ref="I694:J694"/>
    <mergeCell ref="L694:M694"/>
    <mergeCell ref="I695:J695"/>
    <mergeCell ref="L695:M695"/>
    <mergeCell ref="I692:J692"/>
    <mergeCell ref="L692:M692"/>
    <mergeCell ref="I693:J693"/>
    <mergeCell ref="L693:M693"/>
    <mergeCell ref="I696:J696"/>
    <mergeCell ref="L696:M696"/>
    <mergeCell ref="I700:J700"/>
    <mergeCell ref="L700:M700"/>
    <mergeCell ref="I697:J697"/>
    <mergeCell ref="L697:M697"/>
    <mergeCell ref="I698:J698"/>
    <mergeCell ref="L698:M698"/>
    <mergeCell ref="J722:K722"/>
    <mergeCell ref="H724:I724"/>
    <mergeCell ref="E728:I728"/>
    <mergeCell ref="H726:I726"/>
    <mergeCell ref="H725:I725"/>
    <mergeCell ref="D721:H722"/>
    <mergeCell ref="H723:I723"/>
    <mergeCell ref="J723:K723"/>
    <mergeCell ref="J725:K725"/>
    <mergeCell ref="F723:G723"/>
    <mergeCell ref="L725:M725"/>
    <mergeCell ref="F725:G725"/>
    <mergeCell ref="F726:G726"/>
    <mergeCell ref="L723:M723"/>
    <mergeCell ref="I712:K712"/>
    <mergeCell ref="K719:M719"/>
    <mergeCell ref="J706:K706"/>
    <mergeCell ref="L709:M709"/>
    <mergeCell ref="L711:M711"/>
    <mergeCell ref="I713:K713"/>
    <mergeCell ref="L731:M731"/>
    <mergeCell ref="I732:J732"/>
    <mergeCell ref="L732:M732"/>
    <mergeCell ref="I731:J731"/>
    <mergeCell ref="I729:M729"/>
    <mergeCell ref="I730:J730"/>
    <mergeCell ref="L730:M730"/>
    <mergeCell ref="I736:J736"/>
    <mergeCell ref="L736:M736"/>
    <mergeCell ref="L737:M737"/>
    <mergeCell ref="I738:J738"/>
    <mergeCell ref="L738:M738"/>
    <mergeCell ref="I737:J737"/>
    <mergeCell ref="I739:J739"/>
    <mergeCell ref="L739:M739"/>
    <mergeCell ref="L740:M740"/>
    <mergeCell ref="I741:J741"/>
    <mergeCell ref="L741:M741"/>
    <mergeCell ref="I740:J740"/>
    <mergeCell ref="I734:J734"/>
    <mergeCell ref="L751:M751"/>
    <mergeCell ref="I752:J752"/>
    <mergeCell ref="L752:M752"/>
    <mergeCell ref="L767:M767"/>
    <mergeCell ref="J761:K761"/>
    <mergeCell ref="I768:K768"/>
    <mergeCell ref="L768:M768"/>
    <mergeCell ref="L762:M762"/>
    <mergeCell ref="I753:J753"/>
    <mergeCell ref="L753:M753"/>
    <mergeCell ref="I754:J754"/>
    <mergeCell ref="L754:M754"/>
    <mergeCell ref="L763:M763"/>
    <mergeCell ref="J780:K780"/>
    <mergeCell ref="I742:J742"/>
    <mergeCell ref="L742:M742"/>
    <mergeCell ref="L743:M743"/>
    <mergeCell ref="I744:J744"/>
    <mergeCell ref="L744:M744"/>
    <mergeCell ref="I743:J743"/>
    <mergeCell ref="I745:J745"/>
    <mergeCell ref="L745:M745"/>
    <mergeCell ref="L746:M746"/>
    <mergeCell ref="I747:J747"/>
    <mergeCell ref="L747:M747"/>
    <mergeCell ref="I746:J746"/>
    <mergeCell ref="I748:J748"/>
    <mergeCell ref="L748:M748"/>
    <mergeCell ref="L749:M749"/>
    <mergeCell ref="I750:J750"/>
    <mergeCell ref="L750:M750"/>
    <mergeCell ref="I749:J749"/>
    <mergeCell ref="L780:M780"/>
    <mergeCell ref="I788:J788"/>
    <mergeCell ref="L788:M788"/>
    <mergeCell ref="I756:J756"/>
    <mergeCell ref="L756:M756"/>
    <mergeCell ref="I757:J757"/>
    <mergeCell ref="L757:M757"/>
    <mergeCell ref="I767:K767"/>
    <mergeCell ref="L789:M789"/>
    <mergeCell ref="I790:J790"/>
    <mergeCell ref="L790:M790"/>
    <mergeCell ref="K774:M774"/>
    <mergeCell ref="E783:I783"/>
    <mergeCell ref="L786:M786"/>
    <mergeCell ref="I787:J787"/>
    <mergeCell ref="L787:M787"/>
    <mergeCell ref="L785:M785"/>
    <mergeCell ref="J777:K777"/>
    <mergeCell ref="F778:G778"/>
    <mergeCell ref="F780:G780"/>
    <mergeCell ref="F781:G781"/>
    <mergeCell ref="E758:F758"/>
    <mergeCell ref="D761:E761"/>
    <mergeCell ref="L764:M764"/>
    <mergeCell ref="L766:M766"/>
    <mergeCell ref="L778:M778"/>
    <mergeCell ref="J781:K781"/>
    <mergeCell ref="L781:M781"/>
    <mergeCell ref="L793:M793"/>
    <mergeCell ref="I794:J794"/>
    <mergeCell ref="L794:M794"/>
    <mergeCell ref="I791:J791"/>
    <mergeCell ref="L791:M791"/>
    <mergeCell ref="I792:J792"/>
    <mergeCell ref="L792:M792"/>
    <mergeCell ref="I797:J797"/>
    <mergeCell ref="L797:M797"/>
    <mergeCell ref="I798:J798"/>
    <mergeCell ref="L798:M798"/>
    <mergeCell ref="I795:J795"/>
    <mergeCell ref="L795:M795"/>
    <mergeCell ref="I796:J796"/>
    <mergeCell ref="L796:M796"/>
    <mergeCell ref="I801:J801"/>
    <mergeCell ref="L801:M801"/>
    <mergeCell ref="L802:M802"/>
    <mergeCell ref="I799:J799"/>
    <mergeCell ref="L799:M799"/>
    <mergeCell ref="I800:J800"/>
    <mergeCell ref="L800:M800"/>
    <mergeCell ref="I805:J805"/>
    <mergeCell ref="L805:M805"/>
    <mergeCell ref="I806:J806"/>
    <mergeCell ref="L806:M806"/>
    <mergeCell ref="I803:J803"/>
    <mergeCell ref="L803:M803"/>
    <mergeCell ref="I804:J804"/>
    <mergeCell ref="L804:M804"/>
    <mergeCell ref="I809:J809"/>
    <mergeCell ref="L809:M809"/>
    <mergeCell ref="I811:J811"/>
    <mergeCell ref="L811:M811"/>
    <mergeCell ref="I807:J807"/>
    <mergeCell ref="L807:M807"/>
    <mergeCell ref="I808:J808"/>
    <mergeCell ref="L808:M808"/>
    <mergeCell ref="I810:J810"/>
    <mergeCell ref="L810:M810"/>
    <mergeCell ref="L812:M812"/>
    <mergeCell ref="I839:M839"/>
    <mergeCell ref="I840:J840"/>
    <mergeCell ref="L840:M840"/>
    <mergeCell ref="J832:K832"/>
    <mergeCell ref="H834:I834"/>
    <mergeCell ref="J833:K833"/>
    <mergeCell ref="E838:I838"/>
    <mergeCell ref="H836:I836"/>
    <mergeCell ref="H835:I835"/>
    <mergeCell ref="J835:K835"/>
    <mergeCell ref="L841:M841"/>
    <mergeCell ref="I842:J842"/>
    <mergeCell ref="L842:M842"/>
    <mergeCell ref="J836:K836"/>
    <mergeCell ref="L836:M836"/>
    <mergeCell ref="L846:M846"/>
    <mergeCell ref="L843:M843"/>
    <mergeCell ref="L844:M844"/>
    <mergeCell ref="I845:J845"/>
    <mergeCell ref="L845:M845"/>
    <mergeCell ref="F835:G835"/>
    <mergeCell ref="F833:G833"/>
    <mergeCell ref="F836:G836"/>
    <mergeCell ref="L817:M817"/>
    <mergeCell ref="L818:M818"/>
    <mergeCell ref="L819:M819"/>
    <mergeCell ref="L821:M821"/>
    <mergeCell ref="J816:K816"/>
    <mergeCell ref="I812:J812"/>
    <mergeCell ref="L851:M851"/>
    <mergeCell ref="L855:M855"/>
    <mergeCell ref="L856:M856"/>
    <mergeCell ref="I857:J857"/>
    <mergeCell ref="L857:M857"/>
    <mergeCell ref="I856:J856"/>
    <mergeCell ref="I855:J855"/>
    <mergeCell ref="L858:M858"/>
    <mergeCell ref="L859:M859"/>
    <mergeCell ref="I860:J860"/>
    <mergeCell ref="L860:M860"/>
    <mergeCell ref="I859:J859"/>
    <mergeCell ref="I858:J858"/>
    <mergeCell ref="L861:M861"/>
    <mergeCell ref="I862:J862"/>
    <mergeCell ref="L862:M862"/>
    <mergeCell ref="I863:J863"/>
    <mergeCell ref="L863:M863"/>
    <mergeCell ref="I861:J861"/>
    <mergeCell ref="L864:M864"/>
    <mergeCell ref="J887:K887"/>
    <mergeCell ref="J890:K890"/>
    <mergeCell ref="H891:I891"/>
    <mergeCell ref="D886:H887"/>
    <mergeCell ref="H888:I888"/>
    <mergeCell ref="J891:K891"/>
    <mergeCell ref="F888:G888"/>
    <mergeCell ref="L878:M878"/>
    <mergeCell ref="I865:J865"/>
    <mergeCell ref="I897:J897"/>
    <mergeCell ref="I900:J900"/>
    <mergeCell ref="L900:M900"/>
    <mergeCell ref="I901:J901"/>
    <mergeCell ref="L901:M901"/>
    <mergeCell ref="I898:J898"/>
    <mergeCell ref="L898:M898"/>
    <mergeCell ref="I899:J899"/>
    <mergeCell ref="L899:M899"/>
    <mergeCell ref="L897:M897"/>
    <mergeCell ref="F890:G890"/>
    <mergeCell ref="F891:G891"/>
    <mergeCell ref="E868:F868"/>
    <mergeCell ref="D871:E871"/>
    <mergeCell ref="I896:J896"/>
    <mergeCell ref="I894:M894"/>
    <mergeCell ref="I895:J895"/>
    <mergeCell ref="H890:I890"/>
    <mergeCell ref="L915:M915"/>
    <mergeCell ref="L945:M945"/>
    <mergeCell ref="I949:M949"/>
    <mergeCell ref="I950:J950"/>
    <mergeCell ref="L950:M950"/>
    <mergeCell ref="E948:I948"/>
    <mergeCell ref="H946:I946"/>
    <mergeCell ref="I904:J904"/>
    <mergeCell ref="L904:M904"/>
    <mergeCell ref="I905:J905"/>
    <mergeCell ref="L905:M905"/>
    <mergeCell ref="I902:J902"/>
    <mergeCell ref="L902:M902"/>
    <mergeCell ref="I903:J903"/>
    <mergeCell ref="L903:M903"/>
    <mergeCell ref="I908:J908"/>
    <mergeCell ref="L908:M908"/>
    <mergeCell ref="I909:J909"/>
    <mergeCell ref="L909:M909"/>
    <mergeCell ref="I906:J906"/>
    <mergeCell ref="L906:M906"/>
    <mergeCell ref="I907:J907"/>
    <mergeCell ref="L907:M907"/>
    <mergeCell ref="I912:J912"/>
    <mergeCell ref="L912:M912"/>
    <mergeCell ref="E923:F923"/>
    <mergeCell ref="H945:I945"/>
    <mergeCell ref="L953:M953"/>
    <mergeCell ref="L954:M954"/>
    <mergeCell ref="I955:J955"/>
    <mergeCell ref="L955:M955"/>
    <mergeCell ref="I953:J953"/>
    <mergeCell ref="L951:M951"/>
    <mergeCell ref="I952:J952"/>
    <mergeCell ref="L952:M952"/>
    <mergeCell ref="I959:J959"/>
    <mergeCell ref="L959:M959"/>
    <mergeCell ref="L960:M960"/>
    <mergeCell ref="I961:J961"/>
    <mergeCell ref="L961:M961"/>
    <mergeCell ref="I956:J956"/>
    <mergeCell ref="L956:M956"/>
    <mergeCell ref="L957:M957"/>
    <mergeCell ref="I958:J958"/>
    <mergeCell ref="L958:M958"/>
    <mergeCell ref="L965:M965"/>
    <mergeCell ref="L966:M966"/>
    <mergeCell ref="I967:J967"/>
    <mergeCell ref="L967:M967"/>
    <mergeCell ref="I962:J962"/>
    <mergeCell ref="L962:M962"/>
    <mergeCell ref="L963:M963"/>
    <mergeCell ref="I964:J964"/>
    <mergeCell ref="L964:M964"/>
    <mergeCell ref="I971:J971"/>
    <mergeCell ref="L971:M971"/>
    <mergeCell ref="I972:J972"/>
    <mergeCell ref="L972:M972"/>
    <mergeCell ref="I968:J968"/>
    <mergeCell ref="L968:M968"/>
    <mergeCell ref="L969:M969"/>
    <mergeCell ref="I970:J970"/>
    <mergeCell ref="L970:M970"/>
    <mergeCell ref="L976:M976"/>
    <mergeCell ref="I977:J977"/>
    <mergeCell ref="L977:M977"/>
    <mergeCell ref="I973:J973"/>
    <mergeCell ref="L973:M973"/>
    <mergeCell ref="I974:J974"/>
    <mergeCell ref="L974:M974"/>
    <mergeCell ref="I1007:J1007"/>
    <mergeCell ref="L1007:M1007"/>
    <mergeCell ref="I1008:J1008"/>
    <mergeCell ref="L1008:M1008"/>
    <mergeCell ref="I987:K987"/>
    <mergeCell ref="L987:M987"/>
    <mergeCell ref="I988:K988"/>
    <mergeCell ref="L988:M988"/>
    <mergeCell ref="L1006:M1006"/>
    <mergeCell ref="L1001:M1001"/>
    <mergeCell ref="J992:L992"/>
    <mergeCell ref="L1013:M1013"/>
    <mergeCell ref="I1014:J1014"/>
    <mergeCell ref="L1014:M1014"/>
    <mergeCell ref="I1019:J1019"/>
    <mergeCell ref="L1019:M1019"/>
    <mergeCell ref="I1020:J1020"/>
    <mergeCell ref="L1020:M1020"/>
    <mergeCell ref="I1017:J1017"/>
    <mergeCell ref="L1017:M1017"/>
    <mergeCell ref="I1018:J1018"/>
    <mergeCell ref="L1018:M1018"/>
    <mergeCell ref="I1023:J1023"/>
    <mergeCell ref="L1023:M1023"/>
    <mergeCell ref="I1024:J1024"/>
    <mergeCell ref="L1024:M1024"/>
    <mergeCell ref="I1021:J1021"/>
    <mergeCell ref="L1021:M1021"/>
    <mergeCell ref="I1022:J1022"/>
    <mergeCell ref="L1022:M1022"/>
    <mergeCell ref="L1027:M1027"/>
    <mergeCell ref="I1028:J1028"/>
    <mergeCell ref="L1028:M1028"/>
    <mergeCell ref="I1025:J1025"/>
    <mergeCell ref="L1025:M1025"/>
    <mergeCell ref="I1026:J1026"/>
    <mergeCell ref="L1026:M1026"/>
    <mergeCell ref="I1029:J1029"/>
    <mergeCell ref="L1029:M1029"/>
    <mergeCell ref="I1031:J1031"/>
    <mergeCell ref="L1031:M1031"/>
    <mergeCell ref="I1030:J1030"/>
    <mergeCell ref="L1030:M1030"/>
    <mergeCell ref="L1073:M1073"/>
    <mergeCell ref="I1074:J1074"/>
    <mergeCell ref="L1074:M1074"/>
    <mergeCell ref="L1070:M1070"/>
    <mergeCell ref="I1071:J1071"/>
    <mergeCell ref="L1071:M1071"/>
    <mergeCell ref="I1072:J1072"/>
    <mergeCell ref="L1072:M1072"/>
    <mergeCell ref="J1047:L1047"/>
    <mergeCell ref="L1064:M1064"/>
    <mergeCell ref="I1065:J1065"/>
    <mergeCell ref="L1065:M1065"/>
    <mergeCell ref="I1066:J1066"/>
    <mergeCell ref="L1066:M1066"/>
    <mergeCell ref="I1067:J1067"/>
    <mergeCell ref="L1041:M1041"/>
    <mergeCell ref="I1077:J1077"/>
    <mergeCell ref="L1077:M1077"/>
    <mergeCell ref="I1078:J1078"/>
    <mergeCell ref="L1078:M1078"/>
    <mergeCell ref="L1082:M1082"/>
    <mergeCell ref="L1085:M1085"/>
    <mergeCell ref="I1087:J1087"/>
    <mergeCell ref="L1087:M1087"/>
    <mergeCell ref="I1083:J1083"/>
    <mergeCell ref="L1083:M1083"/>
    <mergeCell ref="I1084:J1084"/>
    <mergeCell ref="L1084:M1084"/>
    <mergeCell ref="L1092:M1092"/>
    <mergeCell ref="K1104:M1104"/>
    <mergeCell ref="J1110:K1110"/>
    <mergeCell ref="I1086:J1086"/>
    <mergeCell ref="L1086:M1086"/>
    <mergeCell ref="J1107:K1107"/>
    <mergeCell ref="L1097:M1097"/>
    <mergeCell ref="I1098:K1098"/>
    <mergeCell ref="L1098:M1098"/>
    <mergeCell ref="I1097:K1097"/>
    <mergeCell ref="H1111:I1111"/>
    <mergeCell ref="L1094:M1094"/>
    <mergeCell ref="L1096:M1096"/>
    <mergeCell ref="I1114:M1114"/>
    <mergeCell ref="I1115:J1115"/>
    <mergeCell ref="L1115:M1115"/>
    <mergeCell ref="L1111:M1111"/>
    <mergeCell ref="E1113:I1113"/>
    <mergeCell ref="J1111:K1111"/>
    <mergeCell ref="L1117:M1117"/>
    <mergeCell ref="I1118:J1118"/>
    <mergeCell ref="L1118:M1118"/>
    <mergeCell ref="I1119:J1119"/>
    <mergeCell ref="L1119:M1119"/>
    <mergeCell ref="L1116:M1116"/>
    <mergeCell ref="I1122:J1122"/>
    <mergeCell ref="L1122:M1122"/>
    <mergeCell ref="J1102:L1102"/>
    <mergeCell ref="F1108:G1108"/>
    <mergeCell ref="I1123:J1123"/>
    <mergeCell ref="L1123:M1123"/>
    <mergeCell ref="I1120:J1120"/>
    <mergeCell ref="L1120:M1120"/>
    <mergeCell ref="I1121:J1121"/>
    <mergeCell ref="L1121:M1121"/>
    <mergeCell ref="I1126:J1126"/>
    <mergeCell ref="L1126:M1126"/>
    <mergeCell ref="I1127:J1127"/>
    <mergeCell ref="L1127:M1127"/>
    <mergeCell ref="I1124:J1124"/>
    <mergeCell ref="L1124:M1124"/>
    <mergeCell ref="I1125:J1125"/>
    <mergeCell ref="L1125:M1125"/>
    <mergeCell ref="I1130:J1130"/>
    <mergeCell ref="L1130:M1130"/>
    <mergeCell ref="I1131:J1131"/>
    <mergeCell ref="L1131:M1131"/>
    <mergeCell ref="I1128:J1128"/>
    <mergeCell ref="L1128:M1128"/>
    <mergeCell ref="I1129:J1129"/>
    <mergeCell ref="L1129:M1129"/>
    <mergeCell ref="I1134:J1134"/>
    <mergeCell ref="L1134:M1134"/>
    <mergeCell ref="I1135:J1135"/>
    <mergeCell ref="L1135:M1135"/>
    <mergeCell ref="I1132:J1132"/>
    <mergeCell ref="L1132:M1132"/>
    <mergeCell ref="I1133:J1133"/>
    <mergeCell ref="L1133:M1133"/>
    <mergeCell ref="I1139:J1139"/>
    <mergeCell ref="L1139:M1139"/>
    <mergeCell ref="I1136:J1136"/>
    <mergeCell ref="L1136:M1136"/>
    <mergeCell ref="I1137:J1137"/>
    <mergeCell ref="L1137:M1137"/>
    <mergeCell ref="L1149:M1149"/>
    <mergeCell ref="L1176:M1176"/>
    <mergeCell ref="L1177:M1177"/>
    <mergeCell ref="L1170:M1170"/>
    <mergeCell ref="I1175:J1175"/>
    <mergeCell ref="L1175:M1175"/>
    <mergeCell ref="L1174:M1174"/>
    <mergeCell ref="L1172:M1172"/>
    <mergeCell ref="I1152:K1152"/>
    <mergeCell ref="I1153:K1153"/>
    <mergeCell ref="J1157:L1157"/>
    <mergeCell ref="I1141:J1141"/>
    <mergeCell ref="L1141:M1141"/>
    <mergeCell ref="I1142:J1142"/>
    <mergeCell ref="L1142:M1142"/>
    <mergeCell ref="I1138:J1138"/>
    <mergeCell ref="L1138:M1138"/>
    <mergeCell ref="E1168:I1168"/>
    <mergeCell ref="L1180:M1180"/>
    <mergeCell ref="I1181:J1181"/>
    <mergeCell ref="L1181:M1181"/>
    <mergeCell ref="I1182:J1182"/>
    <mergeCell ref="L1182:M1182"/>
    <mergeCell ref="I1178:J1178"/>
    <mergeCell ref="L1178:M1178"/>
    <mergeCell ref="I1179:J1179"/>
    <mergeCell ref="L1179:M1179"/>
    <mergeCell ref="L1186:M1186"/>
    <mergeCell ref="I1187:J1187"/>
    <mergeCell ref="L1187:M1187"/>
    <mergeCell ref="I1186:J1186"/>
    <mergeCell ref="L1183:M1183"/>
    <mergeCell ref="I1184:J1184"/>
    <mergeCell ref="L1184:M1184"/>
    <mergeCell ref="I1185:J1185"/>
    <mergeCell ref="L1185:M1185"/>
    <mergeCell ref="I1196:J1196"/>
    <mergeCell ref="L1196:M1196"/>
    <mergeCell ref="I1195:J1195"/>
    <mergeCell ref="L1195:M1195"/>
    <mergeCell ref="L1192:M1192"/>
    <mergeCell ref="I1193:J1193"/>
    <mergeCell ref="L1193:M1193"/>
    <mergeCell ref="I1194:J1194"/>
    <mergeCell ref="L1194:M1194"/>
    <mergeCell ref="I1197:J1197"/>
    <mergeCell ref="L1197:M1197"/>
    <mergeCell ref="I1224:M1224"/>
    <mergeCell ref="I1225:J1225"/>
    <mergeCell ref="L1225:M1225"/>
    <mergeCell ref="J1217:K1217"/>
    <mergeCell ref="J1220:K1220"/>
    <mergeCell ref="H1221:I1221"/>
    <mergeCell ref="K1214:M1214"/>
    <mergeCell ref="J1212:L1212"/>
    <mergeCell ref="E1223:I1223"/>
    <mergeCell ref="I1226:J1226"/>
    <mergeCell ref="L1229:M1229"/>
    <mergeCell ref="I1230:J1230"/>
    <mergeCell ref="L1230:M1230"/>
    <mergeCell ref="I1227:J1227"/>
    <mergeCell ref="L1227:M1227"/>
    <mergeCell ref="I1228:J1228"/>
    <mergeCell ref="I1233:J1233"/>
    <mergeCell ref="L1233:M1233"/>
    <mergeCell ref="I1234:J1234"/>
    <mergeCell ref="L1234:M1234"/>
    <mergeCell ref="I1231:J1231"/>
    <mergeCell ref="L1231:M1231"/>
    <mergeCell ref="L1232:M1232"/>
    <mergeCell ref="I1237:J1237"/>
    <mergeCell ref="L1237:M1237"/>
    <mergeCell ref="I1238:J1238"/>
    <mergeCell ref="L1238:M1238"/>
    <mergeCell ref="I1235:J1235"/>
    <mergeCell ref="L1235:M1235"/>
    <mergeCell ref="I1236:J1236"/>
    <mergeCell ref="L1236:M1236"/>
    <mergeCell ref="L1228:M1228"/>
    <mergeCell ref="I1229:J1229"/>
    <mergeCell ref="I1232:J1232"/>
    <mergeCell ref="I1241:J1241"/>
    <mergeCell ref="L1241:M1241"/>
    <mergeCell ref="I1242:J1242"/>
    <mergeCell ref="L1242:M1242"/>
    <mergeCell ref="I1239:J1239"/>
    <mergeCell ref="L1239:M1239"/>
    <mergeCell ref="I1240:J1240"/>
    <mergeCell ref="L1240:M1240"/>
    <mergeCell ref="I1245:J1245"/>
    <mergeCell ref="L1245:M1245"/>
    <mergeCell ref="I1246:J1246"/>
    <mergeCell ref="L1246:M1246"/>
    <mergeCell ref="I1243:J1243"/>
    <mergeCell ref="L1243:M1243"/>
    <mergeCell ref="I1244:J1244"/>
    <mergeCell ref="L1244:M1244"/>
    <mergeCell ref="H1276:I1276"/>
    <mergeCell ref="I1249:J1249"/>
    <mergeCell ref="L1249:M1249"/>
    <mergeCell ref="I1251:J1251"/>
    <mergeCell ref="L1251:M1251"/>
    <mergeCell ref="I1247:J1247"/>
    <mergeCell ref="L1247:M1247"/>
    <mergeCell ref="I1248:J1248"/>
    <mergeCell ref="L1248:M1248"/>
    <mergeCell ref="L1262:M1262"/>
    <mergeCell ref="L1276:M1276"/>
    <mergeCell ref="I1252:J1252"/>
    <mergeCell ref="L1252:M1252"/>
    <mergeCell ref="L1259:M1259"/>
    <mergeCell ref="D1271:H1272"/>
    <mergeCell ref="H1273:I1273"/>
    <mergeCell ref="I1279:M1279"/>
    <mergeCell ref="I1280:J1280"/>
    <mergeCell ref="L1280:M1280"/>
    <mergeCell ref="J1272:K1272"/>
    <mergeCell ref="H1274:I1274"/>
    <mergeCell ref="J1273:K1273"/>
    <mergeCell ref="E1278:I1278"/>
    <mergeCell ref="L1288:M1288"/>
    <mergeCell ref="I1289:J1289"/>
    <mergeCell ref="L1289:M1289"/>
    <mergeCell ref="L1290:M1290"/>
    <mergeCell ref="H1275:I1275"/>
    <mergeCell ref="J1275:K1275"/>
    <mergeCell ref="L1281:M1281"/>
    <mergeCell ref="I1282:J1282"/>
    <mergeCell ref="L1282:M1282"/>
    <mergeCell ref="J1276:K1276"/>
    <mergeCell ref="I1288:J1288"/>
    <mergeCell ref="L1291:M1291"/>
    <mergeCell ref="I1292:J1292"/>
    <mergeCell ref="L1292:M1292"/>
    <mergeCell ref="L1293:M1293"/>
    <mergeCell ref="I1293:J1293"/>
    <mergeCell ref="I1291:J1291"/>
    <mergeCell ref="L1296:M1296"/>
    <mergeCell ref="I1297:J1297"/>
    <mergeCell ref="L1297:M1297"/>
    <mergeCell ref="I1298:J1298"/>
    <mergeCell ref="L1298:M1298"/>
    <mergeCell ref="I1296:J1296"/>
    <mergeCell ref="L1301:M1301"/>
    <mergeCell ref="L1302:M1302"/>
    <mergeCell ref="I1303:J1303"/>
    <mergeCell ref="L1303:M1303"/>
    <mergeCell ref="L1299:M1299"/>
    <mergeCell ref="I1299:J1299"/>
    <mergeCell ref="I1300:J1300"/>
    <mergeCell ref="L1300:M1300"/>
    <mergeCell ref="I1302:J1302"/>
    <mergeCell ref="L1304:M1304"/>
    <mergeCell ref="L1306:M1306"/>
    <mergeCell ref="I1307:J1307"/>
    <mergeCell ref="L1307:M1307"/>
    <mergeCell ref="I1305:J1305"/>
    <mergeCell ref="L1305:M1305"/>
    <mergeCell ref="I1306:J1306"/>
    <mergeCell ref="L1314:M1314"/>
    <mergeCell ref="L1316:M1316"/>
    <mergeCell ref="L1335:M1335"/>
    <mergeCell ref="J1327:K1327"/>
    <mergeCell ref="J1330:K1330"/>
    <mergeCell ref="I1334:M1334"/>
    <mergeCell ref="H1329:I1329"/>
    <mergeCell ref="J1328:K1328"/>
    <mergeCell ref="H1330:I1330"/>
    <mergeCell ref="L1331:M1331"/>
    <mergeCell ref="H1331:I1331"/>
    <mergeCell ref="L1328:M1328"/>
    <mergeCell ref="L1330:M1330"/>
    <mergeCell ref="J1322:L1322"/>
    <mergeCell ref="I1317:K1317"/>
    <mergeCell ref="F1330:G1330"/>
    <mergeCell ref="F1331:G1331"/>
    <mergeCell ref="F1328:G1328"/>
    <mergeCell ref="I1339:J1339"/>
    <mergeCell ref="L1339:M1339"/>
    <mergeCell ref="I1337:J1337"/>
    <mergeCell ref="L1340:M1340"/>
    <mergeCell ref="L1337:M1337"/>
    <mergeCell ref="I1338:J1338"/>
    <mergeCell ref="L1338:M1338"/>
    <mergeCell ref="I1340:J1340"/>
    <mergeCell ref="L1343:M1343"/>
    <mergeCell ref="I1344:J1344"/>
    <mergeCell ref="L1344:M1344"/>
    <mergeCell ref="I1345:J1345"/>
    <mergeCell ref="L1345:M1345"/>
    <mergeCell ref="I1341:J1341"/>
    <mergeCell ref="L1341:M1341"/>
    <mergeCell ref="I1342:J1342"/>
    <mergeCell ref="L1342:M1342"/>
    <mergeCell ref="I1343:J1343"/>
    <mergeCell ref="L1349:M1349"/>
    <mergeCell ref="I1350:J1350"/>
    <mergeCell ref="L1350:M1350"/>
    <mergeCell ref="I1351:J1351"/>
    <mergeCell ref="L1351:M1351"/>
    <mergeCell ref="L1346:M1346"/>
    <mergeCell ref="I1347:J1347"/>
    <mergeCell ref="L1347:M1347"/>
    <mergeCell ref="I1348:J1348"/>
    <mergeCell ref="L1348:M1348"/>
    <mergeCell ref="L1352:M1352"/>
    <mergeCell ref="I1353:J1353"/>
    <mergeCell ref="L1353:M1353"/>
    <mergeCell ref="I1354:J1354"/>
    <mergeCell ref="L1354:M1354"/>
    <mergeCell ref="I1352:J1352"/>
    <mergeCell ref="L1355:M1355"/>
    <mergeCell ref="I1356:J1356"/>
    <mergeCell ref="L1356:M1356"/>
    <mergeCell ref="I1357:J1357"/>
    <mergeCell ref="L1357:M1357"/>
    <mergeCell ref="I1355:J1355"/>
    <mergeCell ref="I1389:M1389"/>
    <mergeCell ref="I1390:J1390"/>
    <mergeCell ref="L1390:M1390"/>
    <mergeCell ref="J1382:K1382"/>
    <mergeCell ref="J1383:K1383"/>
    <mergeCell ref="E1388:I1388"/>
    <mergeCell ref="H1386:I1386"/>
    <mergeCell ref="H1385:I1385"/>
    <mergeCell ref="J1385:K1385"/>
    <mergeCell ref="J1386:K1386"/>
    <mergeCell ref="I1395:J1395"/>
    <mergeCell ref="L1395:M1395"/>
    <mergeCell ref="L1392:M1392"/>
    <mergeCell ref="I1393:J1393"/>
    <mergeCell ref="L1393:M1393"/>
    <mergeCell ref="L1394:M1394"/>
    <mergeCell ref="J1377:L1377"/>
    <mergeCell ref="L1362:M1362"/>
    <mergeCell ref="L1358:M1358"/>
    <mergeCell ref="I1359:J1359"/>
    <mergeCell ref="L1359:M1359"/>
    <mergeCell ref="I1361:J1361"/>
    <mergeCell ref="L1361:M1361"/>
    <mergeCell ref="I1360:J1360"/>
    <mergeCell ref="L1360:M1360"/>
    <mergeCell ref="I1394:J1394"/>
    <mergeCell ref="I1372:K1372"/>
    <mergeCell ref="L1406:M1406"/>
    <mergeCell ref="I1407:J1407"/>
    <mergeCell ref="L1407:M1407"/>
    <mergeCell ref="I1408:J1408"/>
    <mergeCell ref="L1408:M1408"/>
    <mergeCell ref="L1403:M1403"/>
    <mergeCell ref="I1404:J1404"/>
    <mergeCell ref="L1404:M1404"/>
    <mergeCell ref="I1405:J1405"/>
    <mergeCell ref="L1405:M1405"/>
    <mergeCell ref="I1416:J1416"/>
    <mergeCell ref="L1416:M1416"/>
    <mergeCell ref="I1415:J1415"/>
    <mergeCell ref="L1415:M1415"/>
    <mergeCell ref="I1413:J1413"/>
    <mergeCell ref="L1413:M1413"/>
    <mergeCell ref="I1414:J1414"/>
    <mergeCell ref="L1414:M1414"/>
    <mergeCell ref="I1417:J1417"/>
    <mergeCell ref="L1417:M1417"/>
    <mergeCell ref="I1444:M1444"/>
    <mergeCell ref="I1445:J1445"/>
    <mergeCell ref="L1445:M1445"/>
    <mergeCell ref="J1437:K1437"/>
    <mergeCell ref="K1434:M1434"/>
    <mergeCell ref="E1443:I1443"/>
    <mergeCell ref="I1427:K1427"/>
    <mergeCell ref="L1427:M1427"/>
    <mergeCell ref="I1451:J1451"/>
    <mergeCell ref="L1451:M1451"/>
    <mergeCell ref="I1452:J1452"/>
    <mergeCell ref="L1452:M1452"/>
    <mergeCell ref="I1446:J1446"/>
    <mergeCell ref="I1449:J1449"/>
    <mergeCell ref="L1449:M1449"/>
    <mergeCell ref="I1450:J1450"/>
    <mergeCell ref="L1450:M1450"/>
    <mergeCell ref="J1432:L1432"/>
    <mergeCell ref="I1428:K1428"/>
    <mergeCell ref="L1428:M1428"/>
    <mergeCell ref="L1446:M1446"/>
    <mergeCell ref="I1447:J1447"/>
    <mergeCell ref="L1447:M1447"/>
    <mergeCell ref="I1448:J1448"/>
    <mergeCell ref="L1448:M1448"/>
    <mergeCell ref="I1454:J1454"/>
    <mergeCell ref="L1454:M1454"/>
    <mergeCell ref="I1459:J1459"/>
    <mergeCell ref="L1459:M1459"/>
    <mergeCell ref="I1460:J1460"/>
    <mergeCell ref="L1460:M1460"/>
    <mergeCell ref="I1457:J1457"/>
    <mergeCell ref="L1457:M1457"/>
    <mergeCell ref="I1458:J1458"/>
    <mergeCell ref="L1458:M1458"/>
    <mergeCell ref="I1463:J1463"/>
    <mergeCell ref="L1463:M1463"/>
    <mergeCell ref="I1464:J1464"/>
    <mergeCell ref="L1464:M1464"/>
    <mergeCell ref="I1461:J1461"/>
    <mergeCell ref="L1461:M1461"/>
    <mergeCell ref="I1462:J1462"/>
    <mergeCell ref="L1462:M1462"/>
    <mergeCell ref="I1467:J1467"/>
    <mergeCell ref="L1467:M1467"/>
    <mergeCell ref="I1468:J1468"/>
    <mergeCell ref="L1468:M1468"/>
    <mergeCell ref="I1465:J1465"/>
    <mergeCell ref="L1465:M1465"/>
    <mergeCell ref="I1466:J1466"/>
    <mergeCell ref="L1466:M1466"/>
    <mergeCell ref="I1472:J1472"/>
    <mergeCell ref="L1472:M1472"/>
    <mergeCell ref="I1469:J1469"/>
    <mergeCell ref="L1469:M1469"/>
    <mergeCell ref="I1471:J1471"/>
    <mergeCell ref="L1471:M1471"/>
    <mergeCell ref="I1470:J1470"/>
    <mergeCell ref="L1470:M1470"/>
    <mergeCell ref="L1507:M1507"/>
    <mergeCell ref="J1487:L1487"/>
    <mergeCell ref="K1489:M1489"/>
    <mergeCell ref="L1493:M1493"/>
    <mergeCell ref="L1495:M1495"/>
    <mergeCell ref="H1495:I1495"/>
    <mergeCell ref="J1493:K1493"/>
    <mergeCell ref="L1483:M1483"/>
    <mergeCell ref="I1483:K1483"/>
    <mergeCell ref="I1482:K1482"/>
    <mergeCell ref="J1496:K1496"/>
    <mergeCell ref="E1498:I1498"/>
    <mergeCell ref="D1491:H1492"/>
    <mergeCell ref="H1493:I1493"/>
    <mergeCell ref="H1494:I1494"/>
    <mergeCell ref="J1492:K1492"/>
    <mergeCell ref="I1508:J1508"/>
    <mergeCell ref="L1508:M1508"/>
    <mergeCell ref="I1505:J1505"/>
    <mergeCell ref="L1505:M1505"/>
    <mergeCell ref="I1506:J1506"/>
    <mergeCell ref="L1506:M1506"/>
    <mergeCell ref="I1511:J1511"/>
    <mergeCell ref="L1511:M1511"/>
    <mergeCell ref="I1512:J1512"/>
    <mergeCell ref="L1512:M1512"/>
    <mergeCell ref="I1509:J1509"/>
    <mergeCell ref="L1509:M1509"/>
    <mergeCell ref="I1510:J1510"/>
    <mergeCell ref="L1510:M1510"/>
    <mergeCell ref="I1515:J1515"/>
    <mergeCell ref="L1515:M1515"/>
    <mergeCell ref="I1516:J1516"/>
    <mergeCell ref="L1516:M1516"/>
    <mergeCell ref="I1513:J1513"/>
    <mergeCell ref="L1513:M1513"/>
    <mergeCell ref="I1514:J1514"/>
    <mergeCell ref="L1514:M1514"/>
    <mergeCell ref="I1519:J1519"/>
    <mergeCell ref="L1519:M1519"/>
    <mergeCell ref="I1520:J1520"/>
    <mergeCell ref="L1520:M1520"/>
    <mergeCell ref="I1517:J1517"/>
    <mergeCell ref="L1517:M1517"/>
    <mergeCell ref="I1518:J1518"/>
    <mergeCell ref="L1518:M1518"/>
    <mergeCell ref="I1523:J1523"/>
    <mergeCell ref="L1523:M1523"/>
    <mergeCell ref="I1524:J1524"/>
    <mergeCell ref="L1524:M1524"/>
    <mergeCell ref="I1521:J1521"/>
    <mergeCell ref="L1521:M1521"/>
    <mergeCell ref="I1522:J1522"/>
    <mergeCell ref="L1522:M1522"/>
    <mergeCell ref="L1550:M1550"/>
    <mergeCell ref="K1544:M1544"/>
    <mergeCell ref="F1550:G1550"/>
    <mergeCell ref="F1551:G1551"/>
    <mergeCell ref="I1526:J1526"/>
    <mergeCell ref="L1526:M1526"/>
    <mergeCell ref="I1527:J1527"/>
    <mergeCell ref="L1527:M1527"/>
    <mergeCell ref="D1546:H1547"/>
    <mergeCell ref="H1548:I1548"/>
    <mergeCell ref="E1528:F1528"/>
    <mergeCell ref="I1556:J1556"/>
    <mergeCell ref="L1559:M1559"/>
    <mergeCell ref="I1559:J1559"/>
    <mergeCell ref="J1548:K1548"/>
    <mergeCell ref="H1550:I1550"/>
    <mergeCell ref="L1556:M1556"/>
    <mergeCell ref="I1557:J1557"/>
    <mergeCell ref="L1557:M1557"/>
    <mergeCell ref="E1553:I1553"/>
    <mergeCell ref="L1548:M1548"/>
    <mergeCell ref="J1542:L1542"/>
    <mergeCell ref="I1560:J1560"/>
    <mergeCell ref="L1560:M1560"/>
    <mergeCell ref="I1561:J1561"/>
    <mergeCell ref="L1561:M1561"/>
    <mergeCell ref="I1558:J1558"/>
    <mergeCell ref="L1558:M1558"/>
    <mergeCell ref="L1562:M1562"/>
    <mergeCell ref="I1563:J1563"/>
    <mergeCell ref="L1563:M1563"/>
    <mergeCell ref="I1564:J1564"/>
    <mergeCell ref="L1564:M1564"/>
    <mergeCell ref="I1562:J1562"/>
    <mergeCell ref="L1565:M1565"/>
    <mergeCell ref="I1566:J1566"/>
    <mergeCell ref="L1566:M1566"/>
    <mergeCell ref="I1567:J1567"/>
    <mergeCell ref="L1567:M1567"/>
    <mergeCell ref="I1565:J1565"/>
    <mergeCell ref="L1568:M1568"/>
    <mergeCell ref="I1569:J1569"/>
    <mergeCell ref="L1569:M1569"/>
    <mergeCell ref="I1570:J1570"/>
    <mergeCell ref="L1570:M1570"/>
    <mergeCell ref="I1568:J1568"/>
    <mergeCell ref="I1574:J1574"/>
    <mergeCell ref="L1574:M1574"/>
    <mergeCell ref="I1575:J1575"/>
    <mergeCell ref="L1575:M1575"/>
    <mergeCell ref="L1571:M1571"/>
    <mergeCell ref="I1572:J1572"/>
    <mergeCell ref="L1572:M1572"/>
    <mergeCell ref="I1573:J1573"/>
    <mergeCell ref="L1573:M1573"/>
    <mergeCell ref="I1571:J1571"/>
    <mergeCell ref="I1579:J1579"/>
    <mergeCell ref="L1579:M1579"/>
    <mergeCell ref="I1576:J1576"/>
    <mergeCell ref="L1576:M1576"/>
    <mergeCell ref="I1577:J1577"/>
    <mergeCell ref="L1577:M1577"/>
    <mergeCell ref="J1602:K1602"/>
    <mergeCell ref="I1613:J1613"/>
    <mergeCell ref="L1613:M1613"/>
    <mergeCell ref="E1608:I1608"/>
    <mergeCell ref="L1603:M1603"/>
    <mergeCell ref="L1605:M1605"/>
    <mergeCell ref="J1606:K1606"/>
    <mergeCell ref="L1606:M1606"/>
    <mergeCell ref="I1609:M1609"/>
    <mergeCell ref="F1605:G1605"/>
    <mergeCell ref="I1614:J1614"/>
    <mergeCell ref="L1614:M1614"/>
    <mergeCell ref="I1615:J1615"/>
    <mergeCell ref="L1615:M1615"/>
    <mergeCell ref="I1610:J1610"/>
    <mergeCell ref="L1610:M1610"/>
    <mergeCell ref="I1618:J1618"/>
    <mergeCell ref="L1618:M1618"/>
    <mergeCell ref="I1619:J1619"/>
    <mergeCell ref="L1619:M1619"/>
    <mergeCell ref="I1616:J1616"/>
    <mergeCell ref="L1616:M1616"/>
    <mergeCell ref="I1617:J1617"/>
    <mergeCell ref="L1617:M1617"/>
    <mergeCell ref="I1622:J1622"/>
    <mergeCell ref="L1622:M1622"/>
    <mergeCell ref="I1623:J1623"/>
    <mergeCell ref="L1623:M1623"/>
    <mergeCell ref="I1620:J1620"/>
    <mergeCell ref="L1620:M1620"/>
    <mergeCell ref="I1621:J1621"/>
    <mergeCell ref="L1621:M1621"/>
    <mergeCell ref="I1626:J1626"/>
    <mergeCell ref="L1626:M1626"/>
    <mergeCell ref="I1627:J1627"/>
    <mergeCell ref="L1627:M1627"/>
    <mergeCell ref="I1624:J1624"/>
    <mergeCell ref="L1624:M1624"/>
    <mergeCell ref="I1625:J1625"/>
    <mergeCell ref="L1625:M1625"/>
    <mergeCell ref="I1630:J1630"/>
    <mergeCell ref="L1630:M1630"/>
    <mergeCell ref="I1631:J1631"/>
    <mergeCell ref="L1631:M1631"/>
    <mergeCell ref="I1628:J1628"/>
    <mergeCell ref="L1628:M1628"/>
    <mergeCell ref="I1629:J1629"/>
    <mergeCell ref="L1629:M1629"/>
    <mergeCell ref="I1634:J1634"/>
    <mergeCell ref="L1634:M1634"/>
    <mergeCell ref="I1635:J1635"/>
    <mergeCell ref="L1635:M1635"/>
    <mergeCell ref="I1632:J1632"/>
    <mergeCell ref="L1632:M1632"/>
    <mergeCell ref="I1633:J1633"/>
    <mergeCell ref="L1633:M1633"/>
    <mergeCell ref="I1636:J1636"/>
    <mergeCell ref="L1636:M1636"/>
    <mergeCell ref="L482:M482"/>
    <mergeCell ref="I479:J479"/>
    <mergeCell ref="L479:M479"/>
    <mergeCell ref="I481:J481"/>
    <mergeCell ref="L481:M481"/>
    <mergeCell ref="I480:J480"/>
    <mergeCell ref="L480:M480"/>
    <mergeCell ref="I477:J477"/>
    <mergeCell ref="J387:L387"/>
    <mergeCell ref="J442:L442"/>
    <mergeCell ref="J497:L497"/>
    <mergeCell ref="L400:M400"/>
    <mergeCell ref="L477:M477"/>
    <mergeCell ref="I478:J478"/>
    <mergeCell ref="L478:M478"/>
    <mergeCell ref="I475:J475"/>
    <mergeCell ref="L475:M475"/>
    <mergeCell ref="L467:M467"/>
    <mergeCell ref="I468:J468"/>
    <mergeCell ref="L468:M468"/>
    <mergeCell ref="I465:J465"/>
    <mergeCell ref="L465:M465"/>
    <mergeCell ref="I466:J466"/>
    <mergeCell ref="L466:M466"/>
    <mergeCell ref="I471:J471"/>
    <mergeCell ref="L471:M471"/>
    <mergeCell ref="I472:J472"/>
    <mergeCell ref="L472:M472"/>
    <mergeCell ref="I469:J469"/>
    <mergeCell ref="L469:M469"/>
    <mergeCell ref="I470:J470"/>
    <mergeCell ref="L470:M470"/>
    <mergeCell ref="J607:L607"/>
    <mergeCell ref="J662:L662"/>
    <mergeCell ref="J717:L717"/>
    <mergeCell ref="I702:J702"/>
    <mergeCell ref="L702:M702"/>
    <mergeCell ref="I699:J699"/>
    <mergeCell ref="L699:M699"/>
    <mergeCell ref="I701:J701"/>
    <mergeCell ref="L701:M701"/>
    <mergeCell ref="J772:L772"/>
    <mergeCell ref="J827:L827"/>
    <mergeCell ref="J882:L882"/>
    <mergeCell ref="J937:L937"/>
    <mergeCell ref="I918:J918"/>
    <mergeCell ref="L918:M918"/>
    <mergeCell ref="I920:J920"/>
    <mergeCell ref="L920:M920"/>
    <mergeCell ref="I919:J919"/>
    <mergeCell ref="L919:M919"/>
    <mergeCell ref="I913:J913"/>
    <mergeCell ref="L913:M913"/>
    <mergeCell ref="I910:J910"/>
    <mergeCell ref="L910:M910"/>
    <mergeCell ref="I911:J911"/>
    <mergeCell ref="L911:M911"/>
    <mergeCell ref="I916:J916"/>
    <mergeCell ref="L916:M916"/>
    <mergeCell ref="I917:J917"/>
    <mergeCell ref="L917:M917"/>
    <mergeCell ref="I914:J914"/>
    <mergeCell ref="L914:M914"/>
    <mergeCell ref="I915:J915"/>
    <mergeCell ref="J1597:L1597"/>
    <mergeCell ref="I1581:J1581"/>
    <mergeCell ref="L1581:M1581"/>
    <mergeCell ref="I1582:J1582"/>
    <mergeCell ref="L1582:M1582"/>
    <mergeCell ref="I1578:J1578"/>
    <mergeCell ref="L1578:M1578"/>
    <mergeCell ref="D62:H63"/>
    <mergeCell ref="H64:I64"/>
    <mergeCell ref="E153:F153"/>
    <mergeCell ref="D156:E156"/>
    <mergeCell ref="E69:I69"/>
    <mergeCell ref="D101:E101"/>
    <mergeCell ref="F120:G120"/>
    <mergeCell ref="I148:J148"/>
    <mergeCell ref="J117:K117"/>
    <mergeCell ref="I144:J144"/>
    <mergeCell ref="J167:L167"/>
    <mergeCell ref="F231:G231"/>
    <mergeCell ref="F285:G285"/>
    <mergeCell ref="F286:G286"/>
    <mergeCell ref="F340:G340"/>
    <mergeCell ref="D336:H337"/>
    <mergeCell ref="H338:I338"/>
    <mergeCell ref="H339:I339"/>
    <mergeCell ref="D266:E266"/>
    <mergeCell ref="E263:F263"/>
    <mergeCell ref="F341:G341"/>
    <mergeCell ref="E233:I233"/>
    <mergeCell ref="I368:J368"/>
    <mergeCell ref="I364:J364"/>
    <mergeCell ref="I360:J360"/>
    <mergeCell ref="F561:G561"/>
    <mergeCell ref="E593:F593"/>
    <mergeCell ref="D596:E596"/>
    <mergeCell ref="E538:F538"/>
    <mergeCell ref="D611:H612"/>
    <mergeCell ref="H613:I613"/>
    <mergeCell ref="F998:G998"/>
    <mergeCell ref="F1053:G1053"/>
    <mergeCell ref="F945:G945"/>
    <mergeCell ref="F946:G946"/>
    <mergeCell ref="F1000:G1000"/>
    <mergeCell ref="F1001:G1001"/>
    <mergeCell ref="D431:E431"/>
    <mergeCell ref="H450:I450"/>
    <mergeCell ref="F615:G615"/>
    <mergeCell ref="F616:G616"/>
    <mergeCell ref="F450:G450"/>
    <mergeCell ref="F451:G451"/>
    <mergeCell ref="F448:G448"/>
    <mergeCell ref="D446:H447"/>
    <mergeCell ref="H451:I451"/>
    <mergeCell ref="F558:G558"/>
    <mergeCell ref="F668:G668"/>
    <mergeCell ref="I482:J482"/>
    <mergeCell ref="I1027:J1027"/>
    <mergeCell ref="I1013:J1013"/>
    <mergeCell ref="I976:J976"/>
    <mergeCell ref="I965:J965"/>
    <mergeCell ref="I802:J802"/>
    <mergeCell ref="I793:J793"/>
    <mergeCell ref="H781:I781"/>
    <mergeCell ref="I751:J751"/>
    <mergeCell ref="F228:G228"/>
    <mergeCell ref="F283:G283"/>
    <mergeCell ref="F338:G338"/>
    <mergeCell ref="F1055:G1055"/>
    <mergeCell ref="F1056:G1056"/>
    <mergeCell ref="D1051:H1052"/>
    <mergeCell ref="F1218:G1218"/>
    <mergeCell ref="D1326:H1327"/>
    <mergeCell ref="H1328:I1328"/>
    <mergeCell ref="I1304:J1304"/>
    <mergeCell ref="I1301:J1301"/>
    <mergeCell ref="F1220:G1220"/>
    <mergeCell ref="F1221:G1221"/>
    <mergeCell ref="F1275:G1275"/>
    <mergeCell ref="F1276:G1276"/>
    <mergeCell ref="J1267:L1267"/>
    <mergeCell ref="F1493:G1493"/>
    <mergeCell ref="F1385:G1385"/>
    <mergeCell ref="F1386:G1386"/>
    <mergeCell ref="F1440:G1440"/>
    <mergeCell ref="F1441:G1441"/>
    <mergeCell ref="E1418:F1418"/>
    <mergeCell ref="D1421:E1421"/>
    <mergeCell ref="J332:L332"/>
    <mergeCell ref="L368:M368"/>
    <mergeCell ref="L364:M364"/>
    <mergeCell ref="I365:J365"/>
    <mergeCell ref="L365:M365"/>
    <mergeCell ref="F613:G613"/>
    <mergeCell ref="F505:G505"/>
    <mergeCell ref="F506:G506"/>
    <mergeCell ref="F560:G560"/>
    <mergeCell ref="F670:G670"/>
    <mergeCell ref="F671:G671"/>
    <mergeCell ref="D706:E706"/>
    <mergeCell ref="D816:E816"/>
    <mergeCell ref="D776:H777"/>
    <mergeCell ref="F1606:G1606"/>
    <mergeCell ref="F1110:G1110"/>
    <mergeCell ref="F1111:G1111"/>
    <mergeCell ref="F1165:G1165"/>
    <mergeCell ref="F1166:G1166"/>
    <mergeCell ref="F1603:G1603"/>
    <mergeCell ref="F1548:G1548"/>
    <mergeCell ref="F1495:G1495"/>
    <mergeCell ref="F1496:G1496"/>
    <mergeCell ref="F1438:G1438"/>
    <mergeCell ref="F11:G11"/>
    <mergeCell ref="F12:G12"/>
    <mergeCell ref="F66:G66"/>
    <mergeCell ref="F67:G67"/>
    <mergeCell ref="C14:L14"/>
    <mergeCell ref="H11:I11"/>
    <mergeCell ref="I15:M15"/>
    <mergeCell ref="I16:J16"/>
    <mergeCell ref="F64:G64"/>
    <mergeCell ref="J63:K63"/>
    <mergeCell ref="L16:M16"/>
    <mergeCell ref="I17:J17"/>
    <mergeCell ref="F395:G395"/>
    <mergeCell ref="F396:G396"/>
    <mergeCell ref="F175:G175"/>
    <mergeCell ref="F176:G176"/>
    <mergeCell ref="F230:G230"/>
  </mergeCells>
  <phoneticPr fontId="0" type="noConversion"/>
  <pageMargins left="0.25" right="0.25" top="0.75" bottom="0.75" header="0" footer="0"/>
  <pageSetup scale="89" orientation="portrait" horizontalDpi="360" r:id="rId1"/>
  <headerFooter alignWithMargins="0"/>
  <rowBreaks count="2" manualBreakCount="2">
    <brk id="54" max="16383" man="1"/>
    <brk id="10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9246" r:id="rId4" name="Button 94">
              <controlPr defaultSize="0" print="0" autoFill="0" autoPict="0" macro="[0]!BACKTOMENU">
                <anchor moveWithCells="1">
                  <from>
                    <xdr:col>13</xdr:col>
                    <xdr:colOff>424543</xdr:colOff>
                    <xdr:row>2</xdr:row>
                    <xdr:rowOff>114300</xdr:rowOff>
                  </from>
                  <to>
                    <xdr:col>14</xdr:col>
                    <xdr:colOff>326571</xdr:colOff>
                    <xdr:row>4</xdr:row>
                    <xdr:rowOff>0</xdr:rowOff>
                  </to>
                </anchor>
              </controlPr>
            </control>
          </mc:Choice>
        </mc:AlternateContent>
        <mc:AlternateContent xmlns:mc="http://schemas.openxmlformats.org/markup-compatibility/2006">
          <mc:Choice Requires="x14">
            <control shapeId="49247" r:id="rId5" name="Button 95">
              <controlPr defaultSize="0" print="0" autoFill="0" autoPict="0" macro="[0]!BACKTOMENU">
                <anchor moveWithCells="1">
                  <from>
                    <xdr:col>13</xdr:col>
                    <xdr:colOff>424543</xdr:colOff>
                    <xdr:row>57</xdr:row>
                    <xdr:rowOff>114300</xdr:rowOff>
                  </from>
                  <to>
                    <xdr:col>14</xdr:col>
                    <xdr:colOff>326571</xdr:colOff>
                    <xdr:row>59</xdr:row>
                    <xdr:rowOff>0</xdr:rowOff>
                  </to>
                </anchor>
              </controlPr>
            </control>
          </mc:Choice>
        </mc:AlternateContent>
        <mc:AlternateContent xmlns:mc="http://schemas.openxmlformats.org/markup-compatibility/2006">
          <mc:Choice Requires="x14">
            <control shapeId="49248" r:id="rId6" name="Button 96">
              <controlPr defaultSize="0" print="0" autoFill="0" autoPict="0" macro="[0]!BACKTOMENU">
                <anchor moveWithCells="1">
                  <from>
                    <xdr:col>13</xdr:col>
                    <xdr:colOff>424543</xdr:colOff>
                    <xdr:row>113</xdr:row>
                    <xdr:rowOff>117021</xdr:rowOff>
                  </from>
                  <to>
                    <xdr:col>14</xdr:col>
                    <xdr:colOff>326571</xdr:colOff>
                    <xdr:row>115</xdr:row>
                    <xdr:rowOff>0</xdr:rowOff>
                  </to>
                </anchor>
              </controlPr>
            </control>
          </mc:Choice>
        </mc:AlternateContent>
        <mc:AlternateContent xmlns:mc="http://schemas.openxmlformats.org/markup-compatibility/2006">
          <mc:Choice Requires="x14">
            <control shapeId="49249" r:id="rId7" name="Button 97">
              <controlPr defaultSize="0" print="0" autoFill="0" autoPict="0" macro="[0]!BACKTOMENU">
                <anchor moveWithCells="1">
                  <from>
                    <xdr:col>13</xdr:col>
                    <xdr:colOff>424543</xdr:colOff>
                    <xdr:row>167</xdr:row>
                    <xdr:rowOff>114300</xdr:rowOff>
                  </from>
                  <to>
                    <xdr:col>14</xdr:col>
                    <xdr:colOff>326571</xdr:colOff>
                    <xdr:row>169</xdr:row>
                    <xdr:rowOff>0</xdr:rowOff>
                  </to>
                </anchor>
              </controlPr>
            </control>
          </mc:Choice>
        </mc:AlternateContent>
        <mc:AlternateContent xmlns:mc="http://schemas.openxmlformats.org/markup-compatibility/2006">
          <mc:Choice Requires="x14">
            <control shapeId="49250" r:id="rId8" name="Button 98">
              <controlPr defaultSize="0" print="0" autoFill="0" autoPict="0" macro="[0]!BACKTOMENU">
                <anchor moveWithCells="1">
                  <from>
                    <xdr:col>13</xdr:col>
                    <xdr:colOff>424543</xdr:colOff>
                    <xdr:row>222</xdr:row>
                    <xdr:rowOff>114300</xdr:rowOff>
                  </from>
                  <to>
                    <xdr:col>14</xdr:col>
                    <xdr:colOff>326571</xdr:colOff>
                    <xdr:row>224</xdr:row>
                    <xdr:rowOff>0</xdr:rowOff>
                  </to>
                </anchor>
              </controlPr>
            </control>
          </mc:Choice>
        </mc:AlternateContent>
        <mc:AlternateContent xmlns:mc="http://schemas.openxmlformats.org/markup-compatibility/2006">
          <mc:Choice Requires="x14">
            <control shapeId="49251" r:id="rId9" name="Button 99">
              <controlPr defaultSize="0" print="0" autoFill="0" autoPict="0" macro="[0]!BACKTOMENU">
                <anchor moveWithCells="1">
                  <from>
                    <xdr:col>13</xdr:col>
                    <xdr:colOff>424543</xdr:colOff>
                    <xdr:row>278</xdr:row>
                    <xdr:rowOff>117021</xdr:rowOff>
                  </from>
                  <to>
                    <xdr:col>14</xdr:col>
                    <xdr:colOff>326571</xdr:colOff>
                    <xdr:row>280</xdr:row>
                    <xdr:rowOff>0</xdr:rowOff>
                  </to>
                </anchor>
              </controlPr>
            </control>
          </mc:Choice>
        </mc:AlternateContent>
        <mc:AlternateContent xmlns:mc="http://schemas.openxmlformats.org/markup-compatibility/2006">
          <mc:Choice Requires="x14">
            <control shapeId="49252" r:id="rId10" name="Button 100">
              <controlPr defaultSize="0" print="0" autoFill="0" autoPict="0" macro="[0]!BACKTOMENU">
                <anchor moveWithCells="1">
                  <from>
                    <xdr:col>13</xdr:col>
                    <xdr:colOff>424543</xdr:colOff>
                    <xdr:row>333</xdr:row>
                    <xdr:rowOff>117021</xdr:rowOff>
                  </from>
                  <to>
                    <xdr:col>14</xdr:col>
                    <xdr:colOff>326571</xdr:colOff>
                    <xdr:row>335</xdr:row>
                    <xdr:rowOff>0</xdr:rowOff>
                  </to>
                </anchor>
              </controlPr>
            </control>
          </mc:Choice>
        </mc:AlternateContent>
        <mc:AlternateContent xmlns:mc="http://schemas.openxmlformats.org/markup-compatibility/2006">
          <mc:Choice Requires="x14">
            <control shapeId="49253" r:id="rId11" name="Button 101">
              <controlPr defaultSize="0" print="0" autoFill="0" autoPict="0" macro="[0]!BACKTOMENU">
                <anchor moveWithCells="1">
                  <from>
                    <xdr:col>13</xdr:col>
                    <xdr:colOff>424543</xdr:colOff>
                    <xdr:row>388</xdr:row>
                    <xdr:rowOff>117021</xdr:rowOff>
                  </from>
                  <to>
                    <xdr:col>14</xdr:col>
                    <xdr:colOff>326571</xdr:colOff>
                    <xdr:row>390</xdr:row>
                    <xdr:rowOff>0</xdr:rowOff>
                  </to>
                </anchor>
              </controlPr>
            </control>
          </mc:Choice>
        </mc:AlternateContent>
        <mc:AlternateContent xmlns:mc="http://schemas.openxmlformats.org/markup-compatibility/2006">
          <mc:Choice Requires="x14">
            <control shapeId="49254" r:id="rId12" name="Button 102">
              <controlPr defaultSize="0" print="0" autoFill="0" autoPict="0" macro="[0]!BACKTOMENU">
                <anchor moveWithCells="1">
                  <from>
                    <xdr:col>13</xdr:col>
                    <xdr:colOff>424543</xdr:colOff>
                    <xdr:row>442</xdr:row>
                    <xdr:rowOff>114300</xdr:rowOff>
                  </from>
                  <to>
                    <xdr:col>14</xdr:col>
                    <xdr:colOff>326571</xdr:colOff>
                    <xdr:row>444</xdr:row>
                    <xdr:rowOff>0</xdr:rowOff>
                  </to>
                </anchor>
              </controlPr>
            </control>
          </mc:Choice>
        </mc:AlternateContent>
        <mc:AlternateContent xmlns:mc="http://schemas.openxmlformats.org/markup-compatibility/2006">
          <mc:Choice Requires="x14">
            <control shapeId="49255" r:id="rId13" name="Button 103">
              <controlPr defaultSize="0" print="0" autoFill="0" autoPict="0" macro="[0]!BACKTOMENU">
                <anchor moveWithCells="1">
                  <from>
                    <xdr:col>13</xdr:col>
                    <xdr:colOff>424543</xdr:colOff>
                    <xdr:row>497</xdr:row>
                    <xdr:rowOff>114300</xdr:rowOff>
                  </from>
                  <to>
                    <xdr:col>14</xdr:col>
                    <xdr:colOff>326571</xdr:colOff>
                    <xdr:row>499</xdr:row>
                    <xdr:rowOff>0</xdr:rowOff>
                  </to>
                </anchor>
              </controlPr>
            </control>
          </mc:Choice>
        </mc:AlternateContent>
        <mc:AlternateContent xmlns:mc="http://schemas.openxmlformats.org/markup-compatibility/2006">
          <mc:Choice Requires="x14">
            <control shapeId="49256" r:id="rId14" name="Button 104">
              <controlPr defaultSize="0" print="0" autoFill="0" autoPict="0" macro="[0]!BACKTOMENU">
                <anchor moveWithCells="1">
                  <from>
                    <xdr:col>13</xdr:col>
                    <xdr:colOff>424543</xdr:colOff>
                    <xdr:row>553</xdr:row>
                    <xdr:rowOff>117021</xdr:rowOff>
                  </from>
                  <to>
                    <xdr:col>14</xdr:col>
                    <xdr:colOff>326571</xdr:colOff>
                    <xdr:row>555</xdr:row>
                    <xdr:rowOff>0</xdr:rowOff>
                  </to>
                </anchor>
              </controlPr>
            </control>
          </mc:Choice>
        </mc:AlternateContent>
        <mc:AlternateContent xmlns:mc="http://schemas.openxmlformats.org/markup-compatibility/2006">
          <mc:Choice Requires="x14">
            <control shapeId="49257" r:id="rId15" name="Button 105">
              <controlPr defaultSize="0" print="0" autoFill="0" autoPict="0" macro="[0]!BACKTOMENU">
                <anchor moveWithCells="1">
                  <from>
                    <xdr:col>13</xdr:col>
                    <xdr:colOff>424543</xdr:colOff>
                    <xdr:row>608</xdr:row>
                    <xdr:rowOff>117021</xdr:rowOff>
                  </from>
                  <to>
                    <xdr:col>14</xdr:col>
                    <xdr:colOff>326571</xdr:colOff>
                    <xdr:row>610</xdr:row>
                    <xdr:rowOff>0</xdr:rowOff>
                  </to>
                </anchor>
              </controlPr>
            </control>
          </mc:Choice>
        </mc:AlternateContent>
        <mc:AlternateContent xmlns:mc="http://schemas.openxmlformats.org/markup-compatibility/2006">
          <mc:Choice Requires="x14">
            <control shapeId="49258" r:id="rId16" name="Button 106">
              <controlPr defaultSize="0" print="0" autoFill="0" autoPict="0" macro="[0]!BACKTOMENU">
                <anchor moveWithCells="1">
                  <from>
                    <xdr:col>13</xdr:col>
                    <xdr:colOff>424543</xdr:colOff>
                    <xdr:row>663</xdr:row>
                    <xdr:rowOff>117021</xdr:rowOff>
                  </from>
                  <to>
                    <xdr:col>14</xdr:col>
                    <xdr:colOff>326571</xdr:colOff>
                    <xdr:row>665</xdr:row>
                    <xdr:rowOff>0</xdr:rowOff>
                  </to>
                </anchor>
              </controlPr>
            </control>
          </mc:Choice>
        </mc:AlternateContent>
        <mc:AlternateContent xmlns:mc="http://schemas.openxmlformats.org/markup-compatibility/2006">
          <mc:Choice Requires="x14">
            <control shapeId="49259" r:id="rId17" name="Button 107">
              <controlPr defaultSize="0" print="0" autoFill="0" autoPict="0" macro="[0]!BACKTOMENU">
                <anchor moveWithCells="1">
                  <from>
                    <xdr:col>13</xdr:col>
                    <xdr:colOff>424543</xdr:colOff>
                    <xdr:row>717</xdr:row>
                    <xdr:rowOff>114300</xdr:rowOff>
                  </from>
                  <to>
                    <xdr:col>14</xdr:col>
                    <xdr:colOff>326571</xdr:colOff>
                    <xdr:row>719</xdr:row>
                    <xdr:rowOff>0</xdr:rowOff>
                  </to>
                </anchor>
              </controlPr>
            </control>
          </mc:Choice>
        </mc:AlternateContent>
        <mc:AlternateContent xmlns:mc="http://schemas.openxmlformats.org/markup-compatibility/2006">
          <mc:Choice Requires="x14">
            <control shapeId="49260" r:id="rId18" name="Button 108">
              <controlPr defaultSize="0" print="0" autoFill="0" autoPict="0" macro="[0]!BACKTOMENU">
                <anchor moveWithCells="1">
                  <from>
                    <xdr:col>13</xdr:col>
                    <xdr:colOff>424543</xdr:colOff>
                    <xdr:row>772</xdr:row>
                    <xdr:rowOff>114300</xdr:rowOff>
                  </from>
                  <to>
                    <xdr:col>14</xdr:col>
                    <xdr:colOff>326571</xdr:colOff>
                    <xdr:row>774</xdr:row>
                    <xdr:rowOff>0</xdr:rowOff>
                  </to>
                </anchor>
              </controlPr>
            </control>
          </mc:Choice>
        </mc:AlternateContent>
        <mc:AlternateContent xmlns:mc="http://schemas.openxmlformats.org/markup-compatibility/2006">
          <mc:Choice Requires="x14">
            <control shapeId="49261" r:id="rId19" name="Button 109">
              <controlPr defaultSize="0" print="0" autoFill="0" autoPict="0" macro="[0]!BACKTOMENU">
                <anchor moveWithCells="1">
                  <from>
                    <xdr:col>13</xdr:col>
                    <xdr:colOff>424543</xdr:colOff>
                    <xdr:row>828</xdr:row>
                    <xdr:rowOff>117021</xdr:rowOff>
                  </from>
                  <to>
                    <xdr:col>14</xdr:col>
                    <xdr:colOff>326571</xdr:colOff>
                    <xdr:row>830</xdr:row>
                    <xdr:rowOff>0</xdr:rowOff>
                  </to>
                </anchor>
              </controlPr>
            </control>
          </mc:Choice>
        </mc:AlternateContent>
        <mc:AlternateContent xmlns:mc="http://schemas.openxmlformats.org/markup-compatibility/2006">
          <mc:Choice Requires="x14">
            <control shapeId="49262" r:id="rId20" name="Button 110">
              <controlPr defaultSize="0" print="0" autoFill="0" autoPict="0" macro="[0]!BACKTOMENU">
                <anchor moveWithCells="1">
                  <from>
                    <xdr:col>13</xdr:col>
                    <xdr:colOff>424543</xdr:colOff>
                    <xdr:row>883</xdr:row>
                    <xdr:rowOff>117021</xdr:rowOff>
                  </from>
                  <to>
                    <xdr:col>14</xdr:col>
                    <xdr:colOff>326571</xdr:colOff>
                    <xdr:row>885</xdr:row>
                    <xdr:rowOff>0</xdr:rowOff>
                  </to>
                </anchor>
              </controlPr>
            </control>
          </mc:Choice>
        </mc:AlternateContent>
        <mc:AlternateContent xmlns:mc="http://schemas.openxmlformats.org/markup-compatibility/2006">
          <mc:Choice Requires="x14">
            <control shapeId="49263" r:id="rId21" name="Button 111">
              <controlPr defaultSize="0" print="0" autoFill="0" autoPict="0" macro="[0]!BACKTOMENU">
                <anchor moveWithCells="1">
                  <from>
                    <xdr:col>13</xdr:col>
                    <xdr:colOff>424543</xdr:colOff>
                    <xdr:row>938</xdr:row>
                    <xdr:rowOff>117021</xdr:rowOff>
                  </from>
                  <to>
                    <xdr:col>14</xdr:col>
                    <xdr:colOff>326571</xdr:colOff>
                    <xdr:row>940</xdr:row>
                    <xdr:rowOff>0</xdr:rowOff>
                  </to>
                </anchor>
              </controlPr>
            </control>
          </mc:Choice>
        </mc:AlternateContent>
        <mc:AlternateContent xmlns:mc="http://schemas.openxmlformats.org/markup-compatibility/2006">
          <mc:Choice Requires="x14">
            <control shapeId="49264" r:id="rId22" name="Button 112">
              <controlPr defaultSize="0" print="0" autoFill="0" autoPict="0" macro="[0]!BACKTOMENU">
                <anchor moveWithCells="1">
                  <from>
                    <xdr:col>13</xdr:col>
                    <xdr:colOff>424543</xdr:colOff>
                    <xdr:row>993</xdr:row>
                    <xdr:rowOff>117021</xdr:rowOff>
                  </from>
                  <to>
                    <xdr:col>14</xdr:col>
                    <xdr:colOff>326571</xdr:colOff>
                    <xdr:row>995</xdr:row>
                    <xdr:rowOff>0</xdr:rowOff>
                  </to>
                </anchor>
              </controlPr>
            </control>
          </mc:Choice>
        </mc:AlternateContent>
        <mc:AlternateContent xmlns:mc="http://schemas.openxmlformats.org/markup-compatibility/2006">
          <mc:Choice Requires="x14">
            <control shapeId="49265" r:id="rId23" name="Button 113">
              <controlPr defaultSize="0" print="0" autoFill="0" autoPict="0" macro="[0]!BACKTOMENU">
                <anchor moveWithCells="1">
                  <from>
                    <xdr:col>13</xdr:col>
                    <xdr:colOff>424543</xdr:colOff>
                    <xdr:row>1048</xdr:row>
                    <xdr:rowOff>117021</xdr:rowOff>
                  </from>
                  <to>
                    <xdr:col>14</xdr:col>
                    <xdr:colOff>326571</xdr:colOff>
                    <xdr:row>1050</xdr:row>
                    <xdr:rowOff>0</xdr:rowOff>
                  </to>
                </anchor>
              </controlPr>
            </control>
          </mc:Choice>
        </mc:AlternateContent>
        <mc:AlternateContent xmlns:mc="http://schemas.openxmlformats.org/markup-compatibility/2006">
          <mc:Choice Requires="x14">
            <control shapeId="49266" r:id="rId24" name="Button 114">
              <controlPr defaultSize="0" print="0" autoFill="0" autoPict="0" macro="[0]!BACKTOMENU">
                <anchor moveWithCells="1">
                  <from>
                    <xdr:col>13</xdr:col>
                    <xdr:colOff>424543</xdr:colOff>
                    <xdr:row>1102</xdr:row>
                    <xdr:rowOff>114300</xdr:rowOff>
                  </from>
                  <to>
                    <xdr:col>14</xdr:col>
                    <xdr:colOff>326571</xdr:colOff>
                    <xdr:row>1104</xdr:row>
                    <xdr:rowOff>0</xdr:rowOff>
                  </to>
                </anchor>
              </controlPr>
            </control>
          </mc:Choice>
        </mc:AlternateContent>
        <mc:AlternateContent xmlns:mc="http://schemas.openxmlformats.org/markup-compatibility/2006">
          <mc:Choice Requires="x14">
            <control shapeId="49267" r:id="rId25" name="Button 115">
              <controlPr defaultSize="0" print="0" autoFill="0" autoPict="0" macro="[0]!BACKTOMENU">
                <anchor moveWithCells="1">
                  <from>
                    <xdr:col>13</xdr:col>
                    <xdr:colOff>424543</xdr:colOff>
                    <xdr:row>1157</xdr:row>
                    <xdr:rowOff>114300</xdr:rowOff>
                  </from>
                  <to>
                    <xdr:col>14</xdr:col>
                    <xdr:colOff>326571</xdr:colOff>
                    <xdr:row>1159</xdr:row>
                    <xdr:rowOff>0</xdr:rowOff>
                  </to>
                </anchor>
              </controlPr>
            </control>
          </mc:Choice>
        </mc:AlternateContent>
        <mc:AlternateContent xmlns:mc="http://schemas.openxmlformats.org/markup-compatibility/2006">
          <mc:Choice Requires="x14">
            <control shapeId="49268" r:id="rId26" name="Button 116">
              <controlPr defaultSize="0" print="0" autoFill="0" autoPict="0" macro="[0]!BACKTOMENU">
                <anchor moveWithCells="1">
                  <from>
                    <xdr:col>13</xdr:col>
                    <xdr:colOff>424543</xdr:colOff>
                    <xdr:row>1212</xdr:row>
                    <xdr:rowOff>114300</xdr:rowOff>
                  </from>
                  <to>
                    <xdr:col>14</xdr:col>
                    <xdr:colOff>326571</xdr:colOff>
                    <xdr:row>1214</xdr:row>
                    <xdr:rowOff>0</xdr:rowOff>
                  </to>
                </anchor>
              </controlPr>
            </control>
          </mc:Choice>
        </mc:AlternateContent>
        <mc:AlternateContent xmlns:mc="http://schemas.openxmlformats.org/markup-compatibility/2006">
          <mc:Choice Requires="x14">
            <control shapeId="49269" r:id="rId27" name="Button 117">
              <controlPr defaultSize="0" print="0" autoFill="0" autoPict="0" macro="[0]!BACKTOMENU">
                <anchor moveWithCells="1">
                  <from>
                    <xdr:col>13</xdr:col>
                    <xdr:colOff>424543</xdr:colOff>
                    <xdr:row>1267</xdr:row>
                    <xdr:rowOff>114300</xdr:rowOff>
                  </from>
                  <to>
                    <xdr:col>14</xdr:col>
                    <xdr:colOff>326571</xdr:colOff>
                    <xdr:row>1269</xdr:row>
                    <xdr:rowOff>0</xdr:rowOff>
                  </to>
                </anchor>
              </controlPr>
            </control>
          </mc:Choice>
        </mc:AlternateContent>
        <mc:AlternateContent xmlns:mc="http://schemas.openxmlformats.org/markup-compatibility/2006">
          <mc:Choice Requires="x14">
            <control shapeId="49270" r:id="rId28" name="Button 118">
              <controlPr defaultSize="0" print="0" autoFill="0" autoPict="0" macro="[0]!BACKTOMENU">
                <anchor moveWithCells="1">
                  <from>
                    <xdr:col>13</xdr:col>
                    <xdr:colOff>424543</xdr:colOff>
                    <xdr:row>1323</xdr:row>
                    <xdr:rowOff>117021</xdr:rowOff>
                  </from>
                  <to>
                    <xdr:col>14</xdr:col>
                    <xdr:colOff>326571</xdr:colOff>
                    <xdr:row>1325</xdr:row>
                    <xdr:rowOff>0</xdr:rowOff>
                  </to>
                </anchor>
              </controlPr>
            </control>
          </mc:Choice>
        </mc:AlternateContent>
        <mc:AlternateContent xmlns:mc="http://schemas.openxmlformats.org/markup-compatibility/2006">
          <mc:Choice Requires="x14">
            <control shapeId="49271" r:id="rId29" name="Button 119">
              <controlPr defaultSize="0" print="0" autoFill="0" autoPict="0" macro="[0]!BACKTOMENU">
                <anchor moveWithCells="1">
                  <from>
                    <xdr:col>13</xdr:col>
                    <xdr:colOff>424543</xdr:colOff>
                    <xdr:row>1379</xdr:row>
                    <xdr:rowOff>117021</xdr:rowOff>
                  </from>
                  <to>
                    <xdr:col>14</xdr:col>
                    <xdr:colOff>326571</xdr:colOff>
                    <xdr:row>1381</xdr:row>
                    <xdr:rowOff>0</xdr:rowOff>
                  </to>
                </anchor>
              </controlPr>
            </control>
          </mc:Choice>
        </mc:AlternateContent>
        <mc:AlternateContent xmlns:mc="http://schemas.openxmlformats.org/markup-compatibility/2006">
          <mc:Choice Requires="x14">
            <control shapeId="49272" r:id="rId30" name="Button 120">
              <controlPr defaultSize="0" print="0" autoFill="0" autoPict="0" macro="[0]!BACKTOMENU">
                <anchor moveWithCells="1">
                  <from>
                    <xdr:col>13</xdr:col>
                    <xdr:colOff>424543</xdr:colOff>
                    <xdr:row>1434</xdr:row>
                    <xdr:rowOff>117021</xdr:rowOff>
                  </from>
                  <to>
                    <xdr:col>14</xdr:col>
                    <xdr:colOff>326571</xdr:colOff>
                    <xdr:row>1436</xdr:row>
                    <xdr:rowOff>0</xdr:rowOff>
                  </to>
                </anchor>
              </controlPr>
            </control>
          </mc:Choice>
        </mc:AlternateContent>
        <mc:AlternateContent xmlns:mc="http://schemas.openxmlformats.org/markup-compatibility/2006">
          <mc:Choice Requires="x14">
            <control shapeId="49273" r:id="rId31" name="Button 121">
              <controlPr defaultSize="0" print="0" autoFill="0" autoPict="0" macro="[0]!BACKTOMENU">
                <anchor moveWithCells="1">
                  <from>
                    <xdr:col>13</xdr:col>
                    <xdr:colOff>424543</xdr:colOff>
                    <xdr:row>1489</xdr:row>
                    <xdr:rowOff>117021</xdr:rowOff>
                  </from>
                  <to>
                    <xdr:col>14</xdr:col>
                    <xdr:colOff>326571</xdr:colOff>
                    <xdr:row>1491</xdr:row>
                    <xdr:rowOff>0</xdr:rowOff>
                  </to>
                </anchor>
              </controlPr>
            </control>
          </mc:Choice>
        </mc:AlternateContent>
        <mc:AlternateContent xmlns:mc="http://schemas.openxmlformats.org/markup-compatibility/2006">
          <mc:Choice Requires="x14">
            <control shapeId="49274" r:id="rId32" name="Button 122">
              <controlPr defaultSize="0" print="0" autoFill="0" autoPict="0" macro="[0]!BACKTOMENU">
                <anchor moveWithCells="1">
                  <from>
                    <xdr:col>13</xdr:col>
                    <xdr:colOff>424543</xdr:colOff>
                    <xdr:row>1544</xdr:row>
                    <xdr:rowOff>117021</xdr:rowOff>
                  </from>
                  <to>
                    <xdr:col>14</xdr:col>
                    <xdr:colOff>326571</xdr:colOff>
                    <xdr:row>1546</xdr:row>
                    <xdr:rowOff>0</xdr:rowOff>
                  </to>
                </anchor>
              </controlPr>
            </control>
          </mc:Choice>
        </mc:AlternateContent>
        <mc:AlternateContent xmlns:mc="http://schemas.openxmlformats.org/markup-compatibility/2006">
          <mc:Choice Requires="x14">
            <control shapeId="49275" r:id="rId33" name="Button 123">
              <controlPr defaultSize="0" print="0" autoFill="0" autoPict="0" macro="[0]!BACKTOMENU">
                <anchor moveWithCells="1">
                  <from>
                    <xdr:col>13</xdr:col>
                    <xdr:colOff>424543</xdr:colOff>
                    <xdr:row>1599</xdr:row>
                    <xdr:rowOff>117021</xdr:rowOff>
                  </from>
                  <to>
                    <xdr:col>14</xdr:col>
                    <xdr:colOff>326571</xdr:colOff>
                    <xdr:row>1601</xdr:row>
                    <xdr:rowOff>0</xdr:rowOff>
                  </to>
                </anchor>
              </controlPr>
            </control>
          </mc:Choice>
        </mc:AlternateContent>
        <mc:AlternateContent xmlns:mc="http://schemas.openxmlformats.org/markup-compatibility/2006">
          <mc:Choice Requires="x14">
            <control shapeId="49277" r:id="rId34" name="Button 125">
              <controlPr defaultSize="0" print="0" autoFill="0" autoPict="0" macro="[0]!GoToCostControl">
                <anchor moveWithCells="1">
                  <from>
                    <xdr:col>13</xdr:col>
                    <xdr:colOff>277586</xdr:colOff>
                    <xdr:row>22</xdr:row>
                    <xdr:rowOff>29936</xdr:rowOff>
                  </from>
                  <to>
                    <xdr:col>15</xdr:col>
                    <xdr:colOff>266700</xdr:colOff>
                    <xdr:row>23</xdr:row>
                    <xdr:rowOff>127907</xdr:rowOff>
                  </to>
                </anchor>
              </controlPr>
            </control>
          </mc:Choice>
        </mc:AlternateContent>
        <mc:AlternateContent xmlns:mc="http://schemas.openxmlformats.org/markup-compatibility/2006">
          <mc:Choice Requires="x14">
            <control shapeId="49278" r:id="rId35" name="Button 126">
              <controlPr defaultSize="0" print="0" autoFill="0" autoPict="0" macro="[0]!GoToCostControl">
                <anchor moveWithCells="1">
                  <from>
                    <xdr:col>14</xdr:col>
                    <xdr:colOff>0</xdr:colOff>
                    <xdr:row>62</xdr:row>
                    <xdr:rowOff>29936</xdr:rowOff>
                  </from>
                  <to>
                    <xdr:col>15</xdr:col>
                    <xdr:colOff>620486</xdr:colOff>
                    <xdr:row>64</xdr:row>
                    <xdr:rowOff>0</xdr:rowOff>
                  </to>
                </anchor>
              </controlPr>
            </control>
          </mc:Choice>
        </mc:AlternateContent>
        <mc:AlternateContent xmlns:mc="http://schemas.openxmlformats.org/markup-compatibility/2006">
          <mc:Choice Requires="x14">
            <control shapeId="49279" r:id="rId36" name="Button 127">
              <controlPr defaultSize="0" print="0" autoFill="0" autoPict="0" macro="[0]!GoToCostControl">
                <anchor moveWithCells="1">
                  <from>
                    <xdr:col>14</xdr:col>
                    <xdr:colOff>0</xdr:colOff>
                    <xdr:row>118</xdr:row>
                    <xdr:rowOff>29936</xdr:rowOff>
                  </from>
                  <to>
                    <xdr:col>15</xdr:col>
                    <xdr:colOff>620486</xdr:colOff>
                    <xdr:row>120</xdr:row>
                    <xdr:rowOff>0</xdr:rowOff>
                  </to>
                </anchor>
              </controlPr>
            </control>
          </mc:Choice>
        </mc:AlternateContent>
        <mc:AlternateContent xmlns:mc="http://schemas.openxmlformats.org/markup-compatibility/2006">
          <mc:Choice Requires="x14">
            <control shapeId="49280" r:id="rId37" name="Button 128">
              <controlPr defaultSize="0" print="0" autoFill="0" autoPict="0" macro="[0]!GoToCostControl">
                <anchor moveWithCells="1">
                  <from>
                    <xdr:col>14</xdr:col>
                    <xdr:colOff>0</xdr:colOff>
                    <xdr:row>172</xdr:row>
                    <xdr:rowOff>29936</xdr:rowOff>
                  </from>
                  <to>
                    <xdr:col>15</xdr:col>
                    <xdr:colOff>620486</xdr:colOff>
                    <xdr:row>174</xdr:row>
                    <xdr:rowOff>0</xdr:rowOff>
                  </to>
                </anchor>
              </controlPr>
            </control>
          </mc:Choice>
        </mc:AlternateContent>
        <mc:AlternateContent xmlns:mc="http://schemas.openxmlformats.org/markup-compatibility/2006">
          <mc:Choice Requires="x14">
            <control shapeId="49281" r:id="rId38" name="Button 129">
              <controlPr defaultSize="0" print="0" autoFill="0" autoPict="0" macro="[0]!GoToCostControl">
                <anchor moveWithCells="1">
                  <from>
                    <xdr:col>14</xdr:col>
                    <xdr:colOff>0</xdr:colOff>
                    <xdr:row>227</xdr:row>
                    <xdr:rowOff>29936</xdr:rowOff>
                  </from>
                  <to>
                    <xdr:col>15</xdr:col>
                    <xdr:colOff>620486</xdr:colOff>
                    <xdr:row>229</xdr:row>
                    <xdr:rowOff>0</xdr:rowOff>
                  </to>
                </anchor>
              </controlPr>
            </control>
          </mc:Choice>
        </mc:AlternateContent>
        <mc:AlternateContent xmlns:mc="http://schemas.openxmlformats.org/markup-compatibility/2006">
          <mc:Choice Requires="x14">
            <control shapeId="49282" r:id="rId39" name="Button 130">
              <controlPr defaultSize="0" print="0" autoFill="0" autoPict="0" macro="[0]!GoToCostControl">
                <anchor moveWithCells="1">
                  <from>
                    <xdr:col>14</xdr:col>
                    <xdr:colOff>0</xdr:colOff>
                    <xdr:row>283</xdr:row>
                    <xdr:rowOff>29936</xdr:rowOff>
                  </from>
                  <to>
                    <xdr:col>15</xdr:col>
                    <xdr:colOff>620486</xdr:colOff>
                    <xdr:row>285</xdr:row>
                    <xdr:rowOff>0</xdr:rowOff>
                  </to>
                </anchor>
              </controlPr>
            </control>
          </mc:Choice>
        </mc:AlternateContent>
        <mc:AlternateContent xmlns:mc="http://schemas.openxmlformats.org/markup-compatibility/2006">
          <mc:Choice Requires="x14">
            <control shapeId="49283" r:id="rId40" name="Button 131">
              <controlPr defaultSize="0" print="0" autoFill="0" autoPict="0" macro="[0]!GoToCostControl">
                <anchor moveWithCells="1">
                  <from>
                    <xdr:col>14</xdr:col>
                    <xdr:colOff>0</xdr:colOff>
                    <xdr:row>338</xdr:row>
                    <xdr:rowOff>29936</xdr:rowOff>
                  </from>
                  <to>
                    <xdr:col>15</xdr:col>
                    <xdr:colOff>620486</xdr:colOff>
                    <xdr:row>340</xdr:row>
                    <xdr:rowOff>0</xdr:rowOff>
                  </to>
                </anchor>
              </controlPr>
            </control>
          </mc:Choice>
        </mc:AlternateContent>
        <mc:AlternateContent xmlns:mc="http://schemas.openxmlformats.org/markup-compatibility/2006">
          <mc:Choice Requires="x14">
            <control shapeId="49284" r:id="rId41" name="Button 132">
              <controlPr defaultSize="0" print="0" autoFill="0" autoPict="0" macro="[0]!GoToCostControl">
                <anchor moveWithCells="1">
                  <from>
                    <xdr:col>14</xdr:col>
                    <xdr:colOff>0</xdr:colOff>
                    <xdr:row>393</xdr:row>
                    <xdr:rowOff>29936</xdr:rowOff>
                  </from>
                  <to>
                    <xdr:col>15</xdr:col>
                    <xdr:colOff>620486</xdr:colOff>
                    <xdr:row>395</xdr:row>
                    <xdr:rowOff>0</xdr:rowOff>
                  </to>
                </anchor>
              </controlPr>
            </control>
          </mc:Choice>
        </mc:AlternateContent>
        <mc:AlternateContent xmlns:mc="http://schemas.openxmlformats.org/markup-compatibility/2006">
          <mc:Choice Requires="x14">
            <control shapeId="49285" r:id="rId42" name="Button 133">
              <controlPr defaultSize="0" print="0" autoFill="0" autoPict="0" macro="[0]!GoToCostControl">
                <anchor moveWithCells="1">
                  <from>
                    <xdr:col>14</xdr:col>
                    <xdr:colOff>0</xdr:colOff>
                    <xdr:row>446</xdr:row>
                    <xdr:rowOff>29936</xdr:rowOff>
                  </from>
                  <to>
                    <xdr:col>15</xdr:col>
                    <xdr:colOff>620486</xdr:colOff>
                    <xdr:row>448</xdr:row>
                    <xdr:rowOff>0</xdr:rowOff>
                  </to>
                </anchor>
              </controlPr>
            </control>
          </mc:Choice>
        </mc:AlternateContent>
        <mc:AlternateContent xmlns:mc="http://schemas.openxmlformats.org/markup-compatibility/2006">
          <mc:Choice Requires="x14">
            <control shapeId="49286" r:id="rId43" name="Button 134">
              <controlPr defaultSize="0" print="0" autoFill="0" autoPict="0" macro="[0]!GoToCostControl">
                <anchor moveWithCells="1">
                  <from>
                    <xdr:col>14</xdr:col>
                    <xdr:colOff>0</xdr:colOff>
                    <xdr:row>501</xdr:row>
                    <xdr:rowOff>29936</xdr:rowOff>
                  </from>
                  <to>
                    <xdr:col>15</xdr:col>
                    <xdr:colOff>620486</xdr:colOff>
                    <xdr:row>503</xdr:row>
                    <xdr:rowOff>0</xdr:rowOff>
                  </to>
                </anchor>
              </controlPr>
            </control>
          </mc:Choice>
        </mc:AlternateContent>
        <mc:AlternateContent xmlns:mc="http://schemas.openxmlformats.org/markup-compatibility/2006">
          <mc:Choice Requires="x14">
            <control shapeId="49287" r:id="rId44" name="Button 135">
              <controlPr defaultSize="0" print="0" autoFill="0" autoPict="0" macro="[0]!GoToCostControl">
                <anchor moveWithCells="1">
                  <from>
                    <xdr:col>14</xdr:col>
                    <xdr:colOff>0</xdr:colOff>
                    <xdr:row>557</xdr:row>
                    <xdr:rowOff>29936</xdr:rowOff>
                  </from>
                  <to>
                    <xdr:col>15</xdr:col>
                    <xdr:colOff>620486</xdr:colOff>
                    <xdr:row>559</xdr:row>
                    <xdr:rowOff>0</xdr:rowOff>
                  </to>
                </anchor>
              </controlPr>
            </control>
          </mc:Choice>
        </mc:AlternateContent>
        <mc:AlternateContent xmlns:mc="http://schemas.openxmlformats.org/markup-compatibility/2006">
          <mc:Choice Requires="x14">
            <control shapeId="49288" r:id="rId45" name="Button 136">
              <controlPr defaultSize="0" print="0" autoFill="0" autoPict="0" macro="[0]!GoToCostControl">
                <anchor moveWithCells="1">
                  <from>
                    <xdr:col>14</xdr:col>
                    <xdr:colOff>0</xdr:colOff>
                    <xdr:row>613</xdr:row>
                    <xdr:rowOff>29936</xdr:rowOff>
                  </from>
                  <to>
                    <xdr:col>15</xdr:col>
                    <xdr:colOff>620486</xdr:colOff>
                    <xdr:row>615</xdr:row>
                    <xdr:rowOff>0</xdr:rowOff>
                  </to>
                </anchor>
              </controlPr>
            </control>
          </mc:Choice>
        </mc:AlternateContent>
        <mc:AlternateContent xmlns:mc="http://schemas.openxmlformats.org/markup-compatibility/2006">
          <mc:Choice Requires="x14">
            <control shapeId="49289" r:id="rId46" name="Button 137">
              <controlPr defaultSize="0" print="0" autoFill="0" autoPict="0" macro="[0]!GoToCostControl">
                <anchor moveWithCells="1">
                  <from>
                    <xdr:col>14</xdr:col>
                    <xdr:colOff>0</xdr:colOff>
                    <xdr:row>668</xdr:row>
                    <xdr:rowOff>29936</xdr:rowOff>
                  </from>
                  <to>
                    <xdr:col>15</xdr:col>
                    <xdr:colOff>620486</xdr:colOff>
                    <xdr:row>670</xdr:row>
                    <xdr:rowOff>0</xdr:rowOff>
                  </to>
                </anchor>
              </controlPr>
            </control>
          </mc:Choice>
        </mc:AlternateContent>
        <mc:AlternateContent xmlns:mc="http://schemas.openxmlformats.org/markup-compatibility/2006">
          <mc:Choice Requires="x14">
            <control shapeId="49290" r:id="rId47" name="Button 138">
              <controlPr defaultSize="0" print="0" autoFill="0" autoPict="0" macro="[0]!GoToCostControl">
                <anchor moveWithCells="1">
                  <from>
                    <xdr:col>14</xdr:col>
                    <xdr:colOff>0</xdr:colOff>
                    <xdr:row>722</xdr:row>
                    <xdr:rowOff>29936</xdr:rowOff>
                  </from>
                  <to>
                    <xdr:col>15</xdr:col>
                    <xdr:colOff>620486</xdr:colOff>
                    <xdr:row>724</xdr:row>
                    <xdr:rowOff>0</xdr:rowOff>
                  </to>
                </anchor>
              </controlPr>
            </control>
          </mc:Choice>
        </mc:AlternateContent>
        <mc:AlternateContent xmlns:mc="http://schemas.openxmlformats.org/markup-compatibility/2006">
          <mc:Choice Requires="x14">
            <control shapeId="49291" r:id="rId48" name="Button 139">
              <controlPr defaultSize="0" print="0" autoFill="0" autoPict="0" macro="[0]!GoToCostControl">
                <anchor moveWithCells="1">
                  <from>
                    <xdr:col>14</xdr:col>
                    <xdr:colOff>0</xdr:colOff>
                    <xdr:row>778</xdr:row>
                    <xdr:rowOff>29936</xdr:rowOff>
                  </from>
                  <to>
                    <xdr:col>15</xdr:col>
                    <xdr:colOff>620486</xdr:colOff>
                    <xdr:row>780</xdr:row>
                    <xdr:rowOff>0</xdr:rowOff>
                  </to>
                </anchor>
              </controlPr>
            </control>
          </mc:Choice>
        </mc:AlternateContent>
        <mc:AlternateContent xmlns:mc="http://schemas.openxmlformats.org/markup-compatibility/2006">
          <mc:Choice Requires="x14">
            <control shapeId="49292" r:id="rId49" name="Button 140">
              <controlPr defaultSize="0" print="0" autoFill="0" autoPict="0" macro="[0]!GoToCostControl">
                <anchor moveWithCells="1">
                  <from>
                    <xdr:col>14</xdr:col>
                    <xdr:colOff>0</xdr:colOff>
                    <xdr:row>833</xdr:row>
                    <xdr:rowOff>29936</xdr:rowOff>
                  </from>
                  <to>
                    <xdr:col>15</xdr:col>
                    <xdr:colOff>620486</xdr:colOff>
                    <xdr:row>835</xdr:row>
                    <xdr:rowOff>0</xdr:rowOff>
                  </to>
                </anchor>
              </controlPr>
            </control>
          </mc:Choice>
        </mc:AlternateContent>
        <mc:AlternateContent xmlns:mc="http://schemas.openxmlformats.org/markup-compatibility/2006">
          <mc:Choice Requires="x14">
            <control shapeId="49293" r:id="rId50" name="Button 141">
              <controlPr defaultSize="0" print="0" autoFill="0" autoPict="0" macro="[0]!GoToCostControl">
                <anchor moveWithCells="1">
                  <from>
                    <xdr:col>14</xdr:col>
                    <xdr:colOff>0</xdr:colOff>
                    <xdr:row>888</xdr:row>
                    <xdr:rowOff>29936</xdr:rowOff>
                  </from>
                  <to>
                    <xdr:col>15</xdr:col>
                    <xdr:colOff>620486</xdr:colOff>
                    <xdr:row>890</xdr:row>
                    <xdr:rowOff>0</xdr:rowOff>
                  </to>
                </anchor>
              </controlPr>
            </control>
          </mc:Choice>
        </mc:AlternateContent>
        <mc:AlternateContent xmlns:mc="http://schemas.openxmlformats.org/markup-compatibility/2006">
          <mc:Choice Requires="x14">
            <control shapeId="49294" r:id="rId51" name="Button 142">
              <controlPr defaultSize="0" print="0" autoFill="0" autoPict="0" macro="[0]!GoToCostControl">
                <anchor moveWithCells="1">
                  <from>
                    <xdr:col>14</xdr:col>
                    <xdr:colOff>0</xdr:colOff>
                    <xdr:row>943</xdr:row>
                    <xdr:rowOff>29936</xdr:rowOff>
                  </from>
                  <to>
                    <xdr:col>15</xdr:col>
                    <xdr:colOff>620486</xdr:colOff>
                    <xdr:row>945</xdr:row>
                    <xdr:rowOff>0</xdr:rowOff>
                  </to>
                </anchor>
              </controlPr>
            </control>
          </mc:Choice>
        </mc:AlternateContent>
        <mc:AlternateContent xmlns:mc="http://schemas.openxmlformats.org/markup-compatibility/2006">
          <mc:Choice Requires="x14">
            <control shapeId="49295" r:id="rId52" name="Button 143">
              <controlPr defaultSize="0" print="0" autoFill="0" autoPict="0" macro="[0]!GoToCostControl">
                <anchor moveWithCells="1">
                  <from>
                    <xdr:col>14</xdr:col>
                    <xdr:colOff>0</xdr:colOff>
                    <xdr:row>998</xdr:row>
                    <xdr:rowOff>29936</xdr:rowOff>
                  </from>
                  <to>
                    <xdr:col>15</xdr:col>
                    <xdr:colOff>620486</xdr:colOff>
                    <xdr:row>1000</xdr:row>
                    <xdr:rowOff>0</xdr:rowOff>
                  </to>
                </anchor>
              </controlPr>
            </control>
          </mc:Choice>
        </mc:AlternateContent>
        <mc:AlternateContent xmlns:mc="http://schemas.openxmlformats.org/markup-compatibility/2006">
          <mc:Choice Requires="x14">
            <control shapeId="49296" r:id="rId53" name="Button 144">
              <controlPr defaultSize="0" print="0" autoFill="0" autoPict="0" macro="[0]!GoToCostControl">
                <anchor moveWithCells="1">
                  <from>
                    <xdr:col>14</xdr:col>
                    <xdr:colOff>0</xdr:colOff>
                    <xdr:row>1053</xdr:row>
                    <xdr:rowOff>29936</xdr:rowOff>
                  </from>
                  <to>
                    <xdr:col>15</xdr:col>
                    <xdr:colOff>620486</xdr:colOff>
                    <xdr:row>1055</xdr:row>
                    <xdr:rowOff>0</xdr:rowOff>
                  </to>
                </anchor>
              </controlPr>
            </control>
          </mc:Choice>
        </mc:AlternateContent>
        <mc:AlternateContent xmlns:mc="http://schemas.openxmlformats.org/markup-compatibility/2006">
          <mc:Choice Requires="x14">
            <control shapeId="49297" r:id="rId54" name="Button 145">
              <controlPr defaultSize="0" print="0" autoFill="0" autoPict="0" macro="[0]!GoToCostControl">
                <anchor moveWithCells="1">
                  <from>
                    <xdr:col>14</xdr:col>
                    <xdr:colOff>0</xdr:colOff>
                    <xdr:row>1107</xdr:row>
                    <xdr:rowOff>29936</xdr:rowOff>
                  </from>
                  <to>
                    <xdr:col>15</xdr:col>
                    <xdr:colOff>620486</xdr:colOff>
                    <xdr:row>1109</xdr:row>
                    <xdr:rowOff>0</xdr:rowOff>
                  </to>
                </anchor>
              </controlPr>
            </control>
          </mc:Choice>
        </mc:AlternateContent>
        <mc:AlternateContent xmlns:mc="http://schemas.openxmlformats.org/markup-compatibility/2006">
          <mc:Choice Requires="x14">
            <control shapeId="49298" r:id="rId55" name="Button 146">
              <controlPr defaultSize="0" print="0" autoFill="0" autoPict="0" macro="[0]!GoToCostControl">
                <anchor moveWithCells="1">
                  <from>
                    <xdr:col>14</xdr:col>
                    <xdr:colOff>0</xdr:colOff>
                    <xdr:row>1162</xdr:row>
                    <xdr:rowOff>29936</xdr:rowOff>
                  </from>
                  <to>
                    <xdr:col>15</xdr:col>
                    <xdr:colOff>620486</xdr:colOff>
                    <xdr:row>1164</xdr:row>
                    <xdr:rowOff>0</xdr:rowOff>
                  </to>
                </anchor>
              </controlPr>
            </control>
          </mc:Choice>
        </mc:AlternateContent>
        <mc:AlternateContent xmlns:mc="http://schemas.openxmlformats.org/markup-compatibility/2006">
          <mc:Choice Requires="x14">
            <control shapeId="49299" r:id="rId56" name="Button 147">
              <controlPr defaultSize="0" print="0" autoFill="0" autoPict="0" macro="[0]!GoToCostControl">
                <anchor moveWithCells="1">
                  <from>
                    <xdr:col>14</xdr:col>
                    <xdr:colOff>0</xdr:colOff>
                    <xdr:row>1217</xdr:row>
                    <xdr:rowOff>29936</xdr:rowOff>
                  </from>
                  <to>
                    <xdr:col>15</xdr:col>
                    <xdr:colOff>620486</xdr:colOff>
                    <xdr:row>1219</xdr:row>
                    <xdr:rowOff>0</xdr:rowOff>
                  </to>
                </anchor>
              </controlPr>
            </control>
          </mc:Choice>
        </mc:AlternateContent>
        <mc:AlternateContent xmlns:mc="http://schemas.openxmlformats.org/markup-compatibility/2006">
          <mc:Choice Requires="x14">
            <control shapeId="49300" r:id="rId57" name="Button 148">
              <controlPr defaultSize="0" print="0" autoFill="0" autoPict="0" macro="[0]!GoToCostControl">
                <anchor moveWithCells="1">
                  <from>
                    <xdr:col>14</xdr:col>
                    <xdr:colOff>0</xdr:colOff>
                    <xdr:row>1272</xdr:row>
                    <xdr:rowOff>29936</xdr:rowOff>
                  </from>
                  <to>
                    <xdr:col>15</xdr:col>
                    <xdr:colOff>620486</xdr:colOff>
                    <xdr:row>1274</xdr:row>
                    <xdr:rowOff>0</xdr:rowOff>
                  </to>
                </anchor>
              </controlPr>
            </control>
          </mc:Choice>
        </mc:AlternateContent>
        <mc:AlternateContent xmlns:mc="http://schemas.openxmlformats.org/markup-compatibility/2006">
          <mc:Choice Requires="x14">
            <control shapeId="49301" r:id="rId58" name="Button 149">
              <controlPr defaultSize="0" print="0" autoFill="0" autoPict="0" macro="[0]!GoToCostControl">
                <anchor moveWithCells="1">
                  <from>
                    <xdr:col>14</xdr:col>
                    <xdr:colOff>0</xdr:colOff>
                    <xdr:row>1328</xdr:row>
                    <xdr:rowOff>29936</xdr:rowOff>
                  </from>
                  <to>
                    <xdr:col>15</xdr:col>
                    <xdr:colOff>620486</xdr:colOff>
                    <xdr:row>1330</xdr:row>
                    <xdr:rowOff>0</xdr:rowOff>
                  </to>
                </anchor>
              </controlPr>
            </control>
          </mc:Choice>
        </mc:AlternateContent>
        <mc:AlternateContent xmlns:mc="http://schemas.openxmlformats.org/markup-compatibility/2006">
          <mc:Choice Requires="x14">
            <control shapeId="49302" r:id="rId59" name="Button 150">
              <controlPr defaultSize="0" print="0" autoFill="0" autoPict="0" macro="[0]!GoToCostControl">
                <anchor moveWithCells="1">
                  <from>
                    <xdr:col>14</xdr:col>
                    <xdr:colOff>0</xdr:colOff>
                    <xdr:row>1385</xdr:row>
                    <xdr:rowOff>29936</xdr:rowOff>
                  </from>
                  <to>
                    <xdr:col>15</xdr:col>
                    <xdr:colOff>620486</xdr:colOff>
                    <xdr:row>1387</xdr:row>
                    <xdr:rowOff>0</xdr:rowOff>
                  </to>
                </anchor>
              </controlPr>
            </control>
          </mc:Choice>
        </mc:AlternateContent>
        <mc:AlternateContent xmlns:mc="http://schemas.openxmlformats.org/markup-compatibility/2006">
          <mc:Choice Requires="x14">
            <control shapeId="49303" r:id="rId60" name="Button 151">
              <controlPr defaultSize="0" print="0" autoFill="0" autoPict="0" macro="[0]!GoToCostControl">
                <anchor moveWithCells="1">
                  <from>
                    <xdr:col>14</xdr:col>
                    <xdr:colOff>0</xdr:colOff>
                    <xdr:row>1439</xdr:row>
                    <xdr:rowOff>29936</xdr:rowOff>
                  </from>
                  <to>
                    <xdr:col>15</xdr:col>
                    <xdr:colOff>620486</xdr:colOff>
                    <xdr:row>1441</xdr:row>
                    <xdr:rowOff>0</xdr:rowOff>
                  </to>
                </anchor>
              </controlPr>
            </control>
          </mc:Choice>
        </mc:AlternateContent>
        <mc:AlternateContent xmlns:mc="http://schemas.openxmlformats.org/markup-compatibility/2006">
          <mc:Choice Requires="x14">
            <control shapeId="49304" r:id="rId61" name="Button 152">
              <controlPr defaultSize="0" print="0" autoFill="0" autoPict="0" macro="[0]!GoToCostControl">
                <anchor moveWithCells="1">
                  <from>
                    <xdr:col>14</xdr:col>
                    <xdr:colOff>0</xdr:colOff>
                    <xdr:row>1494</xdr:row>
                    <xdr:rowOff>29936</xdr:rowOff>
                  </from>
                  <to>
                    <xdr:col>15</xdr:col>
                    <xdr:colOff>620486</xdr:colOff>
                    <xdr:row>1496</xdr:row>
                    <xdr:rowOff>0</xdr:rowOff>
                  </to>
                </anchor>
              </controlPr>
            </control>
          </mc:Choice>
        </mc:AlternateContent>
        <mc:AlternateContent xmlns:mc="http://schemas.openxmlformats.org/markup-compatibility/2006">
          <mc:Choice Requires="x14">
            <control shapeId="49305" r:id="rId62" name="Button 153">
              <controlPr defaultSize="0" print="0" autoFill="0" autoPict="0" macro="[0]!GoToCostControl">
                <anchor moveWithCells="1">
                  <from>
                    <xdr:col>14</xdr:col>
                    <xdr:colOff>0</xdr:colOff>
                    <xdr:row>1549</xdr:row>
                    <xdr:rowOff>29936</xdr:rowOff>
                  </from>
                  <to>
                    <xdr:col>15</xdr:col>
                    <xdr:colOff>620486</xdr:colOff>
                    <xdr:row>1551</xdr:row>
                    <xdr:rowOff>0</xdr:rowOff>
                  </to>
                </anchor>
              </controlPr>
            </control>
          </mc:Choice>
        </mc:AlternateContent>
        <mc:AlternateContent xmlns:mc="http://schemas.openxmlformats.org/markup-compatibility/2006">
          <mc:Choice Requires="x14">
            <control shapeId="49306" r:id="rId63" name="Button 154">
              <controlPr defaultSize="0" print="0" autoFill="0" autoPict="0" macro="[0]!GoToCostControl">
                <anchor moveWithCells="1">
                  <from>
                    <xdr:col>14</xdr:col>
                    <xdr:colOff>0</xdr:colOff>
                    <xdr:row>1603</xdr:row>
                    <xdr:rowOff>29936</xdr:rowOff>
                  </from>
                  <to>
                    <xdr:col>15</xdr:col>
                    <xdr:colOff>620486</xdr:colOff>
                    <xdr:row>1605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FF55B6C-CE17-4B2C-BFF2-3207361F1A65}">
          <x14:formula1>
            <xm:f>'Data Validation'!$C$2:$D$2</xm:f>
          </x14:formula1>
          <xm:sqref>H50 H104 H159</xm:sqref>
        </x14:dataValidation>
        <x14:dataValidation type="list" allowBlank="1" showInputMessage="1" showErrorMessage="1" xr:uid="{4BCD1AAB-14BE-45CB-8D44-37A341035878}">
          <x14:formula1>
            <xm:f>'Data Validation'!$C$12:$D$12</xm:f>
          </x14:formula1>
          <xm:sqref>M47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D1C24-BA78-44C7-84E7-8BA902634C3D}">
  <sheetPr codeName="Sheet27">
    <tabColor rgb="FFFF0000"/>
  </sheetPr>
  <dimension ref="A1:AD122"/>
  <sheetViews>
    <sheetView showGridLines="0" showZeros="0" zoomScale="90" zoomScaleNormal="90" workbookViewId="0">
      <selection activeCell="A61" sqref="A61"/>
    </sheetView>
  </sheetViews>
  <sheetFormatPr defaultRowHeight="12.9"/>
  <sheetData>
    <row r="1" spans="1:30">
      <c r="A1" s="42"/>
      <c r="B1" s="50"/>
      <c r="C1" s="1963" t="s">
        <v>1452</v>
      </c>
      <c r="D1" s="1963"/>
      <c r="E1" s="1963"/>
      <c r="F1" s="1963"/>
      <c r="G1" s="1963"/>
      <c r="H1" s="1963"/>
      <c r="I1" s="50"/>
      <c r="J1" s="43"/>
      <c r="K1" s="42"/>
      <c r="L1" s="50"/>
      <c r="M1" s="1963" t="s">
        <v>1452</v>
      </c>
      <c r="N1" s="1963"/>
      <c r="O1" s="1963"/>
      <c r="P1" s="1963"/>
      <c r="Q1" s="1963"/>
      <c r="R1" s="1963"/>
      <c r="S1" s="50"/>
      <c r="T1" s="43"/>
      <c r="U1" s="42"/>
      <c r="V1" s="50"/>
      <c r="W1" s="1963" t="s">
        <v>1452</v>
      </c>
      <c r="X1" s="1963"/>
      <c r="Y1" s="1963"/>
      <c r="Z1" s="1963"/>
      <c r="AA1" s="1963"/>
      <c r="AB1" s="1963"/>
      <c r="AC1" s="50"/>
      <c r="AD1" s="43"/>
    </row>
    <row r="2" spans="1:30">
      <c r="A2" s="44"/>
      <c r="C2" s="1664"/>
      <c r="D2" s="1664"/>
      <c r="E2" s="1664"/>
      <c r="F2" s="1664"/>
      <c r="G2" s="1664"/>
      <c r="H2" s="1664"/>
      <c r="J2" s="45"/>
      <c r="K2" s="44"/>
      <c r="M2" s="1664"/>
      <c r="N2" s="1664"/>
      <c r="O2" s="1664"/>
      <c r="P2" s="1664"/>
      <c r="Q2" s="1664"/>
      <c r="R2" s="1664"/>
      <c r="T2" s="45"/>
      <c r="U2" s="44"/>
      <c r="W2" s="1664"/>
      <c r="X2" s="1664"/>
      <c r="Y2" s="1664"/>
      <c r="Z2" s="1664"/>
      <c r="AA2" s="1664"/>
      <c r="AB2" s="1664"/>
      <c r="AD2" s="45"/>
    </row>
    <row r="3" spans="1:30" ht="13.1">
      <c r="A3" s="137"/>
      <c r="B3" s="22"/>
      <c r="C3" s="22"/>
      <c r="D3" s="22"/>
      <c r="E3" s="22"/>
      <c r="F3" s="22"/>
      <c r="G3" s="22"/>
      <c r="H3" s="22"/>
      <c r="I3" s="22"/>
      <c r="J3" s="144"/>
      <c r="K3" s="137"/>
      <c r="L3" s="22"/>
      <c r="M3" s="22"/>
      <c r="N3" s="22"/>
      <c r="O3" s="22"/>
      <c r="P3" s="22"/>
      <c r="Q3" s="22"/>
      <c r="R3" s="22"/>
      <c r="S3" s="22"/>
      <c r="T3" s="144"/>
      <c r="U3" s="137"/>
      <c r="V3" s="22"/>
      <c r="W3" s="22"/>
      <c r="X3" s="22"/>
      <c r="Y3" s="22"/>
      <c r="Z3" s="22"/>
      <c r="AA3" s="22"/>
      <c r="AB3" s="22"/>
      <c r="AC3" s="22"/>
      <c r="AD3" s="144"/>
    </row>
    <row r="4" spans="1:30" ht="13.1">
      <c r="A4" s="137"/>
      <c r="B4" s="161">
        <f>'Daily Load'!O531</f>
        <v>0</v>
      </c>
      <c r="C4" s="22"/>
      <c r="D4" s="22"/>
      <c r="E4" s="22"/>
      <c r="F4" s="22"/>
      <c r="G4" s="22"/>
      <c r="H4" s="22"/>
      <c r="I4" s="22"/>
      <c r="J4" s="144"/>
      <c r="K4" s="137"/>
      <c r="L4" s="161">
        <f>'Daily Load'!U531</f>
        <v>0</v>
      </c>
      <c r="M4" s="22"/>
      <c r="N4" s="22"/>
      <c r="O4" s="22"/>
      <c r="P4" s="22"/>
      <c r="Q4" s="22"/>
      <c r="R4" s="22"/>
      <c r="S4" s="22"/>
      <c r="T4" s="144"/>
      <c r="U4" s="137"/>
      <c r="V4" s="161">
        <f>Summary!H32</f>
        <v>0</v>
      </c>
      <c r="W4" s="22"/>
      <c r="X4" s="22"/>
      <c r="Y4" s="22"/>
      <c r="Z4" s="22"/>
      <c r="AA4" s="22"/>
      <c r="AB4" s="22"/>
      <c r="AC4" s="22"/>
      <c r="AD4" s="144"/>
    </row>
    <row r="5" spans="1:30" ht="13.1">
      <c r="A5" s="137"/>
      <c r="B5" s="22" t="s">
        <v>634</v>
      </c>
      <c r="C5" s="22">
        <f>Summary!C6</f>
        <v>0</v>
      </c>
      <c r="D5" s="22"/>
      <c r="E5" s="22"/>
      <c r="F5" s="22"/>
      <c r="G5" s="22"/>
      <c r="H5" s="22" t="s">
        <v>221</v>
      </c>
      <c r="I5" s="2196">
        <f>Summary!C4</f>
        <v>0</v>
      </c>
      <c r="J5" s="2197"/>
      <c r="K5" s="137"/>
      <c r="L5" s="22" t="s">
        <v>634</v>
      </c>
      <c r="M5" s="22">
        <f>C5</f>
        <v>0</v>
      </c>
      <c r="N5" s="22"/>
      <c r="O5" s="22"/>
      <c r="P5" s="22"/>
      <c r="Q5" s="22"/>
      <c r="R5" s="22" t="s">
        <v>221</v>
      </c>
      <c r="S5" s="2196">
        <f>Summary!C4</f>
        <v>0</v>
      </c>
      <c r="T5" s="2197"/>
      <c r="U5" s="137"/>
      <c r="V5" s="22" t="s">
        <v>634</v>
      </c>
      <c r="W5" s="22">
        <f>M5</f>
        <v>0</v>
      </c>
      <c r="X5" s="22"/>
      <c r="Y5" s="22"/>
      <c r="Z5" s="22"/>
      <c r="AA5" s="22"/>
      <c r="AB5" s="22" t="s">
        <v>221</v>
      </c>
      <c r="AC5" s="2196">
        <f>S5</f>
        <v>0</v>
      </c>
      <c r="AD5" s="2197"/>
    </row>
    <row r="6" spans="1:30">
      <c r="A6" s="44"/>
      <c r="B6" s="368"/>
      <c r="C6" s="369"/>
      <c r="D6" s="2185" t="s">
        <v>808</v>
      </c>
      <c r="E6" s="2185"/>
      <c r="F6" s="2185"/>
      <c r="G6" s="2185"/>
      <c r="H6" s="369"/>
      <c r="I6" s="370"/>
      <c r="J6" s="45"/>
      <c r="K6" s="44"/>
      <c r="L6" s="368"/>
      <c r="M6" s="369"/>
      <c r="N6" s="2185" t="s">
        <v>808</v>
      </c>
      <c r="O6" s="2185"/>
      <c r="P6" s="2185"/>
      <c r="Q6" s="2185"/>
      <c r="R6" s="369"/>
      <c r="S6" s="370"/>
      <c r="T6" s="45"/>
      <c r="U6" s="44"/>
      <c r="V6" s="368"/>
      <c r="W6" s="369"/>
      <c r="X6" s="2185" t="s">
        <v>808</v>
      </c>
      <c r="Y6" s="2185"/>
      <c r="Z6" s="2185"/>
      <c r="AA6" s="2185"/>
      <c r="AB6" s="369"/>
      <c r="AC6" s="370"/>
      <c r="AD6" s="45"/>
    </row>
    <row r="7" spans="1:30">
      <c r="A7" s="44"/>
      <c r="B7" s="371"/>
      <c r="C7" s="372"/>
      <c r="D7" s="2187"/>
      <c r="E7" s="2187"/>
      <c r="F7" s="2187"/>
      <c r="G7" s="2187"/>
      <c r="H7" s="372"/>
      <c r="I7" s="373"/>
      <c r="J7" s="45"/>
      <c r="K7" s="44"/>
      <c r="L7" s="371"/>
      <c r="M7" s="372"/>
      <c r="N7" s="2187"/>
      <c r="O7" s="2187"/>
      <c r="P7" s="2187"/>
      <c r="Q7" s="2187"/>
      <c r="R7" s="372"/>
      <c r="S7" s="373"/>
      <c r="T7" s="45"/>
      <c r="U7" s="44"/>
      <c r="V7" s="371"/>
      <c r="W7" s="372"/>
      <c r="X7" s="2187"/>
      <c r="Y7" s="2187"/>
      <c r="Z7" s="2187"/>
      <c r="AA7" s="2187"/>
      <c r="AB7" s="372"/>
      <c r="AC7" s="373"/>
      <c r="AD7" s="45"/>
    </row>
    <row r="8" spans="1:30" ht="25.5" customHeight="1">
      <c r="A8" s="44"/>
      <c r="B8" s="374" t="s">
        <v>809</v>
      </c>
      <c r="C8" s="374" t="s">
        <v>810</v>
      </c>
      <c r="D8" s="2192" t="s">
        <v>811</v>
      </c>
      <c r="E8" s="2192"/>
      <c r="F8" s="2192" t="s">
        <v>812</v>
      </c>
      <c r="G8" s="2192"/>
      <c r="H8" s="374" t="s">
        <v>813</v>
      </c>
      <c r="I8" s="374" t="s">
        <v>1567</v>
      </c>
      <c r="J8" s="45"/>
      <c r="K8" s="44"/>
      <c r="L8" s="374" t="s">
        <v>809</v>
      </c>
      <c r="M8" s="374" t="s">
        <v>810</v>
      </c>
      <c r="N8" s="2192" t="s">
        <v>811</v>
      </c>
      <c r="O8" s="2192"/>
      <c r="P8" s="2192" t="s">
        <v>812</v>
      </c>
      <c r="Q8" s="2192"/>
      <c r="R8" s="374" t="s">
        <v>813</v>
      </c>
      <c r="S8" s="374" t="str">
        <f>I8</f>
        <v>Vol BBLS</v>
      </c>
      <c r="T8" s="45"/>
      <c r="U8" s="44"/>
      <c r="V8" s="374" t="s">
        <v>809</v>
      </c>
      <c r="W8" s="374" t="s">
        <v>810</v>
      </c>
      <c r="X8" s="2192" t="s">
        <v>811</v>
      </c>
      <c r="Y8" s="2192"/>
      <c r="Z8" s="2192" t="s">
        <v>812</v>
      </c>
      <c r="AA8" s="2192"/>
      <c r="AB8" s="374" t="s">
        <v>813</v>
      </c>
      <c r="AC8" s="374" t="str">
        <f>S8</f>
        <v>Vol BBLS</v>
      </c>
      <c r="AD8" s="45"/>
    </row>
    <row r="9" spans="1:30">
      <c r="A9" s="44"/>
      <c r="B9" s="387"/>
      <c r="C9" s="351"/>
      <c r="D9" s="195"/>
      <c r="E9" s="30"/>
      <c r="F9" s="195"/>
      <c r="G9" s="30"/>
      <c r="H9" s="618"/>
      <c r="I9" s="350"/>
      <c r="J9" s="45"/>
      <c r="K9" s="44"/>
      <c r="L9" s="387"/>
      <c r="M9" s="351"/>
      <c r="N9" s="195"/>
      <c r="O9" s="30"/>
      <c r="P9" s="195"/>
      <c r="Q9" s="30"/>
      <c r="R9" s="618"/>
      <c r="S9" s="350"/>
      <c r="T9" s="45"/>
      <c r="U9" s="44"/>
      <c r="V9" s="387"/>
      <c r="W9" s="351"/>
      <c r="X9" s="195"/>
      <c r="Y9" s="30"/>
      <c r="Z9" s="195"/>
      <c r="AA9" s="30"/>
      <c r="AB9" s="502"/>
      <c r="AC9" s="350"/>
      <c r="AD9" s="45"/>
    </row>
    <row r="10" spans="1:30">
      <c r="A10" s="44"/>
      <c r="B10" s="388"/>
      <c r="C10" s="375"/>
      <c r="D10" s="31"/>
      <c r="E10" s="32"/>
      <c r="F10" s="31"/>
      <c r="G10" s="32"/>
      <c r="H10" s="619"/>
      <c r="I10" s="386"/>
      <c r="J10" s="45"/>
      <c r="K10" s="44"/>
      <c r="L10" s="388"/>
      <c r="M10" s="375"/>
      <c r="N10" s="31"/>
      <c r="O10" s="32"/>
      <c r="P10" s="31"/>
      <c r="Q10" s="32"/>
      <c r="R10" s="619"/>
      <c r="S10" s="386"/>
      <c r="T10" s="45"/>
      <c r="U10" s="44"/>
      <c r="V10" s="388"/>
      <c r="W10" s="375"/>
      <c r="X10" s="31"/>
      <c r="Y10" s="32"/>
      <c r="Z10" s="31"/>
      <c r="AA10" s="32"/>
      <c r="AB10" s="504"/>
      <c r="AC10" s="386"/>
      <c r="AD10" s="45"/>
    </row>
    <row r="11" spans="1:30">
      <c r="A11" s="44"/>
      <c r="B11" s="388"/>
      <c r="C11" s="375"/>
      <c r="D11" s="31"/>
      <c r="E11" s="32"/>
      <c r="F11" s="31"/>
      <c r="G11" s="32"/>
      <c r="H11" s="619"/>
      <c r="I11" s="386"/>
      <c r="J11" s="45"/>
      <c r="K11" s="44"/>
      <c r="L11" s="388"/>
      <c r="M11" s="375"/>
      <c r="N11" s="31"/>
      <c r="O11" s="32"/>
      <c r="P11" s="31"/>
      <c r="Q11" s="32"/>
      <c r="R11" s="619"/>
      <c r="S11" s="386"/>
      <c r="T11" s="45"/>
      <c r="U11" s="44"/>
      <c r="V11" s="388"/>
      <c r="W11" s="375"/>
      <c r="X11" s="31"/>
      <c r="Y11" s="32"/>
      <c r="Z11" s="31"/>
      <c r="AA11" s="32"/>
      <c r="AB11" s="504"/>
      <c r="AC11" s="386"/>
      <c r="AD11" s="45"/>
    </row>
    <row r="12" spans="1:30">
      <c r="A12" s="44"/>
      <c r="B12" s="388"/>
      <c r="C12" s="375"/>
      <c r="D12" s="31"/>
      <c r="E12" s="32"/>
      <c r="F12" s="31"/>
      <c r="G12" s="32"/>
      <c r="H12" s="619"/>
      <c r="I12" s="386"/>
      <c r="J12" s="45"/>
      <c r="K12" s="44"/>
      <c r="L12" s="388"/>
      <c r="M12" s="375"/>
      <c r="N12" s="31"/>
      <c r="O12" s="32"/>
      <c r="P12" s="31"/>
      <c r="Q12" s="32"/>
      <c r="R12" s="619"/>
      <c r="S12" s="386"/>
      <c r="T12" s="45"/>
      <c r="U12" s="44"/>
      <c r="V12" s="388"/>
      <c r="W12" s="375"/>
      <c r="X12" s="31"/>
      <c r="Y12" s="32"/>
      <c r="Z12" s="31"/>
      <c r="AA12" s="32"/>
      <c r="AB12" s="504"/>
      <c r="AC12" s="386"/>
      <c r="AD12" s="45"/>
    </row>
    <row r="13" spans="1:30">
      <c r="A13" s="44"/>
      <c r="B13" s="388"/>
      <c r="C13" s="375"/>
      <c r="D13" s="31"/>
      <c r="E13" s="32"/>
      <c r="F13" s="31"/>
      <c r="G13" s="32"/>
      <c r="H13" s="619"/>
      <c r="I13" s="386"/>
      <c r="J13" s="45"/>
      <c r="K13" s="44"/>
      <c r="L13" s="388"/>
      <c r="M13" s="375"/>
      <c r="N13" s="31"/>
      <c r="O13" s="32"/>
      <c r="P13" s="31"/>
      <c r="Q13" s="32"/>
      <c r="R13" s="619"/>
      <c r="S13" s="386">
        <v>0</v>
      </c>
      <c r="T13" s="45"/>
      <c r="U13" s="44"/>
      <c r="V13" s="388"/>
      <c r="W13" s="375"/>
      <c r="X13" s="31"/>
      <c r="Y13" s="32"/>
      <c r="Z13" s="31"/>
      <c r="AA13" s="32"/>
      <c r="AB13" s="504"/>
      <c r="AC13" s="386">
        <v>0</v>
      </c>
      <c r="AD13" s="45"/>
    </row>
    <row r="14" spans="1:30">
      <c r="A14" s="44"/>
      <c r="B14" s="388"/>
      <c r="C14" s="375"/>
      <c r="D14" s="31"/>
      <c r="E14" s="32"/>
      <c r="F14" s="31"/>
      <c r="G14" s="32"/>
      <c r="H14" s="619"/>
      <c r="I14" s="386"/>
      <c r="J14" s="45"/>
      <c r="K14" s="44"/>
      <c r="L14" s="388"/>
      <c r="M14" s="375"/>
      <c r="N14" s="31"/>
      <c r="O14" s="32"/>
      <c r="P14" s="31"/>
      <c r="Q14" s="32"/>
      <c r="R14" s="619"/>
      <c r="S14" s="386"/>
      <c r="T14" s="45"/>
      <c r="U14" s="44"/>
      <c r="V14" s="388"/>
      <c r="W14" s="375"/>
      <c r="X14" s="31"/>
      <c r="Y14" s="32"/>
      <c r="Z14" s="31"/>
      <c r="AA14" s="32"/>
      <c r="AB14" s="504"/>
      <c r="AC14" s="386"/>
      <c r="AD14" s="45"/>
    </row>
    <row r="15" spans="1:30">
      <c r="A15" s="44"/>
      <c r="B15" s="388"/>
      <c r="C15" s="375"/>
      <c r="D15" s="31"/>
      <c r="E15" s="32"/>
      <c r="F15" s="31"/>
      <c r="G15" s="32"/>
      <c r="H15" s="619"/>
      <c r="I15" s="386">
        <v>0</v>
      </c>
      <c r="J15" s="45"/>
      <c r="K15" s="44"/>
      <c r="L15" s="388"/>
      <c r="M15" s="375"/>
      <c r="N15" s="31"/>
      <c r="O15" s="32"/>
      <c r="P15" s="31"/>
      <c r="Q15" s="32"/>
      <c r="R15" s="619"/>
      <c r="S15" s="386"/>
      <c r="T15" s="45"/>
      <c r="U15" s="44"/>
      <c r="V15" s="388"/>
      <c r="W15" s="375"/>
      <c r="X15" s="31"/>
      <c r="Y15" s="32"/>
      <c r="Z15" s="31"/>
      <c r="AA15" s="32"/>
      <c r="AB15" s="504"/>
      <c r="AC15" s="386"/>
      <c r="AD15" s="45"/>
    </row>
    <row r="16" spans="1:30">
      <c r="A16" s="44"/>
      <c r="B16" s="388"/>
      <c r="C16" s="375"/>
      <c r="D16" s="31"/>
      <c r="E16" s="32"/>
      <c r="F16" s="31"/>
      <c r="G16" s="32"/>
      <c r="H16" s="619"/>
      <c r="I16" s="386"/>
      <c r="J16" s="45"/>
      <c r="K16" s="44"/>
      <c r="L16" s="388"/>
      <c r="M16" s="375"/>
      <c r="N16" s="31"/>
      <c r="O16" s="32"/>
      <c r="P16" s="31"/>
      <c r="Q16" s="32"/>
      <c r="R16" s="619"/>
      <c r="S16" s="386"/>
      <c r="T16" s="45"/>
      <c r="U16" s="44"/>
      <c r="V16" s="388"/>
      <c r="W16" s="375"/>
      <c r="X16" s="31"/>
      <c r="Y16" s="32"/>
      <c r="Z16" s="31"/>
      <c r="AA16" s="32"/>
      <c r="AB16" s="504"/>
      <c r="AC16" s="386"/>
      <c r="AD16" s="45"/>
    </row>
    <row r="17" spans="1:30">
      <c r="A17" s="44"/>
      <c r="B17" s="388"/>
      <c r="C17" s="375"/>
      <c r="D17" s="31"/>
      <c r="E17" s="32"/>
      <c r="F17" s="31"/>
      <c r="G17" s="32"/>
      <c r="H17" s="619"/>
      <c r="I17" s="386"/>
      <c r="J17" s="45"/>
      <c r="K17" s="44"/>
      <c r="L17" s="388"/>
      <c r="M17" s="375"/>
      <c r="N17" s="31"/>
      <c r="O17" s="32"/>
      <c r="P17" s="31"/>
      <c r="Q17" s="32"/>
      <c r="R17" s="619"/>
      <c r="S17" s="386"/>
      <c r="T17" s="45"/>
      <c r="U17" s="44"/>
      <c r="V17" s="388"/>
      <c r="W17" s="375"/>
      <c r="X17" s="31"/>
      <c r="Y17" s="32"/>
      <c r="Z17" s="31"/>
      <c r="AA17" s="32"/>
      <c r="AB17" s="504"/>
      <c r="AC17" s="386"/>
      <c r="AD17" s="45"/>
    </row>
    <row r="18" spans="1:30">
      <c r="A18" s="44"/>
      <c r="B18" s="388"/>
      <c r="C18" s="375"/>
      <c r="D18" s="31"/>
      <c r="E18" s="32"/>
      <c r="F18" s="31"/>
      <c r="G18" s="32"/>
      <c r="H18" s="619"/>
      <c r="I18" s="386"/>
      <c r="J18" s="45"/>
      <c r="K18" s="44"/>
      <c r="L18" s="388"/>
      <c r="M18" s="375"/>
      <c r="N18" s="31"/>
      <c r="O18" s="32"/>
      <c r="P18" s="31"/>
      <c r="Q18" s="32"/>
      <c r="R18" s="619"/>
      <c r="S18" s="386"/>
      <c r="T18" s="45"/>
      <c r="U18" s="44"/>
      <c r="V18" s="388"/>
      <c r="W18" s="375"/>
      <c r="X18" s="31"/>
      <c r="Y18" s="32"/>
      <c r="Z18" s="31"/>
      <c r="AA18" s="32"/>
      <c r="AB18" s="504"/>
      <c r="AC18" s="386"/>
      <c r="AD18" s="45"/>
    </row>
    <row r="19" spans="1:30">
      <c r="A19" s="44"/>
      <c r="B19" s="389"/>
      <c r="C19" s="355"/>
      <c r="D19" s="33"/>
      <c r="E19" s="34"/>
      <c r="F19" s="33"/>
      <c r="G19" s="34"/>
      <c r="H19" s="620"/>
      <c r="I19" s="354"/>
      <c r="J19" s="45"/>
      <c r="K19" s="44"/>
      <c r="L19" s="389"/>
      <c r="M19" s="355"/>
      <c r="N19" s="33"/>
      <c r="O19" s="34"/>
      <c r="P19" s="33"/>
      <c r="Q19" s="34"/>
      <c r="R19" s="620"/>
      <c r="S19" s="354"/>
      <c r="T19" s="45"/>
      <c r="U19" s="44"/>
      <c r="V19" s="389"/>
      <c r="W19" s="355"/>
      <c r="X19" s="33"/>
      <c r="Y19" s="34"/>
      <c r="Z19" s="33"/>
      <c r="AA19" s="34"/>
      <c r="AB19" s="503"/>
      <c r="AC19" s="354"/>
      <c r="AD19" s="45"/>
    </row>
    <row r="20" spans="1:30">
      <c r="A20" s="44"/>
      <c r="B20" s="2201" t="str">
        <f>IF(I20&lt;&gt;('Daily Load'!L534+'Daily Load'!N534+'Daily Load'!P534),"This total is DIFFERENT from total reported on rig reports"," ")</f>
        <v xml:space="preserve"> </v>
      </c>
      <c r="C20" s="2201"/>
      <c r="D20" s="2201"/>
      <c r="E20" s="2201"/>
      <c r="F20" s="2201"/>
      <c r="G20" s="2201"/>
      <c r="H20" s="2185" t="s">
        <v>280</v>
      </c>
      <c r="I20" s="2199">
        <f>SUM(I9:I19)</f>
        <v>0</v>
      </c>
      <c r="J20" s="45"/>
      <c r="K20" s="44"/>
      <c r="L20" s="2201" t="str">
        <f>IF(S20&lt;&gt;('Daily Load'!R534+'Daily Load'!T534+'Daily Load'!V534),"This Total is DIFFERENT from total reported on rig reports"," ")</f>
        <v xml:space="preserve"> </v>
      </c>
      <c r="M20" s="2201"/>
      <c r="N20" s="2201"/>
      <c r="O20" s="2201"/>
      <c r="P20" s="2201"/>
      <c r="Q20" s="2201"/>
      <c r="R20" s="2185" t="s">
        <v>280</v>
      </c>
      <c r="S20" s="2199">
        <f>SUM(S9:S19)</f>
        <v>0</v>
      </c>
      <c r="T20" s="45"/>
      <c r="U20" s="44"/>
      <c r="V20" s="2201" t="str">
        <f>IF(AC20&lt;&gt;('Daily Load'!X534+'Daily Load'!Z534+'Daily Load'!AB534),"This Total is DIFFERENT from total reported on rig reports"," ")</f>
        <v xml:space="preserve"> </v>
      </c>
      <c r="W20" s="2201"/>
      <c r="X20" s="2201"/>
      <c r="Y20" s="2201"/>
      <c r="Z20" s="2201"/>
      <c r="AA20" s="2201"/>
      <c r="AB20" s="2185" t="s">
        <v>280</v>
      </c>
      <c r="AC20" s="2199">
        <f>SUM(AC9:AC19)</f>
        <v>0</v>
      </c>
      <c r="AD20" s="45"/>
    </row>
    <row r="21" spans="1:30">
      <c r="A21" s="44"/>
      <c r="B21" s="2202"/>
      <c r="C21" s="2202"/>
      <c r="D21" s="2202"/>
      <c r="E21" s="2202"/>
      <c r="F21" s="2202"/>
      <c r="G21" s="2202"/>
      <c r="H21" s="2198"/>
      <c r="I21" s="2200"/>
      <c r="J21" s="45"/>
      <c r="K21" s="44"/>
      <c r="L21" s="2202"/>
      <c r="M21" s="2202"/>
      <c r="N21" s="2202"/>
      <c r="O21" s="2202"/>
      <c r="P21" s="2202"/>
      <c r="Q21" s="2202"/>
      <c r="R21" s="2198"/>
      <c r="S21" s="2200"/>
      <c r="T21" s="45"/>
      <c r="U21" s="44"/>
      <c r="V21" s="2202"/>
      <c r="W21" s="2202"/>
      <c r="X21" s="2202"/>
      <c r="Y21" s="2202"/>
      <c r="Z21" s="2202"/>
      <c r="AA21" s="2202"/>
      <c r="AB21" s="2198"/>
      <c r="AC21" s="2200"/>
      <c r="AD21" s="45"/>
    </row>
    <row r="22" spans="1:30">
      <c r="A22" s="44"/>
      <c r="B22" s="368"/>
      <c r="C22" s="369"/>
      <c r="D22" s="2185" t="s">
        <v>814</v>
      </c>
      <c r="E22" s="2185"/>
      <c r="F22" s="2185"/>
      <c r="G22" s="2185"/>
      <c r="H22" s="369"/>
      <c r="I22" s="370"/>
      <c r="J22" s="45"/>
      <c r="K22" s="44"/>
      <c r="L22" s="368"/>
      <c r="M22" s="369"/>
      <c r="N22" s="2185" t="s">
        <v>814</v>
      </c>
      <c r="O22" s="2185"/>
      <c r="P22" s="2185"/>
      <c r="Q22" s="2185"/>
      <c r="R22" s="369"/>
      <c r="S22" s="370"/>
      <c r="T22" s="45"/>
      <c r="U22" s="44"/>
      <c r="V22" s="368"/>
      <c r="W22" s="369"/>
      <c r="X22" s="2185" t="s">
        <v>814</v>
      </c>
      <c r="Y22" s="2185"/>
      <c r="Z22" s="2185"/>
      <c r="AA22" s="2185"/>
      <c r="AB22" s="369"/>
      <c r="AC22" s="370"/>
      <c r="AD22" s="45"/>
    </row>
    <row r="23" spans="1:30">
      <c r="A23" s="44"/>
      <c r="B23" s="371"/>
      <c r="C23" s="372"/>
      <c r="D23" s="2187"/>
      <c r="E23" s="2187"/>
      <c r="F23" s="2187"/>
      <c r="G23" s="2187"/>
      <c r="H23" s="372"/>
      <c r="I23" s="373"/>
      <c r="J23" s="45"/>
      <c r="K23" s="44"/>
      <c r="L23" s="371"/>
      <c r="M23" s="372"/>
      <c r="N23" s="2187"/>
      <c r="O23" s="2187"/>
      <c r="P23" s="2187"/>
      <c r="Q23" s="2187"/>
      <c r="R23" s="372"/>
      <c r="S23" s="373"/>
      <c r="T23" s="45"/>
      <c r="U23" s="44"/>
      <c r="V23" s="371"/>
      <c r="W23" s="372"/>
      <c r="X23" s="2187"/>
      <c r="Y23" s="2187"/>
      <c r="Z23" s="2187"/>
      <c r="AA23" s="2187"/>
      <c r="AB23" s="372"/>
      <c r="AC23" s="373"/>
      <c r="AD23" s="45"/>
    </row>
    <row r="24" spans="1:30" ht="25.5" customHeight="1">
      <c r="A24" s="44"/>
      <c r="B24" s="374" t="s">
        <v>809</v>
      </c>
      <c r="C24" s="374" t="s">
        <v>810</v>
      </c>
      <c r="D24" s="2192" t="s">
        <v>811</v>
      </c>
      <c r="E24" s="2192"/>
      <c r="F24" s="2192" t="s">
        <v>815</v>
      </c>
      <c r="G24" s="2192"/>
      <c r="H24" s="374" t="s">
        <v>813</v>
      </c>
      <c r="I24" s="374" t="str">
        <f>I8</f>
        <v>Vol BBLS</v>
      </c>
      <c r="J24" s="45"/>
      <c r="K24" s="44"/>
      <c r="L24" s="374" t="s">
        <v>809</v>
      </c>
      <c r="M24" s="374" t="s">
        <v>810</v>
      </c>
      <c r="N24" s="2192" t="s">
        <v>811</v>
      </c>
      <c r="O24" s="2192"/>
      <c r="P24" s="2192" t="s">
        <v>815</v>
      </c>
      <c r="Q24" s="2192"/>
      <c r="R24" s="374" t="s">
        <v>813</v>
      </c>
      <c r="S24" s="374" t="str">
        <f>I8</f>
        <v>Vol BBLS</v>
      </c>
      <c r="T24" s="45"/>
      <c r="U24" s="44"/>
      <c r="V24" s="374" t="s">
        <v>809</v>
      </c>
      <c r="W24" s="374" t="s">
        <v>810</v>
      </c>
      <c r="X24" s="2192" t="s">
        <v>811</v>
      </c>
      <c r="Y24" s="2192"/>
      <c r="Z24" s="2192" t="s">
        <v>815</v>
      </c>
      <c r="AA24" s="2192"/>
      <c r="AB24" s="374" t="s">
        <v>813</v>
      </c>
      <c r="AC24" s="374" t="str">
        <f>S24</f>
        <v>Vol BBLS</v>
      </c>
      <c r="AD24" s="45"/>
    </row>
    <row r="25" spans="1:30">
      <c r="A25" s="44"/>
      <c r="B25" s="387"/>
      <c r="C25" s="351"/>
      <c r="D25" s="195"/>
      <c r="E25" s="30"/>
      <c r="F25" s="195"/>
      <c r="G25" s="30"/>
      <c r="H25" s="618"/>
      <c r="I25" s="350"/>
      <c r="J25" s="45"/>
      <c r="K25" s="44"/>
      <c r="L25" s="387"/>
      <c r="M25" s="351"/>
      <c r="N25" s="195"/>
      <c r="O25" s="30"/>
      <c r="P25" s="195"/>
      <c r="Q25" s="30"/>
      <c r="R25" s="618"/>
      <c r="S25" s="350"/>
      <c r="T25" s="45"/>
      <c r="U25" s="44"/>
      <c r="V25" s="387"/>
      <c r="W25" s="351"/>
      <c r="X25" s="195"/>
      <c r="Y25" s="30"/>
      <c r="Z25" s="195"/>
      <c r="AA25" s="30"/>
      <c r="AB25" s="502"/>
      <c r="AC25" s="350"/>
      <c r="AD25" s="45"/>
    </row>
    <row r="26" spans="1:30">
      <c r="A26" s="44"/>
      <c r="B26" s="388"/>
      <c r="C26" s="375"/>
      <c r="D26" s="31"/>
      <c r="E26" s="32"/>
      <c r="F26" s="31"/>
      <c r="G26" s="32"/>
      <c r="H26" s="619"/>
      <c r="I26" s="386"/>
      <c r="J26" s="45"/>
      <c r="K26" s="44"/>
      <c r="L26" s="388"/>
      <c r="M26" s="375"/>
      <c r="N26" s="31"/>
      <c r="O26" s="32"/>
      <c r="P26" s="31"/>
      <c r="Q26" s="32"/>
      <c r="R26" s="619"/>
      <c r="S26" s="386"/>
      <c r="T26" s="45"/>
      <c r="U26" s="44"/>
      <c r="V26" s="388"/>
      <c r="W26" s="375"/>
      <c r="X26" s="31"/>
      <c r="Y26" s="32"/>
      <c r="Z26" s="31"/>
      <c r="AA26" s="32"/>
      <c r="AB26" s="504"/>
      <c r="AC26" s="386"/>
      <c r="AD26" s="45"/>
    </row>
    <row r="27" spans="1:30">
      <c r="A27" s="44"/>
      <c r="B27" s="388"/>
      <c r="C27" s="375"/>
      <c r="D27" s="31"/>
      <c r="E27" s="32"/>
      <c r="F27" s="31"/>
      <c r="G27" s="32"/>
      <c r="H27" s="619"/>
      <c r="I27" s="386"/>
      <c r="J27" s="45"/>
      <c r="K27" s="44"/>
      <c r="L27" s="388"/>
      <c r="M27" s="375"/>
      <c r="N27" s="31"/>
      <c r="O27" s="32"/>
      <c r="P27" s="31"/>
      <c r="Q27" s="32"/>
      <c r="R27" s="619"/>
      <c r="S27" s="386"/>
      <c r="T27" s="45"/>
      <c r="U27" s="44"/>
      <c r="V27" s="388"/>
      <c r="W27" s="375"/>
      <c r="X27" s="31"/>
      <c r="Y27" s="32"/>
      <c r="Z27" s="31"/>
      <c r="AA27" s="32"/>
      <c r="AB27" s="504"/>
      <c r="AC27" s="386"/>
      <c r="AD27" s="45"/>
    </row>
    <row r="28" spans="1:30">
      <c r="A28" s="44"/>
      <c r="B28" s="388"/>
      <c r="C28" s="375"/>
      <c r="D28" s="31"/>
      <c r="E28" s="32"/>
      <c r="F28" s="31"/>
      <c r="G28" s="32"/>
      <c r="H28" s="619"/>
      <c r="I28" s="386"/>
      <c r="J28" s="45"/>
      <c r="K28" s="44"/>
      <c r="L28" s="388"/>
      <c r="M28" s="375"/>
      <c r="N28" s="31"/>
      <c r="O28" s="32"/>
      <c r="P28" s="31"/>
      <c r="Q28" s="32"/>
      <c r="R28" s="619"/>
      <c r="S28" s="386"/>
      <c r="T28" s="45"/>
      <c r="U28" s="44"/>
      <c r="V28" s="388"/>
      <c r="W28" s="375"/>
      <c r="X28" s="31"/>
      <c r="Y28" s="32"/>
      <c r="Z28" s="31"/>
      <c r="AA28" s="32"/>
      <c r="AB28" s="504"/>
      <c r="AC28" s="386"/>
      <c r="AD28" s="45"/>
    </row>
    <row r="29" spans="1:30">
      <c r="A29" s="44"/>
      <c r="B29" s="388"/>
      <c r="C29" s="375"/>
      <c r="D29" s="31"/>
      <c r="E29" s="32"/>
      <c r="F29" s="31"/>
      <c r="G29" s="32"/>
      <c r="H29" s="619"/>
      <c r="I29" s="386"/>
      <c r="J29" s="45"/>
      <c r="K29" s="44"/>
      <c r="L29" s="388"/>
      <c r="M29" s="375"/>
      <c r="N29" s="31"/>
      <c r="O29" s="32"/>
      <c r="P29" s="31"/>
      <c r="Q29" s="32"/>
      <c r="R29" s="619"/>
      <c r="S29" s="386">
        <v>0</v>
      </c>
      <c r="T29" s="45"/>
      <c r="U29" s="44"/>
      <c r="V29" s="388"/>
      <c r="W29" s="375"/>
      <c r="X29" s="31"/>
      <c r="Y29" s="32"/>
      <c r="Z29" s="31"/>
      <c r="AA29" s="32"/>
      <c r="AB29" s="504"/>
      <c r="AC29" s="386">
        <v>0</v>
      </c>
      <c r="AD29" s="45"/>
    </row>
    <row r="30" spans="1:30">
      <c r="A30" s="44"/>
      <c r="B30" s="388"/>
      <c r="C30" s="375"/>
      <c r="D30" s="31"/>
      <c r="E30" s="32"/>
      <c r="F30" s="31"/>
      <c r="G30" s="32"/>
      <c r="H30" s="619"/>
      <c r="I30" s="386">
        <v>0</v>
      </c>
      <c r="J30" s="45"/>
      <c r="K30" s="44"/>
      <c r="L30" s="388"/>
      <c r="M30" s="375"/>
      <c r="N30" s="31"/>
      <c r="O30" s="32"/>
      <c r="P30" s="31"/>
      <c r="Q30" s="32"/>
      <c r="R30" s="619"/>
      <c r="S30" s="386"/>
      <c r="T30" s="45"/>
      <c r="U30" s="44"/>
      <c r="V30" s="388"/>
      <c r="W30" s="375"/>
      <c r="X30" s="31"/>
      <c r="Y30" s="32"/>
      <c r="Z30" s="31"/>
      <c r="AA30" s="32"/>
      <c r="AB30" s="504"/>
      <c r="AC30" s="386"/>
      <c r="AD30" s="45"/>
    </row>
    <row r="31" spans="1:30">
      <c r="A31" s="44"/>
      <c r="B31" s="388"/>
      <c r="C31" s="375"/>
      <c r="D31" s="31"/>
      <c r="E31" s="32"/>
      <c r="F31" s="31"/>
      <c r="G31" s="32"/>
      <c r="H31" s="619"/>
      <c r="I31" s="386"/>
      <c r="J31" s="45"/>
      <c r="K31" s="44"/>
      <c r="L31" s="388"/>
      <c r="M31" s="375"/>
      <c r="N31" s="31"/>
      <c r="O31" s="32"/>
      <c r="P31" s="31"/>
      <c r="Q31" s="32"/>
      <c r="R31" s="619"/>
      <c r="S31" s="386"/>
      <c r="T31" s="45"/>
      <c r="U31" s="44"/>
      <c r="V31" s="388"/>
      <c r="W31" s="375"/>
      <c r="X31" s="31"/>
      <c r="Y31" s="32"/>
      <c r="Z31" s="31"/>
      <c r="AA31" s="32"/>
      <c r="AB31" s="504"/>
      <c r="AC31" s="386"/>
      <c r="AD31" s="45"/>
    </row>
    <row r="32" spans="1:30">
      <c r="A32" s="44"/>
      <c r="B32" s="388"/>
      <c r="C32" s="375"/>
      <c r="D32" s="31"/>
      <c r="E32" s="32"/>
      <c r="F32" s="31"/>
      <c r="G32" s="32"/>
      <c r="H32" s="619"/>
      <c r="I32" s="386"/>
      <c r="J32" s="45"/>
      <c r="K32" s="44"/>
      <c r="L32" s="388"/>
      <c r="M32" s="375"/>
      <c r="N32" s="31"/>
      <c r="O32" s="32"/>
      <c r="P32" s="31"/>
      <c r="Q32" s="32"/>
      <c r="R32" s="619"/>
      <c r="S32" s="386"/>
      <c r="T32" s="45"/>
      <c r="U32" s="44"/>
      <c r="V32" s="388"/>
      <c r="W32" s="375"/>
      <c r="X32" s="31"/>
      <c r="Y32" s="32"/>
      <c r="Z32" s="31"/>
      <c r="AA32" s="32"/>
      <c r="AB32" s="504"/>
      <c r="AC32" s="386"/>
      <c r="AD32" s="45"/>
    </row>
    <row r="33" spans="1:30">
      <c r="A33" s="44"/>
      <c r="B33" s="388"/>
      <c r="C33" s="375"/>
      <c r="D33" s="31"/>
      <c r="E33" s="32"/>
      <c r="F33" s="31"/>
      <c r="G33" s="32"/>
      <c r="H33" s="619"/>
      <c r="I33" s="386"/>
      <c r="J33" s="45"/>
      <c r="K33" s="44"/>
      <c r="L33" s="388"/>
      <c r="M33" s="375"/>
      <c r="N33" s="31"/>
      <c r="O33" s="32"/>
      <c r="P33" s="31"/>
      <c r="Q33" s="32"/>
      <c r="R33" s="619"/>
      <c r="S33" s="386"/>
      <c r="T33" s="45"/>
      <c r="U33" s="44"/>
      <c r="V33" s="388"/>
      <c r="W33" s="375"/>
      <c r="X33" s="31"/>
      <c r="Y33" s="32"/>
      <c r="Z33" s="31"/>
      <c r="AA33" s="32"/>
      <c r="AB33" s="504"/>
      <c r="AC33" s="386"/>
      <c r="AD33" s="45"/>
    </row>
    <row r="34" spans="1:30">
      <c r="A34" s="44"/>
      <c r="B34" s="389"/>
      <c r="C34" s="355"/>
      <c r="D34" s="33"/>
      <c r="E34" s="34"/>
      <c r="F34" s="33"/>
      <c r="G34" s="34"/>
      <c r="H34" s="620"/>
      <c r="I34" s="354"/>
      <c r="J34" s="45"/>
      <c r="K34" s="44"/>
      <c r="L34" s="389"/>
      <c r="M34" s="355"/>
      <c r="N34" s="33"/>
      <c r="O34" s="34"/>
      <c r="P34" s="33"/>
      <c r="Q34" s="34"/>
      <c r="R34" s="620"/>
      <c r="S34" s="354"/>
      <c r="T34" s="45"/>
      <c r="U34" s="44"/>
      <c r="V34" s="389"/>
      <c r="W34" s="355"/>
      <c r="X34" s="33"/>
      <c r="Y34" s="34"/>
      <c r="Z34" s="33"/>
      <c r="AA34" s="34"/>
      <c r="AB34" s="503"/>
      <c r="AC34" s="354"/>
      <c r="AD34" s="45"/>
    </row>
    <row r="35" spans="1:30">
      <c r="A35" s="44"/>
      <c r="B35" s="2201" t="str">
        <f>IF(I35&lt;&gt;('Daily Load'!L535+'Daily Load'!N535+'Daily Load'!P535),"This Total is DIFFERENT from total reported on rig reports"," ")</f>
        <v xml:space="preserve"> </v>
      </c>
      <c r="C35" s="2201"/>
      <c r="D35" s="2201"/>
      <c r="E35" s="2201"/>
      <c r="F35" s="2201"/>
      <c r="G35" s="2201"/>
      <c r="H35" s="2185" t="s">
        <v>280</v>
      </c>
      <c r="I35" s="2199">
        <f>SUM(I25:I34)</f>
        <v>0</v>
      </c>
      <c r="J35" s="45"/>
      <c r="K35" s="44"/>
      <c r="L35" s="2201" t="str">
        <f>IF(S35&lt;&gt;('Daily Load'!R535+'Daily Load'!T535+'Daily Load'!V535),"This Total is DIFFERENT from total reported on rig reports"," ")</f>
        <v xml:space="preserve"> </v>
      </c>
      <c r="M35" s="2201"/>
      <c r="N35" s="2201"/>
      <c r="O35" s="2201"/>
      <c r="P35" s="2201"/>
      <c r="Q35" s="2201"/>
      <c r="R35" s="2185" t="s">
        <v>280</v>
      </c>
      <c r="S35" s="2199">
        <f>SUM(S25:S34)</f>
        <v>0</v>
      </c>
      <c r="T35" s="45"/>
      <c r="U35" s="44"/>
      <c r="V35" s="2201" t="str">
        <f>IF(AC35&lt;&gt;('Daily Load'!X535+'Daily Load'!Z535+'Daily Load'!AB535),"This Total is DIFFERENT from total reported on rig reports"," ")</f>
        <v xml:space="preserve"> </v>
      </c>
      <c r="W35" s="2201"/>
      <c r="X35" s="2201"/>
      <c r="Y35" s="2201"/>
      <c r="Z35" s="2201"/>
      <c r="AA35" s="2201"/>
      <c r="AB35" s="2185" t="s">
        <v>280</v>
      </c>
      <c r="AC35" s="2199">
        <f>SUM(AC25:AC34)</f>
        <v>0</v>
      </c>
      <c r="AD35" s="45"/>
    </row>
    <row r="36" spans="1:30">
      <c r="A36" s="44"/>
      <c r="B36" s="2202"/>
      <c r="C36" s="2202"/>
      <c r="D36" s="2202"/>
      <c r="E36" s="2202"/>
      <c r="F36" s="2202"/>
      <c r="G36" s="2202"/>
      <c r="H36" s="2198"/>
      <c r="I36" s="2200"/>
      <c r="J36" s="45"/>
      <c r="K36" s="44"/>
      <c r="L36" s="2202"/>
      <c r="M36" s="2202"/>
      <c r="N36" s="2202"/>
      <c r="O36" s="2202"/>
      <c r="P36" s="2202"/>
      <c r="Q36" s="2202"/>
      <c r="R36" s="2198"/>
      <c r="S36" s="2200"/>
      <c r="T36" s="45"/>
      <c r="U36" s="44"/>
      <c r="V36" s="2202"/>
      <c r="W36" s="2202"/>
      <c r="X36" s="2202"/>
      <c r="Y36" s="2202"/>
      <c r="Z36" s="2202"/>
      <c r="AA36" s="2202"/>
      <c r="AB36" s="2198"/>
      <c r="AC36" s="2200"/>
      <c r="AD36" s="45"/>
    </row>
    <row r="37" spans="1:30">
      <c r="A37" s="44"/>
      <c r="B37" s="2184" t="s">
        <v>816</v>
      </c>
      <c r="C37" s="2185"/>
      <c r="D37" s="2185"/>
      <c r="E37" s="2185"/>
      <c r="F37" s="2185"/>
      <c r="G37" s="2185"/>
      <c r="H37" s="2185"/>
      <c r="I37" s="2189"/>
      <c r="J37" s="45"/>
      <c r="K37" s="44"/>
      <c r="L37" s="2184" t="s">
        <v>816</v>
      </c>
      <c r="M37" s="2185"/>
      <c r="N37" s="2185"/>
      <c r="O37" s="2185"/>
      <c r="P37" s="2185"/>
      <c r="Q37" s="2185"/>
      <c r="R37" s="2185"/>
      <c r="S37" s="2189"/>
      <c r="T37" s="45"/>
      <c r="U37" s="44"/>
      <c r="V37" s="2184" t="s">
        <v>816</v>
      </c>
      <c r="W37" s="2185"/>
      <c r="X37" s="2185"/>
      <c r="Y37" s="2185"/>
      <c r="Z37" s="2185"/>
      <c r="AA37" s="2185"/>
      <c r="AB37" s="2185"/>
      <c r="AC37" s="2189"/>
      <c r="AD37" s="45"/>
    </row>
    <row r="38" spans="1:30">
      <c r="A38" s="44"/>
      <c r="B38" s="2186"/>
      <c r="C38" s="2187"/>
      <c r="D38" s="2187"/>
      <c r="E38" s="2187"/>
      <c r="F38" s="2187"/>
      <c r="G38" s="2187"/>
      <c r="H38" s="2187"/>
      <c r="I38" s="2191"/>
      <c r="J38" s="45"/>
      <c r="K38" s="44"/>
      <c r="L38" s="2186"/>
      <c r="M38" s="2187"/>
      <c r="N38" s="2187"/>
      <c r="O38" s="2187"/>
      <c r="P38" s="2187"/>
      <c r="Q38" s="2187"/>
      <c r="R38" s="2187"/>
      <c r="S38" s="2191"/>
      <c r="T38" s="45"/>
      <c r="U38" s="44"/>
      <c r="V38" s="2186"/>
      <c r="W38" s="2187"/>
      <c r="X38" s="2187"/>
      <c r="Y38" s="2187"/>
      <c r="Z38" s="2187"/>
      <c r="AA38" s="2187"/>
      <c r="AB38" s="2187"/>
      <c r="AC38" s="2191"/>
      <c r="AD38" s="45"/>
    </row>
    <row r="39" spans="1:30">
      <c r="A39" s="44"/>
      <c r="B39" s="2203" t="s">
        <v>810</v>
      </c>
      <c r="C39" s="2204"/>
      <c r="D39" s="2203" t="str">
        <f>I8</f>
        <v>Vol BBLS</v>
      </c>
      <c r="E39" s="2204"/>
      <c r="F39" s="2203" t="s">
        <v>817</v>
      </c>
      <c r="G39" s="2207"/>
      <c r="H39" s="2207"/>
      <c r="I39" s="2204"/>
      <c r="J39" s="45"/>
      <c r="K39" s="44"/>
      <c r="L39" s="2203" t="s">
        <v>810</v>
      </c>
      <c r="M39" s="2204"/>
      <c r="N39" s="2203" t="str">
        <f>I8</f>
        <v>Vol BBLS</v>
      </c>
      <c r="O39" s="2204"/>
      <c r="P39" s="2203" t="s">
        <v>817</v>
      </c>
      <c r="Q39" s="2207"/>
      <c r="R39" s="2207"/>
      <c r="S39" s="2204"/>
      <c r="T39" s="45"/>
      <c r="U39" s="44"/>
      <c r="V39" s="2203" t="s">
        <v>810</v>
      </c>
      <c r="W39" s="2204"/>
      <c r="X39" s="2203" t="str">
        <f>N39</f>
        <v>Vol BBLS</v>
      </c>
      <c r="Y39" s="2204"/>
      <c r="Z39" s="2203" t="s">
        <v>817</v>
      </c>
      <c r="AA39" s="2207"/>
      <c r="AB39" s="2207"/>
      <c r="AC39" s="2204"/>
      <c r="AD39" s="45"/>
    </row>
    <row r="40" spans="1:30" ht="8.25" customHeight="1">
      <c r="A40" s="44"/>
      <c r="B40" s="2205"/>
      <c r="C40" s="2206"/>
      <c r="D40" s="2205"/>
      <c r="E40" s="2206"/>
      <c r="F40" s="2205"/>
      <c r="G40" s="2208"/>
      <c r="H40" s="2208"/>
      <c r="I40" s="2206"/>
      <c r="J40" s="45"/>
      <c r="K40" s="44"/>
      <c r="L40" s="2205"/>
      <c r="M40" s="2206"/>
      <c r="N40" s="2205"/>
      <c r="O40" s="2206"/>
      <c r="P40" s="2205"/>
      <c r="Q40" s="2208"/>
      <c r="R40" s="2208"/>
      <c r="S40" s="2206"/>
      <c r="T40" s="45"/>
      <c r="U40" s="44"/>
      <c r="V40" s="2205"/>
      <c r="W40" s="2206"/>
      <c r="X40" s="2205"/>
      <c r="Y40" s="2206"/>
      <c r="Z40" s="2205"/>
      <c r="AA40" s="2208"/>
      <c r="AB40" s="2208"/>
      <c r="AC40" s="2206"/>
      <c r="AD40" s="45"/>
    </row>
    <row r="41" spans="1:30" ht="13.1">
      <c r="A41" s="44"/>
      <c r="B41" s="2181" t="str">
        <f>IF(D41&gt;0,'Daily Load'!L532," ")</f>
        <v xml:space="preserve"> </v>
      </c>
      <c r="C41" s="2181"/>
      <c r="D41" s="2182">
        <f>IF('Daily Load'!L539&lt;0.008,0,'Daily Load'!L539)</f>
        <v>0</v>
      </c>
      <c r="E41" s="2181"/>
      <c r="F41" s="2183" t="str">
        <f>IF(D41&gt;0,"IN WELL"," ")</f>
        <v xml:space="preserve"> </v>
      </c>
      <c r="G41" s="2194"/>
      <c r="H41" s="2194"/>
      <c r="I41" s="2195"/>
      <c r="J41" s="45"/>
      <c r="K41" s="44"/>
      <c r="L41" s="2181" t="str">
        <f>IF(N41&gt;0,"Water"," ")</f>
        <v xml:space="preserve"> </v>
      </c>
      <c r="M41" s="2181"/>
      <c r="N41" s="2182">
        <f>IF('Daily Load'!R539&lt;0.008,0,'Daily Load'!R539)</f>
        <v>0</v>
      </c>
      <c r="O41" s="2181"/>
      <c r="P41" s="2183" t="str">
        <f>IF(N41&gt;0,"IN WELL"," ")</f>
        <v xml:space="preserve"> </v>
      </c>
      <c r="Q41" s="2194"/>
      <c r="R41" s="2194"/>
      <c r="S41" s="2195"/>
      <c r="T41" s="45"/>
      <c r="U41" s="44"/>
      <c r="V41" s="2181" t="str">
        <f>IF(X41&gt;0,"Water"," ")</f>
        <v xml:space="preserve"> </v>
      </c>
      <c r="W41" s="2181"/>
      <c r="X41" s="2182">
        <f>'Daily Load'!X539</f>
        <v>0</v>
      </c>
      <c r="Y41" s="2181"/>
      <c r="Z41" s="2183" t="str">
        <f>IF(X41&gt;0,"IN WELL"," ")</f>
        <v xml:space="preserve"> </v>
      </c>
      <c r="AA41" s="2194"/>
      <c r="AB41" s="2194"/>
      <c r="AC41" s="2195"/>
      <c r="AD41" s="45"/>
    </row>
    <row r="42" spans="1:30" ht="13.1">
      <c r="A42" s="44"/>
      <c r="B42" s="2181" t="str">
        <f>IF(D42&gt;0,'Daily Load'!H532," ")</f>
        <v xml:space="preserve"> </v>
      </c>
      <c r="C42" s="2181"/>
      <c r="D42" s="2182">
        <f>IF('Daily Load'!N539&lt;0.008,0,'Daily Load'!N539)</f>
        <v>0</v>
      </c>
      <c r="E42" s="2181"/>
      <c r="F42" s="2183" t="str">
        <f>IF(D42&gt;0,"IN WELL"," ")</f>
        <v xml:space="preserve"> </v>
      </c>
      <c r="G42" s="2194"/>
      <c r="H42" s="2194"/>
      <c r="I42" s="2195"/>
      <c r="J42" s="45"/>
      <c r="K42" s="44"/>
      <c r="L42" s="2181" t="str">
        <f>IF(N42&gt;0,"Oil"," ")</f>
        <v xml:space="preserve"> </v>
      </c>
      <c r="M42" s="2181"/>
      <c r="N42" s="2182">
        <f>IF('Daily Load'!T539&lt;0.008,0,'Daily Load'!T539)</f>
        <v>0</v>
      </c>
      <c r="O42" s="2181"/>
      <c r="P42" s="2183" t="str">
        <f>IF(N42&gt;0,"IN WELL"," ")</f>
        <v xml:space="preserve"> </v>
      </c>
      <c r="Q42" s="2194"/>
      <c r="R42" s="2194"/>
      <c r="S42" s="2195"/>
      <c r="T42" s="45"/>
      <c r="U42" s="44"/>
      <c r="V42" s="2181" t="str">
        <f>IF(X42&gt;0,"Oil"," ")</f>
        <v xml:space="preserve"> </v>
      </c>
      <c r="W42" s="2181"/>
      <c r="X42" s="2182">
        <f>'Daily Load'!Z539</f>
        <v>0</v>
      </c>
      <c r="Y42" s="2181"/>
      <c r="Z42" s="2183" t="str">
        <f>IF(X42&gt;0,"IN WELL"," ")</f>
        <v xml:space="preserve"> </v>
      </c>
      <c r="AA42" s="2194"/>
      <c r="AB42" s="2194"/>
      <c r="AC42" s="2195"/>
      <c r="AD42" s="45"/>
    </row>
    <row r="43" spans="1:30" ht="13.1">
      <c r="A43" s="44"/>
      <c r="B43" s="2181" t="str">
        <f>IF(D43&gt;0,'Daily Load'!P532," ")</f>
        <v xml:space="preserve"> </v>
      </c>
      <c r="C43" s="2181"/>
      <c r="D43" s="2182">
        <f>IF('Daily Load'!P539&lt;0.008,0,'Daily Load'!P539)</f>
        <v>0</v>
      </c>
      <c r="E43" s="2181"/>
      <c r="F43" s="2183" t="str">
        <f>IF(D43&gt;0,"IN WELL"," ")</f>
        <v xml:space="preserve"> </v>
      </c>
      <c r="G43" s="2194"/>
      <c r="H43" s="2194"/>
      <c r="I43" s="2195"/>
      <c r="J43" s="45"/>
      <c r="K43" s="44"/>
      <c r="L43" s="2181" t="str">
        <f>IF(N43&gt;0,'Daily Load'!V532," ")</f>
        <v xml:space="preserve"> </v>
      </c>
      <c r="M43" s="2181"/>
      <c r="N43" s="2182">
        <f>IF('Daily Load'!V539&lt;0.008,0,'Daily Load'!V539)</f>
        <v>0</v>
      </c>
      <c r="O43" s="2181"/>
      <c r="P43" s="2183" t="str">
        <f>IF(N43&gt;0,"IN WELL"," ")</f>
        <v xml:space="preserve"> </v>
      </c>
      <c r="Q43" s="2194"/>
      <c r="R43" s="2194"/>
      <c r="S43" s="2195"/>
      <c r="T43" s="45"/>
      <c r="U43" s="44"/>
      <c r="V43" s="2181" t="str">
        <f>IF(X43&gt;0,'Daily Load'!AB532," ")</f>
        <v xml:space="preserve"> </v>
      </c>
      <c r="W43" s="2181"/>
      <c r="X43" s="2182">
        <f>'Daily Load'!AB539</f>
        <v>0</v>
      </c>
      <c r="Y43" s="2181"/>
      <c r="Z43" s="2183" t="str">
        <f>IF(X43&gt;0,"IN WELL"," ")</f>
        <v xml:space="preserve"> </v>
      </c>
      <c r="AA43" s="2194"/>
      <c r="AB43" s="2194"/>
      <c r="AC43" s="2195"/>
      <c r="AD43" s="45"/>
    </row>
    <row r="44" spans="1:30" ht="13.1">
      <c r="A44" s="44"/>
      <c r="B44" s="2181" t="str">
        <f>IF(D44&gt;0,'Daily Load'!F532," ")</f>
        <v xml:space="preserve"> </v>
      </c>
      <c r="C44" s="2181"/>
      <c r="D44" s="2182">
        <f>IF('Daily Load'!L538&gt;0.008,'Daily Load'!L538,0)</f>
        <v>0</v>
      </c>
      <c r="E44" s="2181"/>
      <c r="F44" s="2183" t="str">
        <f>IF(D44&gt;0,"IN TANKS ON LOCATION"," ")</f>
        <v xml:space="preserve"> </v>
      </c>
      <c r="G44" s="2194"/>
      <c r="H44" s="2194"/>
      <c r="I44" s="2195"/>
      <c r="J44" s="45"/>
      <c r="K44" s="44"/>
      <c r="L44" s="2181" t="str">
        <f>IF(N44&gt;0,"Water"," ")</f>
        <v xml:space="preserve"> </v>
      </c>
      <c r="M44" s="2181"/>
      <c r="N44" s="2182">
        <f>IF('Daily Load'!R538&gt;0.008,'Daily Load'!R538,0)</f>
        <v>0</v>
      </c>
      <c r="O44" s="2181"/>
      <c r="P44" s="2183" t="str">
        <f>IF(N44&gt;0,"IN TANKS ON LOCATION"," ")</f>
        <v xml:space="preserve"> </v>
      </c>
      <c r="Q44" s="2194"/>
      <c r="R44" s="2194"/>
      <c r="S44" s="2195"/>
      <c r="T44" s="45"/>
      <c r="U44" s="44"/>
      <c r="V44" s="2181" t="str">
        <f>IF(X44&gt;0,"Water"," ")</f>
        <v xml:space="preserve"> </v>
      </c>
      <c r="W44" s="2181"/>
      <c r="X44" s="2182">
        <f>'Daily Load'!X538</f>
        <v>0</v>
      </c>
      <c r="Y44" s="2181"/>
      <c r="Z44" s="2183" t="str">
        <f>IF(X44&gt;0,"IN TANKS ON LOCATION"," ")</f>
        <v xml:space="preserve"> </v>
      </c>
      <c r="AA44" s="2194"/>
      <c r="AB44" s="2194"/>
      <c r="AC44" s="2195"/>
      <c r="AD44" s="45"/>
    </row>
    <row r="45" spans="1:30" ht="13.1">
      <c r="A45" s="44"/>
      <c r="B45" s="2181" t="str">
        <f>IF(D45&gt;0,'Daily Load'!H532," ")</f>
        <v xml:space="preserve"> </v>
      </c>
      <c r="C45" s="2181"/>
      <c r="D45" s="2182">
        <f>IF('Daily Load'!N538&gt;0.008,'Daily Load'!N538,0)</f>
        <v>0</v>
      </c>
      <c r="E45" s="2181"/>
      <c r="F45" s="2183" t="str">
        <f>IF(D45&gt;0,"IN TANKS ON LOCATION"," ")</f>
        <v xml:space="preserve"> </v>
      </c>
      <c r="G45" s="2194"/>
      <c r="H45" s="2194"/>
      <c r="I45" s="2195"/>
      <c r="J45" s="45"/>
      <c r="K45" s="44"/>
      <c r="L45" s="2181" t="str">
        <f>IF(N45&gt;0,"Oil"," ")</f>
        <v xml:space="preserve"> </v>
      </c>
      <c r="M45" s="2181"/>
      <c r="N45" s="2182">
        <f>IF('Daily Load'!T538&gt;0.008,'Daily Load'!T538,0)</f>
        <v>0</v>
      </c>
      <c r="O45" s="2181"/>
      <c r="P45" s="2183" t="str">
        <f>IF(N45&gt;0,"IN TANKS ON LOCATION"," ")</f>
        <v xml:space="preserve"> </v>
      </c>
      <c r="Q45" s="2194"/>
      <c r="R45" s="2194"/>
      <c r="S45" s="2195"/>
      <c r="T45" s="45"/>
      <c r="U45" s="44"/>
      <c r="V45" s="2181" t="str">
        <f>IF(X45&gt;0,"Oil"," ")</f>
        <v xml:space="preserve"> </v>
      </c>
      <c r="W45" s="2181"/>
      <c r="X45" s="2182">
        <f>'Daily Load'!Z538</f>
        <v>0</v>
      </c>
      <c r="Y45" s="2181"/>
      <c r="Z45" s="2183" t="str">
        <f>IF(X45&gt;0,"IN TANKS ON LOCATION"," ")</f>
        <v xml:space="preserve"> </v>
      </c>
      <c r="AA45" s="2194"/>
      <c r="AB45" s="2194"/>
      <c r="AC45" s="2195"/>
      <c r="AD45" s="45"/>
    </row>
    <row r="46" spans="1:30" ht="13.1">
      <c r="A46" s="44"/>
      <c r="B46" s="2181" t="str">
        <f>IF(D46&gt;0,'Daily Load'!J532," ")</f>
        <v xml:space="preserve"> </v>
      </c>
      <c r="C46" s="2181"/>
      <c r="D46" s="2182">
        <f>IF('Daily Load'!P538&lt;0.008,0,'Daily Load'!P538)</f>
        <v>0</v>
      </c>
      <c r="E46" s="2181"/>
      <c r="F46" s="2183" t="str">
        <f>IF(D46&gt;0,"IN TANKS ON LOCATION"," ")</f>
        <v xml:space="preserve"> </v>
      </c>
      <c r="G46" s="2194"/>
      <c r="H46" s="2194"/>
      <c r="I46" s="2195"/>
      <c r="J46" s="45"/>
      <c r="K46" s="44"/>
      <c r="L46" s="2181" t="str">
        <f>IF(N46&gt;0,'Daily Load'!V532," ")</f>
        <v xml:space="preserve"> </v>
      </c>
      <c r="M46" s="2181"/>
      <c r="N46" s="2182">
        <f>IF('Daily Load'!V538&lt;0.008,0,'Daily Load'!V538)</f>
        <v>0</v>
      </c>
      <c r="O46" s="2181"/>
      <c r="P46" s="2183" t="str">
        <f>IF(N46&gt;0,"IN TANKS ON LOCATION"," ")</f>
        <v xml:space="preserve"> </v>
      </c>
      <c r="Q46" s="2194"/>
      <c r="R46" s="2194"/>
      <c r="S46" s="2195"/>
      <c r="T46" s="45"/>
      <c r="U46" s="44"/>
      <c r="V46" s="2181" t="str">
        <f>IF(X46&gt;0,'Daily Load'!AB532," ")</f>
        <v xml:space="preserve"> </v>
      </c>
      <c r="W46" s="2181"/>
      <c r="X46" s="2182">
        <f>'Daily Load'!AB538</f>
        <v>0</v>
      </c>
      <c r="Y46" s="2181"/>
      <c r="Z46" s="2183" t="str">
        <f>IF(X46&gt;0,"IN TANKS ON LOCATION"," ")</f>
        <v xml:space="preserve"> </v>
      </c>
      <c r="AA46" s="2194"/>
      <c r="AB46" s="2194"/>
      <c r="AC46" s="2195"/>
      <c r="AD46" s="45"/>
    </row>
    <row r="47" spans="1:30">
      <c r="A47" s="44"/>
      <c r="J47" s="45"/>
      <c r="K47" s="44"/>
      <c r="T47" s="45"/>
      <c r="U47" s="44"/>
      <c r="AD47" s="45"/>
    </row>
    <row r="48" spans="1:30">
      <c r="A48" s="44"/>
      <c r="B48" s="2184" t="s">
        <v>818</v>
      </c>
      <c r="C48" s="2185"/>
      <c r="D48" s="2185"/>
      <c r="E48" s="2185"/>
      <c r="F48" s="2188" t="s">
        <v>819</v>
      </c>
      <c r="G48" s="2185"/>
      <c r="H48" s="2185"/>
      <c r="I48" s="2189"/>
      <c r="J48" s="45"/>
      <c r="K48" s="44"/>
      <c r="L48" s="2184" t="s">
        <v>818</v>
      </c>
      <c r="M48" s="2185"/>
      <c r="N48" s="2185"/>
      <c r="O48" s="2185"/>
      <c r="P48" s="2188" t="s">
        <v>819</v>
      </c>
      <c r="Q48" s="2185"/>
      <c r="R48" s="2185"/>
      <c r="S48" s="2189"/>
      <c r="T48" s="45"/>
      <c r="U48" s="44"/>
      <c r="V48" s="2184" t="s">
        <v>818</v>
      </c>
      <c r="W48" s="2185"/>
      <c r="X48" s="2185"/>
      <c r="Y48" s="2185"/>
      <c r="Z48" s="2188" t="s">
        <v>819</v>
      </c>
      <c r="AA48" s="2185"/>
      <c r="AB48" s="2185"/>
      <c r="AC48" s="2189"/>
      <c r="AD48" s="45"/>
    </row>
    <row r="49" spans="1:30">
      <c r="A49" s="44"/>
      <c r="B49" s="2186"/>
      <c r="C49" s="2187"/>
      <c r="D49" s="2187"/>
      <c r="E49" s="2187"/>
      <c r="F49" s="2190"/>
      <c r="G49" s="2187"/>
      <c r="H49" s="2187"/>
      <c r="I49" s="2191"/>
      <c r="J49" s="45"/>
      <c r="K49" s="44"/>
      <c r="L49" s="2186"/>
      <c r="M49" s="2187"/>
      <c r="N49" s="2187"/>
      <c r="O49" s="2187"/>
      <c r="P49" s="2190"/>
      <c r="Q49" s="2187"/>
      <c r="R49" s="2187"/>
      <c r="S49" s="2191"/>
      <c r="T49" s="45"/>
      <c r="U49" s="44"/>
      <c r="V49" s="2186"/>
      <c r="W49" s="2187"/>
      <c r="X49" s="2187"/>
      <c r="Y49" s="2187"/>
      <c r="Z49" s="2190"/>
      <c r="AA49" s="2187"/>
      <c r="AB49" s="2187"/>
      <c r="AC49" s="2191"/>
      <c r="AD49" s="45"/>
    </row>
    <row r="50" spans="1:30">
      <c r="A50" s="44"/>
      <c r="B50" s="2192" t="s">
        <v>810</v>
      </c>
      <c r="C50" s="2192"/>
      <c r="D50" s="2192" t="str">
        <f>D39</f>
        <v>Vol BBLS</v>
      </c>
      <c r="E50" s="1911"/>
      <c r="F50" s="2193" t="s">
        <v>810</v>
      </c>
      <c r="G50" s="2192" t="str">
        <f>I24</f>
        <v>Vol BBLS</v>
      </c>
      <c r="H50" s="2192" t="s">
        <v>820</v>
      </c>
      <c r="I50" s="2192"/>
      <c r="J50" s="45"/>
      <c r="K50" s="44"/>
      <c r="L50" s="2192" t="s">
        <v>810</v>
      </c>
      <c r="M50" s="2192"/>
      <c r="N50" s="2192" t="str">
        <f>N39</f>
        <v>Vol BBLS</v>
      </c>
      <c r="O50" s="1911"/>
      <c r="P50" s="2193" t="s">
        <v>810</v>
      </c>
      <c r="Q50" s="2192" t="str">
        <f>N39</f>
        <v>Vol BBLS</v>
      </c>
      <c r="R50" s="2192" t="s">
        <v>820</v>
      </c>
      <c r="S50" s="2192"/>
      <c r="T50" s="45"/>
      <c r="U50" s="44"/>
      <c r="V50" s="2192" t="s">
        <v>810</v>
      </c>
      <c r="W50" s="2192"/>
      <c r="X50" s="2192" t="str">
        <f>Q50</f>
        <v>Vol BBLS</v>
      </c>
      <c r="Y50" s="1911"/>
      <c r="Z50" s="2193" t="s">
        <v>810</v>
      </c>
      <c r="AA50" s="2192" t="str">
        <f>X50</f>
        <v>Vol BBLS</v>
      </c>
      <c r="AB50" s="2192" t="s">
        <v>820</v>
      </c>
      <c r="AC50" s="2192"/>
      <c r="AD50" s="45"/>
    </row>
    <row r="51" spans="1:30">
      <c r="A51" s="44"/>
      <c r="B51" s="2192"/>
      <c r="C51" s="2192"/>
      <c r="D51" s="2192"/>
      <c r="E51" s="1911"/>
      <c r="F51" s="2193"/>
      <c r="G51" s="2192"/>
      <c r="H51" s="2192"/>
      <c r="I51" s="2192"/>
      <c r="J51" s="45"/>
      <c r="K51" s="44"/>
      <c r="L51" s="2192"/>
      <c r="M51" s="2192"/>
      <c r="N51" s="2192"/>
      <c r="O51" s="1911"/>
      <c r="P51" s="2193"/>
      <c r="Q51" s="2192"/>
      <c r="R51" s="2192"/>
      <c r="S51" s="2192"/>
      <c r="T51" s="45"/>
      <c r="U51" s="44"/>
      <c r="V51" s="2192"/>
      <c r="W51" s="2192"/>
      <c r="X51" s="2192"/>
      <c r="Y51" s="1911"/>
      <c r="Z51" s="2193"/>
      <c r="AA51" s="2192"/>
      <c r="AB51" s="2192"/>
      <c r="AC51" s="2192"/>
      <c r="AD51" s="45"/>
    </row>
    <row r="52" spans="1:30" ht="13.1">
      <c r="A52" s="44"/>
      <c r="B52" s="2181" t="str">
        <f>B41</f>
        <v xml:space="preserve"> </v>
      </c>
      <c r="C52" s="2181"/>
      <c r="D52" s="2182">
        <f>D41</f>
        <v>0</v>
      </c>
      <c r="E52" s="2183"/>
      <c r="F52" s="378" t="str">
        <f>IF(G52=0," ",'Daily Load'!L532)</f>
        <v xml:space="preserve"> </v>
      </c>
      <c r="G52" s="377">
        <f>'Daily Load'!L540</f>
        <v>0</v>
      </c>
      <c r="H52" s="2181"/>
      <c r="I52" s="2181"/>
      <c r="J52" s="45"/>
      <c r="K52" s="44"/>
      <c r="L52" s="2181" t="str">
        <f>L41</f>
        <v xml:space="preserve"> </v>
      </c>
      <c r="M52" s="2181"/>
      <c r="N52" s="2182">
        <f>N41</f>
        <v>0</v>
      </c>
      <c r="O52" s="2183"/>
      <c r="P52" s="378" t="str">
        <f>IF(Q52=0," ",'Daily Load'!R532)</f>
        <v xml:space="preserve"> </v>
      </c>
      <c r="Q52" s="377">
        <f>'Daily Load'!R540</f>
        <v>0</v>
      </c>
      <c r="R52" s="2181"/>
      <c r="S52" s="2181"/>
      <c r="T52" s="45"/>
      <c r="U52" s="44"/>
      <c r="V52" s="2181" t="str">
        <f>V41</f>
        <v xml:space="preserve"> </v>
      </c>
      <c r="W52" s="2181"/>
      <c r="X52" s="2182">
        <f>X41</f>
        <v>0</v>
      </c>
      <c r="Y52" s="2183"/>
      <c r="Z52" s="378" t="str">
        <f>IF(AA52=0," ",'Daily Load'!X532)</f>
        <v xml:space="preserve"> </v>
      </c>
      <c r="AA52" s="377">
        <f>'Daily Load'!X540</f>
        <v>0</v>
      </c>
      <c r="AB52" s="2181"/>
      <c r="AC52" s="2181"/>
      <c r="AD52" s="45"/>
    </row>
    <row r="53" spans="1:30" ht="13.1">
      <c r="A53" s="44"/>
      <c r="B53" s="2181" t="str">
        <f>B42</f>
        <v xml:space="preserve"> </v>
      </c>
      <c r="C53" s="2181"/>
      <c r="D53" s="2182">
        <f>D42</f>
        <v>0</v>
      </c>
      <c r="E53" s="2183"/>
      <c r="F53" s="378" t="str">
        <f>IF(G53=0," ",'Daily Load'!N532)</f>
        <v xml:space="preserve"> </v>
      </c>
      <c r="G53" s="377">
        <f>'Daily Load'!N540</f>
        <v>0</v>
      </c>
      <c r="H53" s="2181"/>
      <c r="I53" s="2181"/>
      <c r="J53" s="45"/>
      <c r="K53" s="44"/>
      <c r="L53" s="2181" t="str">
        <f>L42</f>
        <v xml:space="preserve"> </v>
      </c>
      <c r="M53" s="2181"/>
      <c r="N53" s="2182">
        <f>N42</f>
        <v>0</v>
      </c>
      <c r="O53" s="2183"/>
      <c r="P53" s="378" t="str">
        <f>IF(Q53=0," ",'Daily Load'!T532)</f>
        <v xml:space="preserve"> </v>
      </c>
      <c r="Q53" s="377">
        <f>'Daily Load'!T540</f>
        <v>0</v>
      </c>
      <c r="R53" s="2181"/>
      <c r="S53" s="2181"/>
      <c r="T53" s="45"/>
      <c r="U53" s="44"/>
      <c r="V53" s="2181" t="str">
        <f>V42</f>
        <v xml:space="preserve"> </v>
      </c>
      <c r="W53" s="2181"/>
      <c r="X53" s="2182">
        <f>X42</f>
        <v>0</v>
      </c>
      <c r="Y53" s="2183"/>
      <c r="Z53" s="378" t="str">
        <f>IF(AA53=0," ",'Daily Load'!Z532)</f>
        <v xml:space="preserve"> </v>
      </c>
      <c r="AA53" s="377">
        <f>'Daily Load'!Z540</f>
        <v>0</v>
      </c>
      <c r="AB53" s="2181"/>
      <c r="AC53" s="2181"/>
      <c r="AD53" s="45"/>
    </row>
    <row r="54" spans="1:30" ht="13.1">
      <c r="A54" s="44"/>
      <c r="B54" s="2181" t="str">
        <f>B43</f>
        <v xml:space="preserve"> </v>
      </c>
      <c r="C54" s="2181"/>
      <c r="D54" s="2182">
        <f>D43</f>
        <v>0</v>
      </c>
      <c r="E54" s="2183"/>
      <c r="F54" s="378" t="str">
        <f>IF(G54=0," ",'Daily Load'!P532)</f>
        <v xml:space="preserve"> </v>
      </c>
      <c r="G54" s="377">
        <f>'Daily Load'!P540</f>
        <v>0</v>
      </c>
      <c r="H54" s="2181"/>
      <c r="I54" s="2181"/>
      <c r="J54" s="45"/>
      <c r="K54" s="44"/>
      <c r="L54" s="2181" t="str">
        <f>L43</f>
        <v xml:space="preserve"> </v>
      </c>
      <c r="M54" s="2181"/>
      <c r="N54" s="2182">
        <f>N43</f>
        <v>0</v>
      </c>
      <c r="O54" s="2183"/>
      <c r="P54" s="378" t="str">
        <f>IF(Q54=0," ",'Daily Load'!V532)</f>
        <v xml:space="preserve"> </v>
      </c>
      <c r="Q54" s="377">
        <f>'Daily Load'!V540</f>
        <v>0</v>
      </c>
      <c r="R54" s="2181"/>
      <c r="S54" s="2181"/>
      <c r="T54" s="45"/>
      <c r="U54" s="44"/>
      <c r="V54" s="2181" t="str">
        <f>V43</f>
        <v xml:space="preserve"> </v>
      </c>
      <c r="W54" s="2181"/>
      <c r="X54" s="2182">
        <f>X43</f>
        <v>0</v>
      </c>
      <c r="Y54" s="2183"/>
      <c r="Z54" s="378" t="str">
        <f>IF(AA54=0," ",'Daily Load'!AB532)</f>
        <v xml:space="preserve"> </v>
      </c>
      <c r="AA54" s="377">
        <f>'Daily Load'!AB540</f>
        <v>0</v>
      </c>
      <c r="AB54" s="2181"/>
      <c r="AC54" s="2181"/>
      <c r="AD54" s="45"/>
    </row>
    <row r="55" spans="1:30" ht="13.1">
      <c r="A55" s="44"/>
      <c r="B55" s="2181"/>
      <c r="C55" s="2181"/>
      <c r="D55" s="2181"/>
      <c r="E55" s="2183"/>
      <c r="F55" s="378"/>
      <c r="G55" s="376"/>
      <c r="H55" s="2181"/>
      <c r="I55" s="2181"/>
      <c r="J55" s="45"/>
      <c r="K55" s="44"/>
      <c r="L55" s="2181"/>
      <c r="M55" s="2181"/>
      <c r="N55" s="2181"/>
      <c r="O55" s="2183"/>
      <c r="P55" s="378"/>
      <c r="Q55" s="376"/>
      <c r="R55" s="2181"/>
      <c r="S55" s="2181"/>
      <c r="T55" s="45"/>
      <c r="U55" s="44"/>
      <c r="V55" s="2181"/>
      <c r="W55" s="2181"/>
      <c r="X55" s="2181"/>
      <c r="Y55" s="2183"/>
      <c r="Z55" s="378"/>
      <c r="AA55" s="376"/>
      <c r="AB55" s="2181"/>
      <c r="AC55" s="2181"/>
      <c r="AD55" s="45"/>
    </row>
    <row r="56" spans="1:30" ht="13.1">
      <c r="A56" s="44"/>
      <c r="B56" s="1158"/>
      <c r="C56" s="1158"/>
      <c r="D56" s="1158"/>
      <c r="E56" s="1158"/>
      <c r="F56" s="1158"/>
      <c r="G56" s="1158"/>
      <c r="H56" s="1158"/>
      <c r="I56" s="1158"/>
      <c r="J56" s="45"/>
      <c r="K56" s="44"/>
      <c r="L56" s="1158"/>
      <c r="M56" s="1158"/>
      <c r="N56" s="1158"/>
      <c r="O56" s="1158"/>
      <c r="P56" s="1158"/>
      <c r="Q56" s="1158"/>
      <c r="R56" s="1158"/>
      <c r="S56" s="1158"/>
      <c r="T56" s="45"/>
      <c r="U56" s="44"/>
      <c r="V56" s="1158"/>
      <c r="W56" s="1158"/>
      <c r="X56" s="1158"/>
      <c r="Y56" s="1158"/>
      <c r="Z56" s="1158"/>
      <c r="AA56" s="1158"/>
      <c r="AB56" s="1158"/>
      <c r="AC56" s="1158"/>
      <c r="AD56" s="45"/>
    </row>
    <row r="57" spans="1:30" ht="13.1">
      <c r="A57" s="44"/>
      <c r="B57" s="1158"/>
      <c r="C57" s="1158"/>
      <c r="D57" s="1158"/>
      <c r="E57" s="1158"/>
      <c r="F57" s="1158"/>
      <c r="G57" s="1158"/>
      <c r="H57" s="1158"/>
      <c r="I57" s="1158"/>
      <c r="J57" s="45"/>
      <c r="K57" s="44"/>
      <c r="L57" s="1158"/>
      <c r="M57" s="1158"/>
      <c r="N57" s="1158"/>
      <c r="O57" s="1158"/>
      <c r="P57" s="1158"/>
      <c r="Q57" s="1158"/>
      <c r="R57" s="1158"/>
      <c r="S57" s="1158"/>
      <c r="T57" s="45"/>
      <c r="U57" s="44"/>
      <c r="V57" s="1158"/>
      <c r="W57" s="1158"/>
      <c r="X57" s="1158"/>
      <c r="Y57" s="1158"/>
      <c r="Z57" s="1158"/>
      <c r="AA57" s="1158"/>
      <c r="AB57" s="1158"/>
      <c r="AC57" s="1158"/>
      <c r="AD57" s="45"/>
    </row>
    <row r="58" spans="1:30" ht="13.1">
      <c r="A58" s="44"/>
      <c r="B58" s="1158"/>
      <c r="C58" s="1158"/>
      <c r="D58" s="1158"/>
      <c r="E58" s="1158"/>
      <c r="F58" s="1158"/>
      <c r="G58" s="1158"/>
      <c r="H58" s="1158"/>
      <c r="I58" s="1158"/>
      <c r="J58" s="45"/>
      <c r="K58" s="44"/>
      <c r="L58" s="1158"/>
      <c r="M58" s="1158"/>
      <c r="N58" s="1158"/>
      <c r="O58" s="1158"/>
      <c r="P58" s="1158"/>
      <c r="Q58" s="1158"/>
      <c r="R58" s="1158"/>
      <c r="S58" s="1158"/>
      <c r="T58" s="45"/>
      <c r="U58" s="44"/>
      <c r="V58" s="1158"/>
      <c r="W58" s="1158"/>
      <c r="X58" s="1158"/>
      <c r="Y58" s="1158"/>
      <c r="Z58" s="1158"/>
      <c r="AA58" s="1158"/>
      <c r="AB58" s="1158"/>
      <c r="AC58" s="1158"/>
      <c r="AD58" s="45"/>
    </row>
    <row r="59" spans="1:30" ht="13.1">
      <c r="A59" s="1793" t="s">
        <v>274</v>
      </c>
      <c r="B59" s="1664"/>
      <c r="C59" s="22"/>
      <c r="D59" s="22"/>
      <c r="E59" s="22"/>
      <c r="F59" s="22"/>
      <c r="G59" s="22"/>
      <c r="H59" s="22"/>
      <c r="I59" s="22"/>
      <c r="J59" s="144"/>
      <c r="K59" s="1793" t="s">
        <v>274</v>
      </c>
      <c r="L59" s="1664"/>
      <c r="M59" s="22"/>
      <c r="N59" s="22"/>
      <c r="O59" s="22"/>
      <c r="P59" s="22"/>
      <c r="Q59" s="22"/>
      <c r="R59" s="22"/>
      <c r="S59" s="22"/>
      <c r="T59" s="144"/>
      <c r="U59" s="1793" t="s">
        <v>274</v>
      </c>
      <c r="V59" s="1664"/>
      <c r="W59" s="22"/>
      <c r="X59" s="22"/>
      <c r="Y59" s="22"/>
      <c r="Z59" s="22"/>
      <c r="AA59" s="22"/>
      <c r="AB59" s="22"/>
      <c r="AC59" s="22"/>
      <c r="AD59" s="144"/>
    </row>
    <row r="60" spans="1:30" ht="13.1">
      <c r="A60" s="137"/>
      <c r="B60" s="22"/>
      <c r="C60" s="22"/>
      <c r="D60" s="22"/>
      <c r="E60" s="22"/>
      <c r="F60" s="22"/>
      <c r="G60" s="22"/>
      <c r="H60" s="22"/>
      <c r="I60" s="22"/>
      <c r="J60" s="144"/>
      <c r="K60" s="137"/>
      <c r="L60" s="22"/>
      <c r="M60" s="22"/>
      <c r="N60" s="22"/>
      <c r="O60" s="22"/>
      <c r="P60" s="22"/>
      <c r="Q60" s="22"/>
      <c r="R60" s="22"/>
      <c r="S60" s="22"/>
      <c r="T60" s="144"/>
      <c r="U60" s="137"/>
      <c r="V60" s="22"/>
      <c r="W60" s="22"/>
      <c r="X60" s="22"/>
      <c r="Y60" s="22"/>
      <c r="Z60" s="22"/>
      <c r="AA60" s="22"/>
      <c r="AB60" s="22"/>
      <c r="AC60" s="22"/>
      <c r="AD60" s="144"/>
    </row>
    <row r="61" spans="1:30" ht="13.75" thickBot="1">
      <c r="A61" s="138"/>
      <c r="B61" s="139"/>
      <c r="C61" s="139"/>
      <c r="D61" s="139"/>
      <c r="E61" s="139" t="s">
        <v>821</v>
      </c>
      <c r="F61" s="139"/>
      <c r="G61" s="139"/>
      <c r="H61" s="139">
        <f>Summary!C63</f>
        <v>0</v>
      </c>
      <c r="I61" s="139"/>
      <c r="J61" s="206"/>
      <c r="K61" s="138"/>
      <c r="L61" s="139"/>
      <c r="M61" s="139"/>
      <c r="N61" s="139"/>
      <c r="O61" s="139" t="s">
        <v>821</v>
      </c>
      <c r="P61" s="139"/>
      <c r="Q61" s="139"/>
      <c r="R61" s="139">
        <f>H61</f>
        <v>0</v>
      </c>
      <c r="S61" s="139"/>
      <c r="T61" s="206"/>
      <c r="U61" s="138"/>
      <c r="V61" s="139"/>
      <c r="W61" s="139"/>
      <c r="X61" s="139"/>
      <c r="Y61" s="139" t="s">
        <v>821</v>
      </c>
      <c r="Z61" s="139"/>
      <c r="AA61" s="139"/>
      <c r="AB61" s="139">
        <f>R61</f>
        <v>0</v>
      </c>
      <c r="AC61" s="139"/>
      <c r="AD61" s="206"/>
    </row>
    <row r="62" spans="1:30">
      <c r="A62" s="2209" t="s">
        <v>865</v>
      </c>
      <c r="B62" s="2209"/>
      <c r="C62" s="2209"/>
      <c r="D62" s="2209"/>
      <c r="E62" s="2209"/>
      <c r="F62" s="2209"/>
      <c r="G62" s="2209"/>
      <c r="H62" s="2209"/>
      <c r="I62" s="2209"/>
      <c r="J62" s="2209"/>
    </row>
    <row r="63" spans="1:30">
      <c r="A63" s="2210"/>
      <c r="B63" s="2210"/>
      <c r="C63" s="2210"/>
      <c r="D63" s="2210"/>
      <c r="E63" s="2210"/>
      <c r="F63" s="2210"/>
      <c r="G63" s="2210"/>
      <c r="H63" s="2210"/>
      <c r="I63" s="2210"/>
      <c r="J63" s="2210"/>
    </row>
    <row r="64" spans="1:30" ht="13.1">
      <c r="A64" s="1425"/>
      <c r="B64" s="1425"/>
      <c r="C64" s="1425" t="s">
        <v>1574</v>
      </c>
      <c r="D64" s="1425" t="s">
        <v>1575</v>
      </c>
      <c r="E64" s="1425" t="s">
        <v>1576</v>
      </c>
      <c r="F64" s="1425" t="s">
        <v>1577</v>
      </c>
      <c r="G64" s="1425" t="s">
        <v>1578</v>
      </c>
      <c r="H64" s="1425" t="s">
        <v>1579</v>
      </c>
      <c r="I64" s="1425"/>
      <c r="J64" s="1425"/>
    </row>
    <row r="65" spans="1:22" s="726" customFormat="1" ht="10.3">
      <c r="A65" s="726" t="s">
        <v>809</v>
      </c>
      <c r="B65" s="726" t="s">
        <v>866</v>
      </c>
      <c r="C65" s="726" t="s">
        <v>1580</v>
      </c>
      <c r="D65" s="726" t="s">
        <v>1580</v>
      </c>
      <c r="E65" s="726" t="s">
        <v>1580</v>
      </c>
      <c r="F65" s="726" t="s">
        <v>1580</v>
      </c>
      <c r="G65" s="726" t="s">
        <v>1580</v>
      </c>
      <c r="H65" s="726" t="s">
        <v>1580</v>
      </c>
      <c r="I65" s="726" t="s">
        <v>868</v>
      </c>
      <c r="J65" s="726" t="s">
        <v>867</v>
      </c>
      <c r="K65" s="1131" t="s">
        <v>579</v>
      </c>
      <c r="U65" s="1131" t="s">
        <v>579</v>
      </c>
    </row>
    <row r="66" spans="1:22">
      <c r="A66" s="729">
        <f>'Daily Load'!C3</f>
        <v>0</v>
      </c>
      <c r="B66" s="730"/>
      <c r="C66" s="730">
        <v>0</v>
      </c>
      <c r="D66" s="730"/>
      <c r="E66" s="730"/>
      <c r="F66" s="730"/>
      <c r="G66" s="730"/>
      <c r="H66" s="730"/>
      <c r="I66" s="730">
        <f t="shared" ref="I66:I95" si="0">SUM(B66:H66)</f>
        <v>0</v>
      </c>
      <c r="J66" s="1130" t="str">
        <f>IF(I66&lt;&gt;SUM('Daily Load'!L16:W16),"ERROR","OK")</f>
        <v>OK</v>
      </c>
      <c r="K66" s="97">
        <f>SUM('Daily Load'!L16:AC16)-Load!I66</f>
        <v>0</v>
      </c>
      <c r="L66" s="1129" t="str">
        <f t="shared" ref="L66:L95" si="1">IF(J66="OK"," ",IF(K66&lt;0,"Tank volumes exceed amount posted in Daily Load","Tank volumes are LESS than amount posted in Daily Load"))</f>
        <v xml:space="preserve"> </v>
      </c>
      <c r="U66" s="97">
        <f>SUM('Daily Load'!V16:AG16)-Load!S66</f>
        <v>0</v>
      </c>
      <c r="V66" s="1129" t="str">
        <f t="shared" ref="V66:V95" si="2">IF(T66="OK"," ",IF(U66&lt;0,"Tank volumes exceed amount posted in Daily Load","Tank volumes are LESS than amount posted in Daily Load"))</f>
        <v>Tank volumes are LESS than amount posted in Daily Load</v>
      </c>
    </row>
    <row r="67" spans="1:22">
      <c r="A67" s="729">
        <f>'Daily Load'!C25</f>
        <v>1</v>
      </c>
      <c r="B67" s="730"/>
      <c r="C67" s="730"/>
      <c r="D67" s="730"/>
      <c r="E67" s="730"/>
      <c r="F67" s="730"/>
      <c r="G67" s="730"/>
      <c r="H67" s="730"/>
      <c r="I67" s="730">
        <f t="shared" si="0"/>
        <v>0</v>
      </c>
      <c r="J67" s="1130" t="str">
        <f>IF(I67&lt;&gt;SUM('Daily Load'!L34:W34),"ERROR","OK")</f>
        <v>OK</v>
      </c>
      <c r="K67" s="97">
        <f>SUM('Daily Load'!L34:AC34)-Load!I67</f>
        <v>0</v>
      </c>
      <c r="L67" s="1129" t="str">
        <f t="shared" si="1"/>
        <v xml:space="preserve"> </v>
      </c>
      <c r="U67" s="97">
        <f>SUM('Daily Load'!V34:AG34)-Load!S67</f>
        <v>0</v>
      </c>
      <c r="V67" s="1129" t="str">
        <f t="shared" si="2"/>
        <v>Tank volumes are LESS than amount posted in Daily Load</v>
      </c>
    </row>
    <row r="68" spans="1:22">
      <c r="A68" s="729">
        <f>'Daily Load'!C43</f>
        <v>2</v>
      </c>
      <c r="B68" s="730"/>
      <c r="C68" s="730"/>
      <c r="D68" s="730"/>
      <c r="E68" s="730"/>
      <c r="F68" s="730"/>
      <c r="G68" s="730"/>
      <c r="H68" s="730"/>
      <c r="I68" s="730">
        <f t="shared" si="0"/>
        <v>0</v>
      </c>
      <c r="J68" s="1130" t="str">
        <f>IF(I68&lt;&gt;SUM('Daily Load'!L52:W52),"ERROR","OK")</f>
        <v>OK</v>
      </c>
      <c r="K68" s="97">
        <f>SUM('Daily Load'!L52:AC52)-Load!I68</f>
        <v>0</v>
      </c>
      <c r="L68" s="1129" t="str">
        <f t="shared" si="1"/>
        <v xml:space="preserve"> </v>
      </c>
      <c r="U68" s="97">
        <f>SUM('Daily Load'!V52:AG52)-Load!S68</f>
        <v>0</v>
      </c>
      <c r="V68" s="1129" t="str">
        <f t="shared" si="2"/>
        <v>Tank volumes are LESS than amount posted in Daily Load</v>
      </c>
    </row>
    <row r="69" spans="1:22">
      <c r="A69" s="729">
        <f>'Daily Load'!C61</f>
        <v>3</v>
      </c>
      <c r="B69" s="730"/>
      <c r="C69" s="730"/>
      <c r="D69" s="730"/>
      <c r="E69" s="730"/>
      <c r="F69" s="730"/>
      <c r="G69" s="730"/>
      <c r="H69" s="730"/>
      <c r="I69" s="730">
        <f t="shared" si="0"/>
        <v>0</v>
      </c>
      <c r="J69" s="1130" t="str">
        <f>IF(I69&lt;&gt;SUM('Daily Load'!L70:W70),"ERROR","OK")</f>
        <v>OK</v>
      </c>
      <c r="K69" s="97">
        <f>SUM('Daily Load'!L70:AC70)-Load!I69</f>
        <v>0</v>
      </c>
      <c r="L69" s="1129" t="str">
        <f t="shared" si="1"/>
        <v xml:space="preserve"> </v>
      </c>
      <c r="U69" s="97">
        <f>SUM('Daily Load'!V70:AG70)-Load!S69</f>
        <v>0</v>
      </c>
      <c r="V69" s="1129" t="str">
        <f t="shared" si="2"/>
        <v>Tank volumes are LESS than amount posted in Daily Load</v>
      </c>
    </row>
    <row r="70" spans="1:22">
      <c r="A70" s="729">
        <f>'Daily Load'!C79</f>
        <v>4</v>
      </c>
      <c r="B70" s="730"/>
      <c r="C70" s="730"/>
      <c r="D70" s="730"/>
      <c r="E70" s="730"/>
      <c r="F70" s="730"/>
      <c r="G70" s="730"/>
      <c r="H70" s="730"/>
      <c r="I70" s="730">
        <f t="shared" si="0"/>
        <v>0</v>
      </c>
      <c r="J70" s="1130" t="str">
        <f>IF(I70&lt;&gt;SUM('Daily Load'!L88:W88),"ERROR","OK")</f>
        <v>OK</v>
      </c>
      <c r="K70" s="97">
        <f>SUM('Daily Load'!L88:AC88)-Load!I70</f>
        <v>0</v>
      </c>
      <c r="L70" s="1129" t="str">
        <f t="shared" si="1"/>
        <v xml:space="preserve"> </v>
      </c>
      <c r="U70" s="97">
        <f>SUM('Daily Load'!V88:AG88)-Load!S70</f>
        <v>0</v>
      </c>
      <c r="V70" s="1129" t="str">
        <f t="shared" si="2"/>
        <v>Tank volumes are LESS than amount posted in Daily Load</v>
      </c>
    </row>
    <row r="71" spans="1:22">
      <c r="A71" s="729">
        <f>'Daily Load'!C97</f>
        <v>5</v>
      </c>
      <c r="B71" s="730"/>
      <c r="C71" s="730"/>
      <c r="D71" s="730"/>
      <c r="E71" s="730"/>
      <c r="F71" s="730"/>
      <c r="G71" s="730"/>
      <c r="H71" s="730"/>
      <c r="I71" s="730">
        <f t="shared" si="0"/>
        <v>0</v>
      </c>
      <c r="J71" s="1130" t="str">
        <f>IF(I71&lt;&gt;SUM('Daily Load'!L106:W106),"ERROR","OK")</f>
        <v>OK</v>
      </c>
      <c r="K71" s="97">
        <f>SUM('Daily Load'!L106:AC106)-Load!I71</f>
        <v>0</v>
      </c>
      <c r="L71" s="1129" t="str">
        <f t="shared" si="1"/>
        <v xml:space="preserve"> </v>
      </c>
      <c r="U71" s="97">
        <f>SUM('Daily Load'!V106:AG106)-Load!S71</f>
        <v>0</v>
      </c>
      <c r="V71" s="1129" t="str">
        <f t="shared" si="2"/>
        <v>Tank volumes are LESS than amount posted in Daily Load</v>
      </c>
    </row>
    <row r="72" spans="1:22">
      <c r="A72" s="729">
        <f>'Daily Load'!C115</f>
        <v>6</v>
      </c>
      <c r="B72" s="730"/>
      <c r="C72" s="730"/>
      <c r="D72" s="730"/>
      <c r="E72" s="730"/>
      <c r="F72" s="730"/>
      <c r="G72" s="730"/>
      <c r="H72" s="730"/>
      <c r="I72" s="730">
        <f t="shared" si="0"/>
        <v>0</v>
      </c>
      <c r="J72" s="1130" t="str">
        <f>IF(I72&lt;&gt;SUM('Daily Load'!L124:W124),"ERROR","OK")</f>
        <v>OK</v>
      </c>
      <c r="K72" s="97">
        <f>SUM('Daily Load'!L124:AC124)-Load!I72</f>
        <v>0</v>
      </c>
      <c r="L72" s="1129" t="str">
        <f t="shared" si="1"/>
        <v xml:space="preserve"> </v>
      </c>
      <c r="U72" s="97">
        <f>SUM('Daily Load'!V124:AG124)-Load!S72</f>
        <v>0</v>
      </c>
      <c r="V72" s="1129" t="str">
        <f t="shared" si="2"/>
        <v>Tank volumes are LESS than amount posted in Daily Load</v>
      </c>
    </row>
    <row r="73" spans="1:22">
      <c r="A73" s="729">
        <f>'Daily Load'!C133</f>
        <v>7</v>
      </c>
      <c r="B73" s="730"/>
      <c r="C73" s="730"/>
      <c r="D73" s="730"/>
      <c r="E73" s="730"/>
      <c r="F73" s="730"/>
      <c r="G73" s="730"/>
      <c r="H73" s="730"/>
      <c r="I73" s="730">
        <f t="shared" si="0"/>
        <v>0</v>
      </c>
      <c r="J73" s="1130" t="str">
        <f>IF(I73&lt;&gt;SUM('Daily Load'!L142:W142),"ERROR","OK")</f>
        <v>OK</v>
      </c>
      <c r="K73" s="97">
        <f>SUM('Daily Load'!L142:AC142)-Load!I73</f>
        <v>0</v>
      </c>
      <c r="L73" s="1129" t="str">
        <f t="shared" si="1"/>
        <v xml:space="preserve"> </v>
      </c>
      <c r="U73" s="97">
        <f>SUM('Daily Load'!V142:AG142)-Load!S73</f>
        <v>0</v>
      </c>
      <c r="V73" s="1129" t="str">
        <f t="shared" si="2"/>
        <v>Tank volumes are LESS than amount posted in Daily Load</v>
      </c>
    </row>
    <row r="74" spans="1:22">
      <c r="A74" s="729">
        <f>'Daily Load'!C151</f>
        <v>8</v>
      </c>
      <c r="B74" s="730"/>
      <c r="C74" s="730"/>
      <c r="D74" s="730"/>
      <c r="E74" s="730"/>
      <c r="F74" s="730"/>
      <c r="G74" s="730"/>
      <c r="H74" s="730"/>
      <c r="I74" s="730">
        <f t="shared" si="0"/>
        <v>0</v>
      </c>
      <c r="J74" s="1130" t="str">
        <f>IF(I74&lt;&gt;SUM('Daily Load'!L160:W160),"ERROR","OK")</f>
        <v>OK</v>
      </c>
      <c r="K74" s="97">
        <f>SUM('Daily Load'!L160:AC160)-Load!I74</f>
        <v>0</v>
      </c>
      <c r="L74" s="1129" t="str">
        <f t="shared" si="1"/>
        <v xml:space="preserve"> </v>
      </c>
      <c r="U74" s="97">
        <f>SUM('Daily Load'!V160:AG160)-Load!S74</f>
        <v>0</v>
      </c>
      <c r="V74" s="1129" t="str">
        <f t="shared" si="2"/>
        <v>Tank volumes are LESS than amount posted in Daily Load</v>
      </c>
    </row>
    <row r="75" spans="1:22">
      <c r="A75" s="729">
        <f>'Daily Load'!C169</f>
        <v>9</v>
      </c>
      <c r="B75" s="730"/>
      <c r="C75" s="730"/>
      <c r="D75" s="730"/>
      <c r="E75" s="730"/>
      <c r="F75" s="730"/>
      <c r="G75" s="730"/>
      <c r="H75" s="730"/>
      <c r="I75" s="730">
        <f t="shared" si="0"/>
        <v>0</v>
      </c>
      <c r="J75" s="1130" t="str">
        <f>IF(I75&lt;&gt;SUM('Daily Load'!L178:W178),"ERROR","OK")</f>
        <v>OK</v>
      </c>
      <c r="K75" s="97">
        <f>SUM('Daily Load'!L178:AC178)-Load!I75</f>
        <v>0</v>
      </c>
      <c r="L75" s="1129" t="str">
        <f t="shared" si="1"/>
        <v xml:space="preserve"> </v>
      </c>
      <c r="U75" s="97">
        <f>SUM('Daily Load'!V178:AG178)-Load!S75</f>
        <v>0</v>
      </c>
      <c r="V75" s="1129" t="str">
        <f t="shared" si="2"/>
        <v>Tank volumes are LESS than amount posted in Daily Load</v>
      </c>
    </row>
    <row r="76" spans="1:22">
      <c r="A76" s="729">
        <f>'Daily Load'!C187</f>
        <v>10</v>
      </c>
      <c r="B76" s="730"/>
      <c r="C76" s="730"/>
      <c r="D76" s="730"/>
      <c r="E76" s="730"/>
      <c r="F76" s="730"/>
      <c r="G76" s="730"/>
      <c r="H76" s="730"/>
      <c r="I76" s="730">
        <f t="shared" si="0"/>
        <v>0</v>
      </c>
      <c r="J76" s="1130" t="str">
        <f>IF(I76&lt;&gt;SUM('Daily Load'!L196:W196),"ERROR","OK")</f>
        <v>OK</v>
      </c>
      <c r="K76" s="97">
        <f>SUM('Daily Load'!L196:AC196)-Load!I76</f>
        <v>0</v>
      </c>
      <c r="L76" s="1129" t="str">
        <f t="shared" si="1"/>
        <v xml:space="preserve"> </v>
      </c>
      <c r="U76" s="97">
        <f>SUM('Daily Load'!V196:AG196)-Load!S76</f>
        <v>0</v>
      </c>
      <c r="V76" s="1129" t="str">
        <f t="shared" si="2"/>
        <v>Tank volumes are LESS than amount posted in Daily Load</v>
      </c>
    </row>
    <row r="77" spans="1:22">
      <c r="A77" s="729">
        <f>'Daily Load'!C205</f>
        <v>11</v>
      </c>
      <c r="B77" s="730"/>
      <c r="C77" s="730"/>
      <c r="D77" s="730"/>
      <c r="E77" s="730"/>
      <c r="F77" s="730"/>
      <c r="G77" s="730"/>
      <c r="H77" s="730"/>
      <c r="I77" s="730">
        <f t="shared" si="0"/>
        <v>0</v>
      </c>
      <c r="J77" s="1130" t="str">
        <f>IF(I77&lt;&gt;SUM('Daily Load'!L214:W214),"ERROR","OK")</f>
        <v>OK</v>
      </c>
      <c r="K77" s="97">
        <f>SUM('Daily Load'!L214:AC214)-Load!I77</f>
        <v>0</v>
      </c>
      <c r="L77" s="1129" t="str">
        <f t="shared" si="1"/>
        <v xml:space="preserve"> </v>
      </c>
      <c r="U77" s="97">
        <f>SUM('Daily Load'!V214:AG214)-Load!S77</f>
        <v>0</v>
      </c>
      <c r="V77" s="1129" t="str">
        <f t="shared" si="2"/>
        <v>Tank volumes are LESS than amount posted in Daily Load</v>
      </c>
    </row>
    <row r="78" spans="1:22">
      <c r="A78" s="729">
        <f>'Daily Load'!C223</f>
        <v>12</v>
      </c>
      <c r="B78" s="730"/>
      <c r="C78" s="730"/>
      <c r="D78" s="730"/>
      <c r="E78" s="730"/>
      <c r="F78" s="730"/>
      <c r="G78" s="730"/>
      <c r="H78" s="730"/>
      <c r="I78" s="730">
        <f t="shared" si="0"/>
        <v>0</v>
      </c>
      <c r="J78" s="1130" t="str">
        <f>IF(I78&lt;&gt;SUM('Daily Load'!L232:W232),"ERROR","OK")</f>
        <v>OK</v>
      </c>
      <c r="K78" s="97">
        <f>SUM('Daily Load'!L232:AC232)-Load!I78</f>
        <v>0</v>
      </c>
      <c r="L78" s="1129" t="str">
        <f t="shared" si="1"/>
        <v xml:space="preserve"> </v>
      </c>
      <c r="U78" s="97">
        <f>SUM('Daily Load'!V232:AG232)-Load!S78</f>
        <v>0</v>
      </c>
      <c r="V78" s="1129" t="str">
        <f t="shared" si="2"/>
        <v>Tank volumes are LESS than amount posted in Daily Load</v>
      </c>
    </row>
    <row r="79" spans="1:22">
      <c r="A79" s="729">
        <f>'Daily Load'!C241</f>
        <v>13</v>
      </c>
      <c r="B79" s="730"/>
      <c r="C79" s="730"/>
      <c r="D79" s="730"/>
      <c r="E79" s="730"/>
      <c r="F79" s="730"/>
      <c r="G79" s="730"/>
      <c r="H79" s="730"/>
      <c r="I79" s="730">
        <f t="shared" si="0"/>
        <v>0</v>
      </c>
      <c r="J79" s="1130" t="str">
        <f>IF(I79&lt;&gt;SUM('Daily Load'!L250:W250),"ERROR","OK")</f>
        <v>OK</v>
      </c>
      <c r="K79" s="97">
        <f>SUM('Daily Load'!L250:AC250)-Load!I79</f>
        <v>0</v>
      </c>
      <c r="L79" s="1129" t="str">
        <f t="shared" si="1"/>
        <v xml:space="preserve"> </v>
      </c>
      <c r="U79" s="97">
        <f>SUM('Daily Load'!V250:AG250)-Load!S79</f>
        <v>0</v>
      </c>
      <c r="V79" s="1129" t="str">
        <f t="shared" si="2"/>
        <v>Tank volumes are LESS than amount posted in Daily Load</v>
      </c>
    </row>
    <row r="80" spans="1:22">
      <c r="A80" s="729">
        <f>'Daily Load'!C259</f>
        <v>14</v>
      </c>
      <c r="B80" s="730"/>
      <c r="C80" s="730"/>
      <c r="D80" s="730"/>
      <c r="E80" s="730"/>
      <c r="F80" s="730"/>
      <c r="G80" s="730"/>
      <c r="H80" s="730"/>
      <c r="I80" s="730">
        <f t="shared" si="0"/>
        <v>0</v>
      </c>
      <c r="J80" s="1130" t="str">
        <f>IF(I80&lt;&gt;SUM('Daily Load'!L268:W268),"ERROR","OK")</f>
        <v>OK</v>
      </c>
      <c r="K80" s="97">
        <f>SUM('Daily Load'!L268:AC268)-Load!I80</f>
        <v>0</v>
      </c>
      <c r="L80" s="1129" t="str">
        <f t="shared" si="1"/>
        <v xml:space="preserve"> </v>
      </c>
      <c r="U80" s="97">
        <f>SUM('Daily Load'!V268:AG268)-Load!S80</f>
        <v>0</v>
      </c>
      <c r="V80" s="1129" t="str">
        <f t="shared" si="2"/>
        <v>Tank volumes are LESS than amount posted in Daily Load</v>
      </c>
    </row>
    <row r="81" spans="1:22">
      <c r="A81" s="729">
        <f>'Daily Load'!C277</f>
        <v>15</v>
      </c>
      <c r="B81" s="730"/>
      <c r="C81" s="730"/>
      <c r="D81" s="730"/>
      <c r="E81" s="730"/>
      <c r="F81" s="730"/>
      <c r="G81" s="730"/>
      <c r="H81" s="730"/>
      <c r="I81" s="730">
        <f t="shared" si="0"/>
        <v>0</v>
      </c>
      <c r="J81" s="1130" t="str">
        <f>IF(I81&lt;&gt;SUM('Daily Load'!L286:W286),"ERROR","OK")</f>
        <v>OK</v>
      </c>
      <c r="K81" s="97">
        <f>SUM('Daily Load'!L286:AC286)-Load!I81</f>
        <v>0</v>
      </c>
      <c r="L81" s="1129" t="str">
        <f t="shared" si="1"/>
        <v xml:space="preserve"> </v>
      </c>
      <c r="U81" s="97">
        <f>SUM('Daily Load'!V286:AG286)-Load!S81</f>
        <v>0</v>
      </c>
      <c r="V81" s="1129" t="str">
        <f t="shared" si="2"/>
        <v>Tank volumes are LESS than amount posted in Daily Load</v>
      </c>
    </row>
    <row r="82" spans="1:22">
      <c r="A82" s="729">
        <f>'Daily Load'!C295</f>
        <v>16</v>
      </c>
      <c r="B82" s="730"/>
      <c r="C82" s="730"/>
      <c r="D82" s="730"/>
      <c r="E82" s="730"/>
      <c r="F82" s="730"/>
      <c r="G82" s="730"/>
      <c r="H82" s="730"/>
      <c r="I82" s="730">
        <f t="shared" si="0"/>
        <v>0</v>
      </c>
      <c r="J82" s="1130" t="str">
        <f>IF(I82&lt;&gt;SUM('Daily Load'!L304:W304),"ERROR","OK")</f>
        <v>OK</v>
      </c>
      <c r="K82" s="97">
        <f>SUM('Daily Load'!L304:AC304)-Load!I82</f>
        <v>0</v>
      </c>
      <c r="L82" s="1129" t="str">
        <f t="shared" si="1"/>
        <v xml:space="preserve"> </v>
      </c>
      <c r="U82" s="97">
        <f>SUM('Daily Load'!V304:AG304)-Load!S82</f>
        <v>0</v>
      </c>
      <c r="V82" s="1129" t="str">
        <f t="shared" si="2"/>
        <v>Tank volumes are LESS than amount posted in Daily Load</v>
      </c>
    </row>
    <row r="83" spans="1:22">
      <c r="A83" s="729">
        <f>'Daily Load'!C313</f>
        <v>17</v>
      </c>
      <c r="B83" s="730"/>
      <c r="C83" s="730"/>
      <c r="D83" s="730"/>
      <c r="E83" s="730"/>
      <c r="F83" s="730"/>
      <c r="G83" s="730"/>
      <c r="H83" s="730"/>
      <c r="I83" s="730">
        <f t="shared" si="0"/>
        <v>0</v>
      </c>
      <c r="J83" s="1130" t="str">
        <f>IF(I83&lt;&gt;SUM('Daily Load'!L322:W322),"ERROR","OK")</f>
        <v>OK</v>
      </c>
      <c r="K83" s="97">
        <f>SUM('Daily Load'!L322:AC322)-Load!I83</f>
        <v>0</v>
      </c>
      <c r="L83" s="1129" t="str">
        <f t="shared" si="1"/>
        <v xml:space="preserve"> </v>
      </c>
      <c r="U83" s="97">
        <f>SUM('Daily Load'!V322:AG322)-Load!S83</f>
        <v>0</v>
      </c>
      <c r="V83" s="1129" t="str">
        <f t="shared" si="2"/>
        <v>Tank volumes are LESS than amount posted in Daily Load</v>
      </c>
    </row>
    <row r="84" spans="1:22">
      <c r="A84" s="729">
        <f>'Daily Load'!C331</f>
        <v>18</v>
      </c>
      <c r="B84" s="730"/>
      <c r="C84" s="730"/>
      <c r="D84" s="730"/>
      <c r="E84" s="730"/>
      <c r="F84" s="730"/>
      <c r="G84" s="730"/>
      <c r="H84" s="730"/>
      <c r="I84" s="730">
        <f t="shared" si="0"/>
        <v>0</v>
      </c>
      <c r="J84" s="1130" t="str">
        <f>IF(I84&lt;&gt;SUM('Daily Load'!L340:W340),"ERROR","OK")</f>
        <v>OK</v>
      </c>
      <c r="K84" s="97">
        <f>SUM('Daily Load'!L340:AC340)-Load!I84</f>
        <v>0</v>
      </c>
      <c r="L84" s="1129" t="str">
        <f t="shared" si="1"/>
        <v xml:space="preserve"> </v>
      </c>
      <c r="U84" s="97">
        <f>SUM('Daily Load'!V340:AG340)-Load!S84</f>
        <v>0</v>
      </c>
      <c r="V84" s="1129" t="str">
        <f t="shared" si="2"/>
        <v>Tank volumes are LESS than amount posted in Daily Load</v>
      </c>
    </row>
    <row r="85" spans="1:22">
      <c r="A85" s="729">
        <f>'Daily Load'!C349</f>
        <v>19</v>
      </c>
      <c r="B85" s="730"/>
      <c r="C85" s="730"/>
      <c r="D85" s="730"/>
      <c r="E85" s="730"/>
      <c r="F85" s="730"/>
      <c r="G85" s="730"/>
      <c r="H85" s="730"/>
      <c r="I85" s="730">
        <f t="shared" si="0"/>
        <v>0</v>
      </c>
      <c r="J85" s="1130" t="str">
        <f>IF(I85&lt;&gt;SUM('Daily Load'!L358:W358),"ERROR","OK")</f>
        <v>OK</v>
      </c>
      <c r="K85" s="97">
        <f>SUM('Daily Load'!L358:AC358)-Load!I85</f>
        <v>0</v>
      </c>
      <c r="L85" s="1129" t="str">
        <f t="shared" si="1"/>
        <v xml:space="preserve"> </v>
      </c>
      <c r="U85" s="97">
        <f>SUM('Daily Load'!V358:AG358)-Load!S85</f>
        <v>0</v>
      </c>
      <c r="V85" s="1129" t="str">
        <f t="shared" si="2"/>
        <v>Tank volumes are LESS than amount posted in Daily Load</v>
      </c>
    </row>
    <row r="86" spans="1:22">
      <c r="A86" s="729">
        <f>'Daily Load'!C367</f>
        <v>20</v>
      </c>
      <c r="B86" s="730"/>
      <c r="C86" s="730"/>
      <c r="D86" s="730"/>
      <c r="E86" s="730"/>
      <c r="F86" s="730"/>
      <c r="G86" s="730"/>
      <c r="H86" s="730"/>
      <c r="I86" s="730">
        <f t="shared" si="0"/>
        <v>0</v>
      </c>
      <c r="J86" s="1130" t="str">
        <f>IF(I86&lt;&gt;SUM('Daily Load'!L376:W376),"ERROR","OK")</f>
        <v>OK</v>
      </c>
      <c r="K86" s="97">
        <f>SUM('Daily Load'!L376:AC376)-Load!I86</f>
        <v>0</v>
      </c>
      <c r="L86" s="1129" t="str">
        <f t="shared" si="1"/>
        <v xml:space="preserve"> </v>
      </c>
      <c r="U86" s="97">
        <f>SUM('Daily Load'!V376:AG376)-Load!S86</f>
        <v>0</v>
      </c>
      <c r="V86" s="1129" t="str">
        <f t="shared" si="2"/>
        <v>Tank volumes are LESS than amount posted in Daily Load</v>
      </c>
    </row>
    <row r="87" spans="1:22">
      <c r="A87" s="729">
        <f>'Daily Load'!C385</f>
        <v>21</v>
      </c>
      <c r="B87" s="730"/>
      <c r="C87" s="730"/>
      <c r="D87" s="730"/>
      <c r="E87" s="730"/>
      <c r="F87" s="730"/>
      <c r="G87" s="730"/>
      <c r="H87" s="730"/>
      <c r="I87" s="730">
        <f t="shared" si="0"/>
        <v>0</v>
      </c>
      <c r="J87" s="1130" t="str">
        <f>IF(I87&lt;&gt;SUM('Daily Load'!L394:W394),"ERROR","OK")</f>
        <v>OK</v>
      </c>
      <c r="K87" s="97">
        <f>SUM('Daily Load'!L394:AC394)-Load!I87</f>
        <v>0</v>
      </c>
      <c r="L87" s="1129" t="str">
        <f t="shared" si="1"/>
        <v xml:space="preserve"> </v>
      </c>
      <c r="U87" s="97">
        <f>SUM('Daily Load'!V394:AG394)-Load!S87</f>
        <v>0</v>
      </c>
      <c r="V87" s="1129" t="str">
        <f t="shared" si="2"/>
        <v>Tank volumes are LESS than amount posted in Daily Load</v>
      </c>
    </row>
    <row r="88" spans="1:22">
      <c r="A88" s="729">
        <f>'Daily Load'!C403</f>
        <v>22</v>
      </c>
      <c r="B88" s="730"/>
      <c r="C88" s="730"/>
      <c r="D88" s="730"/>
      <c r="E88" s="730"/>
      <c r="F88" s="730"/>
      <c r="G88" s="730"/>
      <c r="H88" s="730"/>
      <c r="I88" s="730">
        <f t="shared" si="0"/>
        <v>0</v>
      </c>
      <c r="J88" s="1130" t="str">
        <f>IF(I88&lt;&gt;SUM('Daily Load'!L412:W412),"ERROR","OK")</f>
        <v>OK</v>
      </c>
      <c r="K88" s="97">
        <f>SUM('Daily Load'!L412:AC412)-Load!I88</f>
        <v>0</v>
      </c>
      <c r="L88" s="1129" t="str">
        <f t="shared" si="1"/>
        <v xml:space="preserve"> </v>
      </c>
      <c r="U88" s="97">
        <f>SUM('Daily Load'!V412:AG412)-Load!S88</f>
        <v>0</v>
      </c>
      <c r="V88" s="1129" t="str">
        <f t="shared" si="2"/>
        <v>Tank volumes are LESS than amount posted in Daily Load</v>
      </c>
    </row>
    <row r="89" spans="1:22">
      <c r="A89" s="729">
        <f>'Daily Load'!C421</f>
        <v>23</v>
      </c>
      <c r="B89" s="730"/>
      <c r="C89" s="730"/>
      <c r="D89" s="730"/>
      <c r="E89" s="730"/>
      <c r="F89" s="730"/>
      <c r="G89" s="730"/>
      <c r="H89" s="730"/>
      <c r="I89" s="730">
        <f t="shared" si="0"/>
        <v>0</v>
      </c>
      <c r="J89" s="1130" t="str">
        <f>IF(I89&lt;&gt;SUM('Daily Load'!L430:W430),"ERROR","OK")</f>
        <v>OK</v>
      </c>
      <c r="K89" s="97">
        <f>SUM('Daily Load'!L430:AC430)-Load!I89</f>
        <v>0</v>
      </c>
      <c r="L89" s="1129" t="str">
        <f t="shared" si="1"/>
        <v xml:space="preserve"> </v>
      </c>
      <c r="U89" s="97">
        <f>SUM('Daily Load'!V430:AG430)-Load!S89</f>
        <v>0</v>
      </c>
      <c r="V89" s="1129" t="str">
        <f t="shared" si="2"/>
        <v>Tank volumes are LESS than amount posted in Daily Load</v>
      </c>
    </row>
    <row r="90" spans="1:22">
      <c r="A90" s="729">
        <f>'Daily Load'!C439</f>
        <v>24</v>
      </c>
      <c r="B90" s="730"/>
      <c r="C90" s="730"/>
      <c r="D90" s="730"/>
      <c r="E90" s="730"/>
      <c r="F90" s="730"/>
      <c r="G90" s="730"/>
      <c r="H90" s="730"/>
      <c r="I90" s="730">
        <f t="shared" si="0"/>
        <v>0</v>
      </c>
      <c r="J90" s="1130" t="str">
        <f>IF(I90&lt;&gt;SUM('Daily Load'!L448:W448),"ERROR","OK")</f>
        <v>OK</v>
      </c>
      <c r="K90" s="97">
        <f>SUM('Daily Load'!L448:AC448)-Load!I90</f>
        <v>0</v>
      </c>
      <c r="L90" s="1129" t="str">
        <f t="shared" si="1"/>
        <v xml:space="preserve"> </v>
      </c>
      <c r="U90" s="97">
        <f>SUM('Daily Load'!V448:AG448)-Load!S90</f>
        <v>0</v>
      </c>
      <c r="V90" s="1129" t="str">
        <f t="shared" si="2"/>
        <v>Tank volumes are LESS than amount posted in Daily Load</v>
      </c>
    </row>
    <row r="91" spans="1:22">
      <c r="A91" s="729">
        <f>'Daily Load'!C457</f>
        <v>25</v>
      </c>
      <c r="B91" s="730"/>
      <c r="C91" s="730"/>
      <c r="D91" s="730"/>
      <c r="E91" s="730"/>
      <c r="F91" s="730"/>
      <c r="G91" s="730"/>
      <c r="H91" s="730"/>
      <c r="I91" s="730">
        <f t="shared" si="0"/>
        <v>0</v>
      </c>
      <c r="J91" s="1130" t="str">
        <f>IF(I91&lt;&gt;SUM('Daily Load'!L466:W466),"ERROR","OK")</f>
        <v>OK</v>
      </c>
      <c r="K91" s="97">
        <f>SUM('Daily Load'!L466:AC466)-Load!I91</f>
        <v>0</v>
      </c>
      <c r="L91" s="1129" t="str">
        <f t="shared" si="1"/>
        <v xml:space="preserve"> </v>
      </c>
      <c r="U91" s="97">
        <f>SUM('Daily Load'!V466:AG466)-Load!S91</f>
        <v>0</v>
      </c>
      <c r="V91" s="1129" t="str">
        <f t="shared" si="2"/>
        <v>Tank volumes are LESS than amount posted in Daily Load</v>
      </c>
    </row>
    <row r="92" spans="1:22">
      <c r="A92" s="729">
        <f>'Daily Load'!C475</f>
        <v>26</v>
      </c>
      <c r="B92" s="730"/>
      <c r="C92" s="730"/>
      <c r="D92" s="730"/>
      <c r="E92" s="730"/>
      <c r="F92" s="730"/>
      <c r="G92" s="730"/>
      <c r="H92" s="730"/>
      <c r="I92" s="730">
        <f t="shared" si="0"/>
        <v>0</v>
      </c>
      <c r="J92" s="1130" t="str">
        <f>IF(I92&lt;&gt;SUM('Daily Load'!L484:W484),"ERROR","OK")</f>
        <v>OK</v>
      </c>
      <c r="K92" s="97">
        <f>SUM('Daily Load'!L484:AC484)-Load!I92</f>
        <v>0</v>
      </c>
      <c r="L92" s="1129" t="str">
        <f t="shared" si="1"/>
        <v xml:space="preserve"> </v>
      </c>
      <c r="U92" s="97">
        <f>SUM('Daily Load'!V484:AG484)-Load!S92</f>
        <v>0</v>
      </c>
      <c r="V92" s="1129" t="str">
        <f t="shared" si="2"/>
        <v>Tank volumes are LESS than amount posted in Daily Load</v>
      </c>
    </row>
    <row r="93" spans="1:22">
      <c r="A93" s="729">
        <f>'Daily Load'!C493</f>
        <v>27</v>
      </c>
      <c r="B93" s="730"/>
      <c r="C93" s="730"/>
      <c r="D93" s="730"/>
      <c r="E93" s="730"/>
      <c r="F93" s="730"/>
      <c r="G93" s="730"/>
      <c r="H93" s="730"/>
      <c r="I93" s="730">
        <f t="shared" si="0"/>
        <v>0</v>
      </c>
      <c r="J93" s="1130" t="str">
        <f>IF(I93&lt;&gt;SUM('Daily Load'!L502:W502),"ERROR","OK")</f>
        <v>OK</v>
      </c>
      <c r="K93" s="97">
        <f>SUM('Daily Load'!L502:AC502)-Load!I93</f>
        <v>0</v>
      </c>
      <c r="L93" s="1129" t="str">
        <f t="shared" si="1"/>
        <v xml:space="preserve"> </v>
      </c>
      <c r="U93" s="97">
        <f>SUM('Daily Load'!V502:AG502)-Load!S93</f>
        <v>0</v>
      </c>
      <c r="V93" s="1129" t="str">
        <f t="shared" si="2"/>
        <v>Tank volumes are LESS than amount posted in Daily Load</v>
      </c>
    </row>
    <row r="94" spans="1:22">
      <c r="A94" s="729">
        <f>'Daily Load'!C511</f>
        <v>28</v>
      </c>
      <c r="B94" s="730"/>
      <c r="C94" s="730"/>
      <c r="D94" s="730"/>
      <c r="E94" s="730"/>
      <c r="F94" s="730"/>
      <c r="G94" s="730"/>
      <c r="H94" s="730"/>
      <c r="I94" s="730">
        <f t="shared" si="0"/>
        <v>0</v>
      </c>
      <c r="J94" s="1130" t="str">
        <f>IF(I94&lt;&gt;SUM('Daily Load'!L520:W520),"ERROR","OK")</f>
        <v>OK</v>
      </c>
      <c r="K94" s="97">
        <f>SUM('Daily Load'!L520:AC520)-Load!I94</f>
        <v>0</v>
      </c>
      <c r="L94" s="1129" t="str">
        <f t="shared" si="1"/>
        <v xml:space="preserve"> </v>
      </c>
      <c r="U94" s="97">
        <f>SUM('Daily Load'!V520:AG520)-Load!S94</f>
        <v>0</v>
      </c>
      <c r="V94" s="1129" t="str">
        <f t="shared" si="2"/>
        <v>Tank volumes are LESS than amount posted in Daily Load</v>
      </c>
    </row>
    <row r="95" spans="1:22">
      <c r="A95" s="729">
        <f>'Daily Load'!C529</f>
        <v>29</v>
      </c>
      <c r="B95" s="730"/>
      <c r="C95" s="730"/>
      <c r="D95" s="730"/>
      <c r="E95" s="730"/>
      <c r="F95" s="730"/>
      <c r="G95" s="730"/>
      <c r="H95" s="730"/>
      <c r="I95" s="730">
        <f t="shared" si="0"/>
        <v>0</v>
      </c>
      <c r="J95" s="1130" t="str">
        <f>IF(I95&lt;&gt;SUM('Daily Load'!L538:W538),"ERROR","OK")</f>
        <v>OK</v>
      </c>
      <c r="K95" s="97">
        <f>SUM('Daily Load'!L538:AC538)-Load!I95</f>
        <v>0</v>
      </c>
      <c r="L95" s="1129" t="str">
        <f t="shared" si="1"/>
        <v xml:space="preserve"> </v>
      </c>
      <c r="U95" s="97">
        <f>SUM('Daily Load'!V538:AG538)-Load!S95</f>
        <v>0</v>
      </c>
      <c r="V95" s="1129" t="str">
        <f t="shared" si="2"/>
        <v>Tank volumes are LESS than amount posted in Daily Load</v>
      </c>
    </row>
    <row r="96" spans="1:22">
      <c r="A96" s="727"/>
      <c r="J96" s="728"/>
    </row>
    <row r="97" spans="1:10">
      <c r="A97" s="727"/>
      <c r="J97" s="728"/>
    </row>
    <row r="98" spans="1:10">
      <c r="A98" s="727"/>
      <c r="J98" s="728"/>
    </row>
    <row r="99" spans="1:10">
      <c r="A99" s="727"/>
      <c r="J99" s="728"/>
    </row>
    <row r="100" spans="1:10">
      <c r="A100" s="727"/>
      <c r="J100" s="728"/>
    </row>
    <row r="101" spans="1:10">
      <c r="A101" s="727"/>
      <c r="J101" s="728"/>
    </row>
    <row r="102" spans="1:10">
      <c r="A102" s="727"/>
      <c r="J102" s="728"/>
    </row>
    <row r="103" spans="1:10">
      <c r="A103" s="727"/>
      <c r="J103" s="728"/>
    </row>
    <row r="104" spans="1:10">
      <c r="A104" s="727"/>
      <c r="J104" s="728"/>
    </row>
    <row r="105" spans="1:10">
      <c r="A105" s="727"/>
      <c r="J105" s="728"/>
    </row>
    <row r="106" spans="1:10">
      <c r="A106" s="727"/>
      <c r="J106" s="728"/>
    </row>
    <row r="107" spans="1:10">
      <c r="A107" s="727"/>
      <c r="J107" s="728"/>
    </row>
    <row r="108" spans="1:10">
      <c r="A108" s="727"/>
      <c r="J108" s="728"/>
    </row>
    <row r="109" spans="1:10">
      <c r="A109" s="727"/>
      <c r="J109" s="728"/>
    </row>
    <row r="110" spans="1:10">
      <c r="A110" s="727"/>
      <c r="J110" s="728"/>
    </row>
    <row r="111" spans="1:10">
      <c r="A111" s="727"/>
      <c r="J111" s="728"/>
    </row>
    <row r="112" spans="1:10">
      <c r="A112" s="727"/>
      <c r="J112" s="728"/>
    </row>
    <row r="113" spans="1:10">
      <c r="A113" s="727"/>
      <c r="J113" s="728"/>
    </row>
    <row r="114" spans="1:10">
      <c r="A114" s="727"/>
      <c r="J114" s="728"/>
    </row>
    <row r="115" spans="1:10">
      <c r="A115" s="727"/>
      <c r="J115" s="728"/>
    </row>
    <row r="116" spans="1:10">
      <c r="A116" s="727"/>
      <c r="J116" s="728"/>
    </row>
    <row r="117" spans="1:10">
      <c r="A117" s="727"/>
      <c r="J117" s="728"/>
    </row>
    <row r="118" spans="1:10">
      <c r="A118" s="727"/>
      <c r="J118" s="728"/>
    </row>
    <row r="119" spans="1:10">
      <c r="A119" s="727"/>
      <c r="J119" s="728"/>
    </row>
    <row r="120" spans="1:10">
      <c r="A120" s="727"/>
      <c r="J120" s="728"/>
    </row>
    <row r="121" spans="1:10">
      <c r="A121" s="727"/>
      <c r="J121" s="728"/>
    </row>
    <row r="122" spans="1:10">
      <c r="A122" s="727"/>
      <c r="J122" s="728"/>
    </row>
  </sheetData>
  <protectedRanges>
    <protectedRange sqref="B66:H95" name="Range3"/>
    <protectedRange sqref="B25:AC34 R9:R18" name="Range2"/>
    <protectedRange sqref="B9:Q19 S9:AC19 R19" name="Range1"/>
  </protectedRanges>
  <mergeCells count="169">
    <mergeCell ref="U59:V59"/>
    <mergeCell ref="V54:W54"/>
    <mergeCell ref="X54:Y54"/>
    <mergeCell ref="AB54:AC54"/>
    <mergeCell ref="V55:W55"/>
    <mergeCell ref="X55:Y55"/>
    <mergeCell ref="AB55:AC55"/>
    <mergeCell ref="V52:W52"/>
    <mergeCell ref="X52:Y52"/>
    <mergeCell ref="AB52:AC52"/>
    <mergeCell ref="V53:W53"/>
    <mergeCell ref="X53:Y53"/>
    <mergeCell ref="AB53:AC53"/>
    <mergeCell ref="V46:W46"/>
    <mergeCell ref="X46:Y46"/>
    <mergeCell ref="Z46:AC46"/>
    <mergeCell ref="V48:Y49"/>
    <mergeCell ref="Z48:AC49"/>
    <mergeCell ref="V50:W51"/>
    <mergeCell ref="X50:Y51"/>
    <mergeCell ref="Z50:Z51"/>
    <mergeCell ref="AA50:AA51"/>
    <mergeCell ref="AB50:AC51"/>
    <mergeCell ref="V44:W44"/>
    <mergeCell ref="X44:Y44"/>
    <mergeCell ref="Z44:AC44"/>
    <mergeCell ref="V45:W45"/>
    <mergeCell ref="X45:Y45"/>
    <mergeCell ref="Z45:AC45"/>
    <mergeCell ref="V42:W42"/>
    <mergeCell ref="X42:Y42"/>
    <mergeCell ref="Z42:AC42"/>
    <mergeCell ref="V43:W43"/>
    <mergeCell ref="X43:Y43"/>
    <mergeCell ref="Z43:AC43"/>
    <mergeCell ref="V37:AC38"/>
    <mergeCell ref="V39:W40"/>
    <mergeCell ref="X39:Y40"/>
    <mergeCell ref="Z39:AC40"/>
    <mergeCell ref="V41:W41"/>
    <mergeCell ref="X41:Y41"/>
    <mergeCell ref="Z41:AC41"/>
    <mergeCell ref="X22:AA23"/>
    <mergeCell ref="X24:Y24"/>
    <mergeCell ref="Z24:AA24"/>
    <mergeCell ref="V35:AA36"/>
    <mergeCell ref="AB35:AB36"/>
    <mergeCell ref="AC35:AC36"/>
    <mergeCell ref="W1:AB2"/>
    <mergeCell ref="AC5:AD5"/>
    <mergeCell ref="X6:AA7"/>
    <mergeCell ref="X8:Y8"/>
    <mergeCell ref="Z8:AA8"/>
    <mergeCell ref="V20:AA21"/>
    <mergeCell ref="AB20:AB21"/>
    <mergeCell ref="AC20:AC21"/>
    <mergeCell ref="A62:J63"/>
    <mergeCell ref="I5:J5"/>
    <mergeCell ref="D6:G7"/>
    <mergeCell ref="D8:E8"/>
    <mergeCell ref="F8:G8"/>
    <mergeCell ref="H20:H21"/>
    <mergeCell ref="I20:I21"/>
    <mergeCell ref="D22:G23"/>
    <mergeCell ref="D24:E24"/>
    <mergeCell ref="F24:G24"/>
    <mergeCell ref="B39:C40"/>
    <mergeCell ref="D39:E40"/>
    <mergeCell ref="F39:I40"/>
    <mergeCell ref="B35:G36"/>
    <mergeCell ref="B20:G21"/>
    <mergeCell ref="H35:H36"/>
    <mergeCell ref="D52:E52"/>
    <mergeCell ref="I35:I36"/>
    <mergeCell ref="B37:I38"/>
    <mergeCell ref="F48:I49"/>
    <mergeCell ref="F50:F51"/>
    <mergeCell ref="G50:G51"/>
    <mergeCell ref="H50:I51"/>
    <mergeCell ref="B50:C51"/>
    <mergeCell ref="D50:E51"/>
    <mergeCell ref="H52:I52"/>
    <mergeCell ref="F44:I44"/>
    <mergeCell ref="F45:I45"/>
    <mergeCell ref="L35:Q36"/>
    <mergeCell ref="L41:M41"/>
    <mergeCell ref="A59:B59"/>
    <mergeCell ref="B41:C41"/>
    <mergeCell ref="D41:E41"/>
    <mergeCell ref="B42:C42"/>
    <mergeCell ref="D42:E42"/>
    <mergeCell ref="B43:C43"/>
    <mergeCell ref="D43:E43"/>
    <mergeCell ref="B53:C53"/>
    <mergeCell ref="D53:E53"/>
    <mergeCell ref="B48:E49"/>
    <mergeCell ref="B44:C44"/>
    <mergeCell ref="D44:E44"/>
    <mergeCell ref="B45:C45"/>
    <mergeCell ref="D45:E45"/>
    <mergeCell ref="H53:I53"/>
    <mergeCell ref="H54:I54"/>
    <mergeCell ref="H55:I55"/>
    <mergeCell ref="B54:C54"/>
    <mergeCell ref="D54:E54"/>
    <mergeCell ref="B55:C55"/>
    <mergeCell ref="D55:E55"/>
    <mergeCell ref="B52:C52"/>
    <mergeCell ref="N44:O44"/>
    <mergeCell ref="P44:S44"/>
    <mergeCell ref="S5:T5"/>
    <mergeCell ref="N6:Q7"/>
    <mergeCell ref="N8:O8"/>
    <mergeCell ref="P8:Q8"/>
    <mergeCell ref="B46:C46"/>
    <mergeCell ref="D46:E46"/>
    <mergeCell ref="F46:I46"/>
    <mergeCell ref="F41:I41"/>
    <mergeCell ref="F42:I42"/>
    <mergeCell ref="F43:I43"/>
    <mergeCell ref="R20:R21"/>
    <mergeCell ref="S20:S21"/>
    <mergeCell ref="N22:Q23"/>
    <mergeCell ref="N24:O24"/>
    <mergeCell ref="P24:Q24"/>
    <mergeCell ref="L20:Q21"/>
    <mergeCell ref="R35:R36"/>
    <mergeCell ref="S35:S36"/>
    <mergeCell ref="L37:S38"/>
    <mergeCell ref="L39:M40"/>
    <mergeCell ref="N39:O40"/>
    <mergeCell ref="P39:S40"/>
    <mergeCell ref="L48:O49"/>
    <mergeCell ref="P48:S49"/>
    <mergeCell ref="L50:M51"/>
    <mergeCell ref="N50:O51"/>
    <mergeCell ref="P50:P51"/>
    <mergeCell ref="C1:H2"/>
    <mergeCell ref="M1:R2"/>
    <mergeCell ref="Q50:Q51"/>
    <mergeCell ref="R50:S51"/>
    <mergeCell ref="L45:M45"/>
    <mergeCell ref="N45:O45"/>
    <mergeCell ref="P45:S45"/>
    <mergeCell ref="L46:M46"/>
    <mergeCell ref="N46:O46"/>
    <mergeCell ref="P46:S46"/>
    <mergeCell ref="N41:O41"/>
    <mergeCell ref="P41:S41"/>
    <mergeCell ref="L42:M42"/>
    <mergeCell ref="N42:O42"/>
    <mergeCell ref="P42:S42"/>
    <mergeCell ref="L43:M43"/>
    <mergeCell ref="N43:O43"/>
    <mergeCell ref="P43:S43"/>
    <mergeCell ref="L44:M44"/>
    <mergeCell ref="K59:L59"/>
    <mergeCell ref="L54:M54"/>
    <mergeCell ref="N54:O54"/>
    <mergeCell ref="R54:S54"/>
    <mergeCell ref="L55:M55"/>
    <mergeCell ref="N55:O55"/>
    <mergeCell ref="R55:S55"/>
    <mergeCell ref="L52:M52"/>
    <mergeCell ref="L53:M53"/>
    <mergeCell ref="N53:O53"/>
    <mergeCell ref="R53:S53"/>
    <mergeCell ref="N52:O52"/>
    <mergeCell ref="R52:S52"/>
  </mergeCells>
  <phoneticPr fontId="0" type="noConversion"/>
  <pageMargins left="0.5" right="0.5" top="0" bottom="0" header="0" footer="0"/>
  <pageSetup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9939" r:id="rId4" name="Button 3">
              <controlPr defaultSize="0" print="0" autoFill="0" autoPict="0" macro="[0]!MENU7">
                <anchor moveWithCells="1">
                  <from>
                    <xdr:col>0</xdr:col>
                    <xdr:colOff>19050</xdr:colOff>
                    <xdr:row>0</xdr:row>
                    <xdr:rowOff>38100</xdr:rowOff>
                  </from>
                  <to>
                    <xdr:col>0</xdr:col>
                    <xdr:colOff>552450</xdr:colOff>
                    <xdr:row>1</xdr:row>
                    <xdr:rowOff>87086</xdr:rowOff>
                  </to>
                </anchor>
              </controlPr>
            </control>
          </mc:Choice>
        </mc:AlternateContent>
        <mc:AlternateContent xmlns:mc="http://schemas.openxmlformats.org/markup-compatibility/2006">
          <mc:Choice Requires="x14">
            <control shapeId="39940" r:id="rId5" name="Button 4">
              <controlPr defaultSize="0" print="0" autoFill="0" autoPict="0" macro="[0]!TankBalance">
                <anchor moveWithCells="1">
                  <from>
                    <xdr:col>8</xdr:col>
                    <xdr:colOff>277586</xdr:colOff>
                    <xdr:row>0</xdr:row>
                    <xdr:rowOff>38100</xdr:rowOff>
                  </from>
                  <to>
                    <xdr:col>9</xdr:col>
                    <xdr:colOff>593271</xdr:colOff>
                    <xdr:row>1</xdr:row>
                    <xdr:rowOff>87086</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CC100796-BE3C-43C8-B2DA-1619D89304AC}">
          <x14:formula1>
            <xm:f>'Data Validation'!$C$8:$D$8</xm:f>
          </x14:formula1>
          <xm:sqref>I8</xm:sqref>
        </x14:dataValidation>
        <x14:dataValidation type="list" allowBlank="1" showInputMessage="1" showErrorMessage="1" xr:uid="{4BF1F4CC-EF71-443D-8339-52BAC75C58CF}">
          <x14:formula1>
            <xm:f>'Data Validation'!$C$16:$C$21</xm:f>
          </x14:formula1>
          <xm:sqref>C65:H65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F20AD-378A-45BB-A972-93EFA7695F17}">
  <sheetPr codeName="Sheet26"/>
  <dimension ref="A1:I51"/>
  <sheetViews>
    <sheetView showGridLines="0" showZeros="0" zoomScale="165" workbookViewId="0">
      <selection activeCell="B21" sqref="B21:F21"/>
    </sheetView>
  </sheetViews>
  <sheetFormatPr defaultColWidth="9.15234375" defaultRowHeight="10.5"/>
  <cols>
    <col min="1" max="9" width="9.15234375" style="1019"/>
    <col min="10" max="16384" width="9.15234375" style="210"/>
  </cols>
  <sheetData>
    <row r="1" spans="1:9">
      <c r="A1" s="2227">
        <f>Summary!C6</f>
        <v>0</v>
      </c>
      <c r="B1" s="2228"/>
      <c r="C1" s="2228"/>
      <c r="D1" s="2228"/>
      <c r="E1" s="2228"/>
      <c r="F1" s="2228"/>
      <c r="G1" s="2228"/>
      <c r="H1" s="2228"/>
      <c r="I1" s="2229"/>
    </row>
    <row r="2" spans="1:9">
      <c r="A2" s="1018"/>
      <c r="I2" s="1020"/>
    </row>
    <row r="3" spans="1:9">
      <c r="A3" s="2230" t="s">
        <v>465</v>
      </c>
      <c r="B3" s="2222"/>
      <c r="C3" s="2222"/>
      <c r="D3" s="2222"/>
      <c r="E3" s="2222"/>
      <c r="F3" s="2222"/>
      <c r="G3" s="2222"/>
      <c r="H3" s="2222"/>
      <c r="I3" s="2231"/>
    </row>
    <row r="4" spans="1:9">
      <c r="A4" s="1018" t="s">
        <v>1561</v>
      </c>
      <c r="C4" s="1550" t="s">
        <v>1521</v>
      </c>
      <c r="I4" s="1020"/>
    </row>
    <row r="5" spans="1:9">
      <c r="A5" s="1018" t="s">
        <v>1562</v>
      </c>
      <c r="C5" s="1021" t="s">
        <v>134</v>
      </c>
      <c r="D5" s="1022">
        <f>Summary!D12</f>
        <v>0</v>
      </c>
      <c r="E5" s="1023" t="s">
        <v>135</v>
      </c>
      <c r="F5" s="1024">
        <f>Summary!F12</f>
        <v>0</v>
      </c>
      <c r="G5" s="1023" t="s">
        <v>372</v>
      </c>
      <c r="H5" s="1024">
        <f>Summary!H13</f>
        <v>0</v>
      </c>
      <c r="I5" s="1020"/>
    </row>
    <row r="6" spans="1:9">
      <c r="A6" s="1018"/>
      <c r="C6" s="1021" t="s">
        <v>136</v>
      </c>
      <c r="D6" s="1022">
        <f>D5-F5</f>
        <v>0</v>
      </c>
      <c r="E6" s="1023" t="s">
        <v>466</v>
      </c>
      <c r="F6" s="1025">
        <v>0</v>
      </c>
      <c r="I6" s="1020"/>
    </row>
    <row r="7" spans="1:9">
      <c r="A7" s="1018"/>
      <c r="C7" s="2232" t="s">
        <v>467</v>
      </c>
      <c r="D7" s="2232"/>
      <c r="E7" s="1026">
        <f>H5-F6</f>
        <v>0</v>
      </c>
      <c r="F7" s="1021" t="s">
        <v>1245</v>
      </c>
      <c r="G7" s="1027">
        <f>SUM(G12:G18)</f>
        <v>0</v>
      </c>
      <c r="I7" s="1020"/>
    </row>
    <row r="8" spans="1:9">
      <c r="A8" s="1018"/>
      <c r="C8" s="2232" t="s">
        <v>498</v>
      </c>
      <c r="D8" s="2232"/>
      <c r="E8" s="1026">
        <f>G46</f>
        <v>0</v>
      </c>
      <c r="F8" s="1021" t="s">
        <v>1246</v>
      </c>
      <c r="G8" s="1027">
        <f>SUM(G20:G42)</f>
        <v>0</v>
      </c>
      <c r="I8" s="1020"/>
    </row>
    <row r="9" spans="1:9">
      <c r="A9" s="2230" t="s">
        <v>468</v>
      </c>
      <c r="B9" s="2222"/>
      <c r="C9" s="2222"/>
      <c r="D9" s="2222"/>
      <c r="E9" s="2222"/>
      <c r="F9" s="2222"/>
      <c r="G9" s="2222"/>
      <c r="H9" s="2222"/>
      <c r="I9" s="2231"/>
    </row>
    <row r="10" spans="1:9">
      <c r="A10" s="2216" t="s">
        <v>228</v>
      </c>
      <c r="B10" s="2211" t="s">
        <v>469</v>
      </c>
      <c r="C10" s="2211"/>
      <c r="D10" s="2211"/>
      <c r="E10" s="2211"/>
      <c r="F10" s="2211"/>
      <c r="G10" s="2211" t="s">
        <v>333</v>
      </c>
      <c r="H10" s="2211" t="s">
        <v>1563</v>
      </c>
      <c r="I10" s="2211" t="s">
        <v>1564</v>
      </c>
    </row>
    <row r="11" spans="1:9" ht="14.25" customHeight="1" thickBot="1">
      <c r="A11" s="2217"/>
      <c r="B11" s="2234" t="s">
        <v>1243</v>
      </c>
      <c r="C11" s="2235"/>
      <c r="D11" s="2235"/>
      <c r="E11" s="2235"/>
      <c r="F11" s="2216"/>
      <c r="G11" s="2212"/>
      <c r="H11" s="2212"/>
      <c r="I11" s="2212"/>
    </row>
    <row r="12" spans="1:9">
      <c r="A12" s="1028"/>
      <c r="B12" s="2224"/>
      <c r="C12" s="2225"/>
      <c r="D12" s="2225"/>
      <c r="E12" s="2225"/>
      <c r="F12" s="2226"/>
      <c r="G12" s="1029"/>
      <c r="H12" s="1029">
        <f>G46</f>
        <v>0</v>
      </c>
      <c r="I12" s="1030">
        <f>G46-G12</f>
        <v>0</v>
      </c>
    </row>
    <row r="13" spans="1:9">
      <c r="A13" s="1031"/>
      <c r="B13" s="2213"/>
      <c r="C13" s="2214"/>
      <c r="D13" s="2214"/>
      <c r="E13" s="2214"/>
      <c r="F13" s="2215"/>
      <c r="G13" s="1026"/>
      <c r="H13" s="1026">
        <f t="shared" ref="H13:H18" si="0">H12-G12</f>
        <v>0</v>
      </c>
      <c r="I13" s="1032">
        <f t="shared" ref="I13:I18" si="1">I12-G13</f>
        <v>0</v>
      </c>
    </row>
    <row r="14" spans="1:9">
      <c r="A14" s="1031"/>
      <c r="B14" s="2213"/>
      <c r="C14" s="2214"/>
      <c r="D14" s="2214"/>
      <c r="E14" s="2214"/>
      <c r="F14" s="2215"/>
      <c r="G14" s="1026"/>
      <c r="H14" s="1026">
        <f t="shared" si="0"/>
        <v>0</v>
      </c>
      <c r="I14" s="1032">
        <f t="shared" si="1"/>
        <v>0</v>
      </c>
    </row>
    <row r="15" spans="1:9">
      <c r="A15" s="1031"/>
      <c r="B15" s="2213"/>
      <c r="C15" s="2214"/>
      <c r="D15" s="2214"/>
      <c r="E15" s="2214"/>
      <c r="F15" s="2215"/>
      <c r="G15" s="1026"/>
      <c r="H15" s="1026">
        <f t="shared" si="0"/>
        <v>0</v>
      </c>
      <c r="I15" s="1032">
        <f t="shared" si="1"/>
        <v>0</v>
      </c>
    </row>
    <row r="16" spans="1:9">
      <c r="A16" s="1031"/>
      <c r="B16" s="2213"/>
      <c r="C16" s="2214"/>
      <c r="D16" s="2214"/>
      <c r="E16" s="2214"/>
      <c r="F16" s="2215"/>
      <c r="G16" s="1026"/>
      <c r="H16" s="1026">
        <f t="shared" si="0"/>
        <v>0</v>
      </c>
      <c r="I16" s="1032">
        <f t="shared" si="1"/>
        <v>0</v>
      </c>
    </row>
    <row r="17" spans="1:9">
      <c r="A17" s="1031"/>
      <c r="B17" s="2213"/>
      <c r="C17" s="2214"/>
      <c r="D17" s="2214"/>
      <c r="E17" s="2214"/>
      <c r="F17" s="2215"/>
      <c r="G17" s="1026"/>
      <c r="H17" s="1026">
        <f t="shared" si="0"/>
        <v>0</v>
      </c>
      <c r="I17" s="1032">
        <f t="shared" si="1"/>
        <v>0</v>
      </c>
    </row>
    <row r="18" spans="1:9" ht="11.15" thickBot="1">
      <c r="A18" s="1033"/>
      <c r="B18" s="2218"/>
      <c r="C18" s="2219"/>
      <c r="D18" s="2219"/>
      <c r="E18" s="2219"/>
      <c r="F18" s="2220"/>
      <c r="G18" s="1034"/>
      <c r="H18" s="1034">
        <f t="shared" si="0"/>
        <v>0</v>
      </c>
      <c r="I18" s="1035">
        <f t="shared" si="1"/>
        <v>0</v>
      </c>
    </row>
    <row r="19" spans="1:9" ht="13.5" thickBot="1">
      <c r="A19" s="1003"/>
      <c r="B19" s="2221" t="s">
        <v>1244</v>
      </c>
      <c r="C19" s="2222"/>
      <c r="D19" s="2222"/>
      <c r="E19" s="2222"/>
      <c r="F19" s="2223"/>
      <c r="G19" s="1036"/>
      <c r="H19" s="1003"/>
      <c r="I19" s="1037"/>
    </row>
    <row r="20" spans="1:9">
      <c r="A20" s="1028"/>
      <c r="B20" s="2224"/>
      <c r="C20" s="2225"/>
      <c r="D20" s="2225"/>
      <c r="E20" s="2225"/>
      <c r="F20" s="2226"/>
      <c r="G20" s="1038">
        <v>0</v>
      </c>
      <c r="H20" s="1038">
        <f>H18-G18</f>
        <v>0</v>
      </c>
      <c r="I20" s="1039">
        <f>H20-G20</f>
        <v>0</v>
      </c>
    </row>
    <row r="21" spans="1:9">
      <c r="A21" s="1031"/>
      <c r="B21" s="2213"/>
      <c r="C21" s="2214"/>
      <c r="D21" s="2214"/>
      <c r="E21" s="2214"/>
      <c r="F21" s="2215"/>
      <c r="G21" s="1026"/>
      <c r="H21" s="1026">
        <f t="shared" ref="H21:H41" si="2">H20-G20</f>
        <v>0</v>
      </c>
      <c r="I21" s="1032">
        <f>H21-G21</f>
        <v>0</v>
      </c>
    </row>
    <row r="22" spans="1:9">
      <c r="A22" s="1040">
        <v>0</v>
      </c>
      <c r="B22" s="2213"/>
      <c r="C22" s="2214"/>
      <c r="D22" s="2214"/>
      <c r="E22" s="2214"/>
      <c r="F22" s="2215"/>
      <c r="G22" s="1026">
        <v>0</v>
      </c>
      <c r="H22" s="1026">
        <f t="shared" si="2"/>
        <v>0</v>
      </c>
      <c r="I22" s="1032">
        <f>H22-G22</f>
        <v>0</v>
      </c>
    </row>
    <row r="23" spans="1:9">
      <c r="A23" s="1040">
        <v>0</v>
      </c>
      <c r="B23" s="2213"/>
      <c r="C23" s="2214"/>
      <c r="D23" s="2214"/>
      <c r="E23" s="2214"/>
      <c r="F23" s="2215"/>
      <c r="G23" s="1026">
        <v>0</v>
      </c>
      <c r="H23" s="1026">
        <f t="shared" si="2"/>
        <v>0</v>
      </c>
      <c r="I23" s="1032">
        <f t="shared" ref="I23:I42" si="3">I22-G23</f>
        <v>0</v>
      </c>
    </row>
    <row r="24" spans="1:9">
      <c r="A24" s="1040">
        <v>0</v>
      </c>
      <c r="B24" s="2233">
        <v>0</v>
      </c>
      <c r="C24" s="2233"/>
      <c r="D24" s="2233"/>
      <c r="E24" s="2233"/>
      <c r="F24" s="2233"/>
      <c r="G24" s="1026">
        <v>0</v>
      </c>
      <c r="H24" s="1026">
        <f t="shared" si="2"/>
        <v>0</v>
      </c>
      <c r="I24" s="1032">
        <f t="shared" si="3"/>
        <v>0</v>
      </c>
    </row>
    <row r="25" spans="1:9">
      <c r="A25" s="1040">
        <v>0</v>
      </c>
      <c r="B25" s="2233">
        <v>0</v>
      </c>
      <c r="C25" s="2233"/>
      <c r="D25" s="2233"/>
      <c r="E25" s="2233"/>
      <c r="F25" s="2233"/>
      <c r="G25" s="1026">
        <v>0</v>
      </c>
      <c r="H25" s="1026">
        <f t="shared" si="2"/>
        <v>0</v>
      </c>
      <c r="I25" s="1032">
        <f t="shared" si="3"/>
        <v>0</v>
      </c>
    </row>
    <row r="26" spans="1:9">
      <c r="A26" s="1040">
        <v>0</v>
      </c>
      <c r="B26" s="2233">
        <v>0</v>
      </c>
      <c r="C26" s="2233"/>
      <c r="D26" s="2233"/>
      <c r="E26" s="2233"/>
      <c r="F26" s="2233"/>
      <c r="G26" s="1026">
        <v>0</v>
      </c>
      <c r="H26" s="1026">
        <f t="shared" si="2"/>
        <v>0</v>
      </c>
      <c r="I26" s="1032">
        <f t="shared" si="3"/>
        <v>0</v>
      </c>
    </row>
    <row r="27" spans="1:9">
      <c r="A27" s="1040">
        <v>0</v>
      </c>
      <c r="B27" s="2233">
        <v>0</v>
      </c>
      <c r="C27" s="2233"/>
      <c r="D27" s="2233"/>
      <c r="E27" s="2233"/>
      <c r="F27" s="2233"/>
      <c r="G27" s="1026">
        <v>0</v>
      </c>
      <c r="H27" s="1026">
        <f t="shared" si="2"/>
        <v>0</v>
      </c>
      <c r="I27" s="1032">
        <f t="shared" si="3"/>
        <v>0</v>
      </c>
    </row>
    <row r="28" spans="1:9">
      <c r="A28" s="1040">
        <v>0</v>
      </c>
      <c r="B28" s="2233">
        <v>0</v>
      </c>
      <c r="C28" s="2233"/>
      <c r="D28" s="2233"/>
      <c r="E28" s="2233"/>
      <c r="F28" s="2233"/>
      <c r="G28" s="1026">
        <v>0</v>
      </c>
      <c r="H28" s="1026">
        <f t="shared" si="2"/>
        <v>0</v>
      </c>
      <c r="I28" s="1032">
        <f t="shared" si="3"/>
        <v>0</v>
      </c>
    </row>
    <row r="29" spans="1:9">
      <c r="A29" s="1040"/>
      <c r="B29" s="2233"/>
      <c r="C29" s="2233"/>
      <c r="D29" s="2233"/>
      <c r="E29" s="2233"/>
      <c r="F29" s="2233"/>
      <c r="G29" s="1026"/>
      <c r="H29" s="1026">
        <f t="shared" si="2"/>
        <v>0</v>
      </c>
      <c r="I29" s="1032">
        <f t="shared" si="3"/>
        <v>0</v>
      </c>
    </row>
    <row r="30" spans="1:9">
      <c r="A30" s="1040"/>
      <c r="B30" s="2233"/>
      <c r="C30" s="2233"/>
      <c r="D30" s="2233"/>
      <c r="E30" s="2233"/>
      <c r="F30" s="2233"/>
      <c r="G30" s="1026"/>
      <c r="H30" s="1026">
        <f t="shared" si="2"/>
        <v>0</v>
      </c>
      <c r="I30" s="1032">
        <f t="shared" si="3"/>
        <v>0</v>
      </c>
    </row>
    <row r="31" spans="1:9">
      <c r="A31" s="1040"/>
      <c r="B31" s="2233"/>
      <c r="C31" s="2233"/>
      <c r="D31" s="2233"/>
      <c r="E31" s="2233"/>
      <c r="F31" s="2233"/>
      <c r="G31" s="1026"/>
      <c r="H31" s="1026">
        <f t="shared" si="2"/>
        <v>0</v>
      </c>
      <c r="I31" s="1032">
        <f t="shared" si="3"/>
        <v>0</v>
      </c>
    </row>
    <row r="32" spans="1:9">
      <c r="A32" s="1040"/>
      <c r="B32" s="2233"/>
      <c r="C32" s="2233"/>
      <c r="D32" s="2233"/>
      <c r="E32" s="2233"/>
      <c r="F32" s="2233"/>
      <c r="G32" s="1026"/>
      <c r="H32" s="1026">
        <f t="shared" si="2"/>
        <v>0</v>
      </c>
      <c r="I32" s="1032">
        <f t="shared" si="3"/>
        <v>0</v>
      </c>
    </row>
    <row r="33" spans="1:9">
      <c r="A33" s="1040"/>
      <c r="B33" s="2233"/>
      <c r="C33" s="2233"/>
      <c r="D33" s="2233"/>
      <c r="E33" s="2233"/>
      <c r="F33" s="2233"/>
      <c r="G33" s="1026"/>
      <c r="H33" s="1026">
        <f t="shared" si="2"/>
        <v>0</v>
      </c>
      <c r="I33" s="1032">
        <f t="shared" si="3"/>
        <v>0</v>
      </c>
    </row>
    <row r="34" spans="1:9">
      <c r="A34" s="1040"/>
      <c r="B34" s="2233"/>
      <c r="C34" s="2233"/>
      <c r="D34" s="2233"/>
      <c r="E34" s="2233"/>
      <c r="F34" s="2233"/>
      <c r="G34" s="1026"/>
      <c r="H34" s="1026">
        <f t="shared" si="2"/>
        <v>0</v>
      </c>
      <c r="I34" s="1032">
        <f t="shared" si="3"/>
        <v>0</v>
      </c>
    </row>
    <row r="35" spans="1:9">
      <c r="A35" s="1040"/>
      <c r="B35" s="2233"/>
      <c r="C35" s="2233"/>
      <c r="D35" s="2233"/>
      <c r="E35" s="2233"/>
      <c r="F35" s="2233"/>
      <c r="G35" s="1026"/>
      <c r="H35" s="1026">
        <f t="shared" si="2"/>
        <v>0</v>
      </c>
      <c r="I35" s="1032">
        <f t="shared" si="3"/>
        <v>0</v>
      </c>
    </row>
    <row r="36" spans="1:9">
      <c r="A36" s="1040"/>
      <c r="B36" s="2233"/>
      <c r="C36" s="2233"/>
      <c r="D36" s="2233"/>
      <c r="E36" s="2233"/>
      <c r="F36" s="2233"/>
      <c r="G36" s="1026"/>
      <c r="H36" s="1026">
        <f t="shared" si="2"/>
        <v>0</v>
      </c>
      <c r="I36" s="1032">
        <f t="shared" si="3"/>
        <v>0</v>
      </c>
    </row>
    <row r="37" spans="1:9">
      <c r="A37" s="1040"/>
      <c r="B37" s="2233"/>
      <c r="C37" s="2233"/>
      <c r="D37" s="2233"/>
      <c r="E37" s="2233"/>
      <c r="F37" s="2233"/>
      <c r="G37" s="1026"/>
      <c r="H37" s="1026">
        <f t="shared" si="2"/>
        <v>0</v>
      </c>
      <c r="I37" s="1032">
        <f t="shared" si="3"/>
        <v>0</v>
      </c>
    </row>
    <row r="38" spans="1:9">
      <c r="A38" s="1040"/>
      <c r="B38" s="2233"/>
      <c r="C38" s="2233"/>
      <c r="D38" s="2233"/>
      <c r="E38" s="2233"/>
      <c r="F38" s="2233"/>
      <c r="G38" s="1026"/>
      <c r="H38" s="1026">
        <f t="shared" si="2"/>
        <v>0</v>
      </c>
      <c r="I38" s="1032">
        <f t="shared" si="3"/>
        <v>0</v>
      </c>
    </row>
    <row r="39" spans="1:9">
      <c r="A39" s="1040"/>
      <c r="B39" s="2233"/>
      <c r="C39" s="2233"/>
      <c r="D39" s="2233"/>
      <c r="E39" s="2233"/>
      <c r="F39" s="2233"/>
      <c r="G39" s="1026"/>
      <c r="H39" s="1026">
        <f t="shared" si="2"/>
        <v>0</v>
      </c>
      <c r="I39" s="1032">
        <f t="shared" si="3"/>
        <v>0</v>
      </c>
    </row>
    <row r="40" spans="1:9">
      <c r="A40" s="1040"/>
      <c r="B40" s="2233"/>
      <c r="C40" s="2233"/>
      <c r="D40" s="2233"/>
      <c r="E40" s="2233"/>
      <c r="F40" s="2233"/>
      <c r="G40" s="1026"/>
      <c r="H40" s="1026">
        <f t="shared" si="2"/>
        <v>0</v>
      </c>
      <c r="I40" s="1032">
        <f t="shared" si="3"/>
        <v>0</v>
      </c>
    </row>
    <row r="41" spans="1:9">
      <c r="A41" s="1040"/>
      <c r="B41" s="2233"/>
      <c r="C41" s="2233"/>
      <c r="D41" s="2233"/>
      <c r="E41" s="2233"/>
      <c r="F41" s="2233"/>
      <c r="G41" s="1026"/>
      <c r="H41" s="1026">
        <f t="shared" si="2"/>
        <v>0</v>
      </c>
      <c r="I41" s="1032">
        <f t="shared" si="3"/>
        <v>0</v>
      </c>
    </row>
    <row r="42" spans="1:9">
      <c r="A42" s="1040"/>
      <c r="B42" s="2233"/>
      <c r="C42" s="2233"/>
      <c r="D42" s="2233"/>
      <c r="E42" s="2233"/>
      <c r="F42" s="2233"/>
      <c r="G42" s="1026">
        <v>0</v>
      </c>
      <c r="H42" s="1026">
        <f>H41-G42</f>
        <v>0</v>
      </c>
      <c r="I42" s="1032">
        <f t="shared" si="3"/>
        <v>0</v>
      </c>
    </row>
    <row r="43" spans="1:9">
      <c r="A43" s="2236" t="s">
        <v>470</v>
      </c>
      <c r="B43" s="2237"/>
      <c r="C43" s="2237"/>
      <c r="D43" s="2237"/>
      <c r="E43" s="2237"/>
      <c r="F43" s="2238"/>
      <c r="G43" s="1026">
        <f>SUM(G7,(G20:G42))</f>
        <v>0</v>
      </c>
      <c r="H43" s="1026"/>
      <c r="I43" s="1020"/>
    </row>
    <row r="44" spans="1:9">
      <c r="A44" s="2239" t="s">
        <v>471</v>
      </c>
      <c r="B44" s="2232"/>
      <c r="C44" s="2232"/>
      <c r="D44" s="2232"/>
      <c r="E44" s="2232"/>
      <c r="F44" s="2232"/>
      <c r="G44" s="1026">
        <v>0</v>
      </c>
      <c r="H44" s="1041"/>
      <c r="I44" s="1020"/>
    </row>
    <row r="45" spans="1:9">
      <c r="A45" s="2239" t="s">
        <v>467</v>
      </c>
      <c r="B45" s="2232"/>
      <c r="C45" s="2232"/>
      <c r="D45" s="2232"/>
      <c r="E45" s="2232"/>
      <c r="F45" s="2232"/>
      <c r="G45" s="1026">
        <f>E7</f>
        <v>0</v>
      </c>
      <c r="H45" s="1042"/>
      <c r="I45" s="1020"/>
    </row>
    <row r="46" spans="1:9">
      <c r="A46" s="2239" t="s">
        <v>1565</v>
      </c>
      <c r="B46" s="2232"/>
      <c r="C46" s="2232"/>
      <c r="D46" s="2232"/>
      <c r="E46" s="2232"/>
      <c r="F46" s="2232"/>
      <c r="G46" s="1022">
        <f>G43-G44+G45</f>
        <v>0</v>
      </c>
      <c r="H46" s="1042"/>
      <c r="I46" s="1020"/>
    </row>
    <row r="47" spans="1:9">
      <c r="A47" s="2240" t="s">
        <v>527</v>
      </c>
      <c r="B47" s="2241"/>
      <c r="C47" s="2241"/>
      <c r="D47" s="2241"/>
      <c r="E47" s="2241"/>
      <c r="F47" s="2241"/>
      <c r="G47" s="2241"/>
      <c r="H47" s="2241"/>
      <c r="I47" s="2242"/>
    </row>
    <row r="48" spans="1:9">
      <c r="A48" s="1031" t="s">
        <v>215</v>
      </c>
      <c r="B48" s="1043" t="s">
        <v>205</v>
      </c>
      <c r="C48" s="1043" t="s">
        <v>528</v>
      </c>
      <c r="D48" s="1043" t="s">
        <v>529</v>
      </c>
      <c r="E48" s="1043" t="s">
        <v>530</v>
      </c>
      <c r="F48" s="1043" t="s">
        <v>534</v>
      </c>
      <c r="G48" s="1044" t="s">
        <v>532</v>
      </c>
      <c r="H48" s="1044"/>
      <c r="I48" s="1045"/>
    </row>
    <row r="49" spans="1:9">
      <c r="A49" s="1046">
        <f>G46</f>
        <v>0</v>
      </c>
      <c r="B49" s="1043">
        <f>Summary!C21</f>
        <v>0</v>
      </c>
      <c r="C49" s="1043">
        <f>Summary!C19</f>
        <v>0</v>
      </c>
      <c r="D49" s="1043" t="s">
        <v>535</v>
      </c>
      <c r="E49" s="1043" t="s">
        <v>531</v>
      </c>
      <c r="F49" s="1043">
        <f>IF(B49=0,0,IF(B49=88.9,Coefficients!H6,IF(B49=60.3,Coefficients!H4,Coefficients!H5)))</f>
        <v>0</v>
      </c>
      <c r="G49" s="1044">
        <f>IF(E49="y",F49*G43,0)</f>
        <v>0</v>
      </c>
      <c r="H49" s="1044"/>
      <c r="I49" s="1045"/>
    </row>
    <row r="50" spans="1:9" ht="11.15" thickBot="1">
      <c r="A50" s="1046">
        <v>0</v>
      </c>
      <c r="B50" s="1043">
        <v>0</v>
      </c>
      <c r="C50" s="1043">
        <v>0</v>
      </c>
      <c r="D50" s="1043">
        <v>0</v>
      </c>
      <c r="E50" s="1043">
        <v>0</v>
      </c>
      <c r="F50" s="1043"/>
      <c r="G50" s="1044">
        <f>IF(E50="y",F50*G44,0)</f>
        <v>0</v>
      </c>
      <c r="H50" s="1022"/>
      <c r="I50" s="1047"/>
    </row>
    <row r="51" spans="1:9" ht="11.15" thickBot="1">
      <c r="A51" s="2243" t="s">
        <v>533</v>
      </c>
      <c r="B51" s="2244"/>
      <c r="C51" s="2244"/>
      <c r="D51" s="2244"/>
      <c r="E51" s="2244"/>
      <c r="F51" s="2245"/>
      <c r="G51" s="1048">
        <f>SUM(G49:G50)</f>
        <v>0</v>
      </c>
      <c r="H51" s="1049"/>
      <c r="I51" s="1050"/>
    </row>
  </sheetData>
  <mergeCells count="48">
    <mergeCell ref="A44:F44"/>
    <mergeCell ref="A47:I47"/>
    <mergeCell ref="A51:F51"/>
    <mergeCell ref="A45:F45"/>
    <mergeCell ref="A46:F46"/>
    <mergeCell ref="B37:F37"/>
    <mergeCell ref="B38:F38"/>
    <mergeCell ref="B39:F39"/>
    <mergeCell ref="B40:F40"/>
    <mergeCell ref="A43:F43"/>
    <mergeCell ref="B41:F41"/>
    <mergeCell ref="B42:F42"/>
    <mergeCell ref="B36:F36"/>
    <mergeCell ref="B25:F25"/>
    <mergeCell ref="B26:F26"/>
    <mergeCell ref="B27:F27"/>
    <mergeCell ref="B28:F28"/>
    <mergeCell ref="B29:F29"/>
    <mergeCell ref="B30:F30"/>
    <mergeCell ref="B31:F31"/>
    <mergeCell ref="B32:F32"/>
    <mergeCell ref="B33:F33"/>
    <mergeCell ref="B34:F34"/>
    <mergeCell ref="B35:F35"/>
    <mergeCell ref="B23:F23"/>
    <mergeCell ref="B24:F24"/>
    <mergeCell ref="B11:F11"/>
    <mergeCell ref="B12:F12"/>
    <mergeCell ref="B13:F13"/>
    <mergeCell ref="B14:F14"/>
    <mergeCell ref="B15:F15"/>
    <mergeCell ref="B16:F16"/>
    <mergeCell ref="B22:F22"/>
    <mergeCell ref="A1:I1"/>
    <mergeCell ref="A3:I3"/>
    <mergeCell ref="C7:D7"/>
    <mergeCell ref="A9:I9"/>
    <mergeCell ref="C8:D8"/>
    <mergeCell ref="I10:I11"/>
    <mergeCell ref="B21:F21"/>
    <mergeCell ref="A10:A11"/>
    <mergeCell ref="H10:H11"/>
    <mergeCell ref="G10:G11"/>
    <mergeCell ref="B17:F17"/>
    <mergeCell ref="B18:F18"/>
    <mergeCell ref="B19:F19"/>
    <mergeCell ref="B20:F20"/>
    <mergeCell ref="B10:F10"/>
  </mergeCells>
  <phoneticPr fontId="0" type="noConversion"/>
  <pageMargins left="0.75" right="0.75" top="1" bottom="1" header="0.5" footer="0.5"/>
  <pageSetup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46" r:id="rId4" name="Button 2">
              <controlPr defaultSize="0" print="0" autoFill="0" autoPict="0" macro="[0]!GoToMyTally">
                <anchor moveWithCells="1">
                  <from>
                    <xdr:col>7</xdr:col>
                    <xdr:colOff>446314</xdr:colOff>
                    <xdr:row>0</xdr:row>
                    <xdr:rowOff>24493</xdr:rowOff>
                  </from>
                  <to>
                    <xdr:col>8</xdr:col>
                    <xdr:colOff>636814</xdr:colOff>
                    <xdr:row>1</xdr:row>
                    <xdr:rowOff>62593</xdr:rowOff>
                  </to>
                </anchor>
              </controlPr>
            </control>
          </mc:Choice>
        </mc:AlternateContent>
        <mc:AlternateContent xmlns:mc="http://schemas.openxmlformats.org/markup-compatibility/2006">
          <mc:Choice Requires="x14">
            <control shapeId="31747" r:id="rId5" name="Button 3">
              <controlPr defaultSize="0" print="0" autoFill="0" autoPict="0" macro="[0]!GoToBarlonTally">
                <anchor moveWithCells="1">
                  <from>
                    <xdr:col>7</xdr:col>
                    <xdr:colOff>435429</xdr:colOff>
                    <xdr:row>1</xdr:row>
                    <xdr:rowOff>95250</xdr:rowOff>
                  </from>
                  <to>
                    <xdr:col>9</xdr:col>
                    <xdr:colOff>0</xdr:colOff>
                    <xdr:row>2</xdr:row>
                    <xdr:rowOff>125186</xdr:rowOff>
                  </to>
                </anchor>
              </controlPr>
            </control>
          </mc:Choice>
        </mc:AlternateContent>
        <mc:AlternateContent xmlns:mc="http://schemas.openxmlformats.org/markup-compatibility/2006">
          <mc:Choice Requires="x14">
            <control shapeId="31748" r:id="rId6" name="Button 4">
              <controlPr defaultSize="0" print="0" autoFill="0" autoPict="0" macro="[0]!BACKTOMENU">
                <anchor moveWithCells="1">
                  <from>
                    <xdr:col>0</xdr:col>
                    <xdr:colOff>0</xdr:colOff>
                    <xdr:row>0</xdr:row>
                    <xdr:rowOff>0</xdr:rowOff>
                  </from>
                  <to>
                    <xdr:col>0</xdr:col>
                    <xdr:colOff>525236</xdr:colOff>
                    <xdr:row>1</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4A7C4D43-D754-49D5-8421-791FECB5FFC1}">
          <x14:formula1>
            <xm:f>'Data Validation'!$C$1:$D$1</xm:f>
          </x14:formula1>
          <xm:sqref>C4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C2079-D643-4F96-B1E5-1FE75F74D11F}">
  <sheetPr codeName="Sheet28"/>
  <dimension ref="B1:G107"/>
  <sheetViews>
    <sheetView showGridLines="0" showZeros="0" view="pageBreakPreview" zoomScaleNormal="100" zoomScaleSheetLayoutView="100" workbookViewId="0">
      <selection activeCell="B10" sqref="B10"/>
    </sheetView>
  </sheetViews>
  <sheetFormatPr defaultRowHeight="13.1"/>
  <cols>
    <col min="2" max="2" width="12.69140625" style="1124" customWidth="1"/>
    <col min="3" max="3" width="24.69140625" style="1015" customWidth="1"/>
    <col min="4" max="4" width="29.57421875" style="1015" customWidth="1"/>
    <col min="5" max="5" width="22.69140625" style="1015" customWidth="1"/>
    <col min="6" max="6" width="11" style="1015" customWidth="1"/>
    <col min="7" max="7" width="11.84375" style="1015" customWidth="1"/>
  </cols>
  <sheetData>
    <row r="1" spans="2:7" s="50" customFormat="1">
      <c r="B1" s="1171"/>
      <c r="C1" s="1088"/>
      <c r="D1" s="1088"/>
      <c r="E1" s="1088"/>
      <c r="F1" s="1088"/>
      <c r="G1" s="1089"/>
    </row>
    <row r="2" spans="2:7">
      <c r="C2" s="1090"/>
      <c r="D2" s="1090"/>
      <c r="E2" s="1090"/>
      <c r="F2" s="1090"/>
      <c r="G2" s="1091"/>
    </row>
    <row r="3" spans="2:7">
      <c r="B3" s="2246"/>
      <c r="C3" s="2246"/>
      <c r="D3" s="2246"/>
      <c r="E3" s="2246"/>
      <c r="F3" s="2246"/>
      <c r="G3" s="2247"/>
    </row>
    <row r="4" spans="2:7" ht="16.75" thickBot="1">
      <c r="B4" s="2250"/>
      <c r="C4" s="2250"/>
      <c r="D4" s="2250"/>
      <c r="E4" s="2250"/>
      <c r="F4" s="2250"/>
      <c r="G4" s="2251"/>
    </row>
    <row r="5" spans="2:7" ht="16.5" customHeight="1" thickBot="1">
      <c r="B5" s="1093" t="s">
        <v>115</v>
      </c>
      <c r="C5" s="1093" t="s">
        <v>115</v>
      </c>
      <c r="D5" s="1094"/>
      <c r="E5" s="1095" t="s">
        <v>115</v>
      </c>
      <c r="F5" s="1096" t="s">
        <v>288</v>
      </c>
      <c r="G5" s="1097" t="str">
        <f>IF(F56&gt;0,"1 of 2","1")</f>
        <v>1</v>
      </c>
    </row>
    <row r="6" spans="2:7" ht="36" customHeight="1" thickBot="1">
      <c r="C6" s="1098" t="s">
        <v>289</v>
      </c>
      <c r="D6" s="2248">
        <f>(Summary!C6)</f>
        <v>0</v>
      </c>
      <c r="E6" s="2249"/>
      <c r="F6" s="1096" t="s">
        <v>290</v>
      </c>
      <c r="G6" s="1099">
        <f>IF(Summary!C4="Finishing Date!"," ",Summary!C4)</f>
        <v>0</v>
      </c>
    </row>
    <row r="7" spans="2:7" ht="6" customHeight="1" thickBot="1">
      <c r="C7" s="1100" t="s">
        <v>115</v>
      </c>
      <c r="D7" s="1101" t="s">
        <v>115</v>
      </c>
      <c r="E7" s="1102" t="s">
        <v>115</v>
      </c>
      <c r="G7" s="1103"/>
    </row>
    <row r="8" spans="2:7" ht="18" customHeight="1">
      <c r="B8" s="1172" t="s">
        <v>920</v>
      </c>
      <c r="C8" s="1104" t="s">
        <v>291</v>
      </c>
      <c r="D8" s="1104" t="s">
        <v>292</v>
      </c>
      <c r="E8" s="1104" t="s">
        <v>293</v>
      </c>
      <c r="F8" s="1104" t="s">
        <v>294</v>
      </c>
      <c r="G8" s="1105" t="s">
        <v>295</v>
      </c>
    </row>
    <row r="9" spans="2:7" ht="16.149999999999999" customHeight="1">
      <c r="B9" s="1172"/>
      <c r="C9" s="635" t="str">
        <f>VOUCHER!C6</f>
        <v>Your Favourite Consulting Company</v>
      </c>
      <c r="D9" s="1377" t="str">
        <f>VOUCHER!C1</f>
        <v>VOUCHER #1</v>
      </c>
      <c r="E9" s="636" t="str">
        <f>VOUCHER!B10</f>
        <v>Wellsite Supervision</v>
      </c>
      <c r="F9" s="1106">
        <f>SUM('Cost Control'!O60:O66)+SUM('Cost Control'!O138:O144)+SUM('Cost Control'!O216:O222)</f>
        <v>0</v>
      </c>
      <c r="G9" s="1107">
        <f t="shared" ref="G9:G38" si="0">F9</f>
        <v>0</v>
      </c>
    </row>
    <row r="10" spans="2:7" ht="16.149999999999999" customHeight="1">
      <c r="B10" s="1563"/>
      <c r="C10" s="1564" t="s">
        <v>115</v>
      </c>
      <c r="D10" s="1565" t="s">
        <v>115</v>
      </c>
      <c r="E10" s="1566"/>
      <c r="F10" s="1567">
        <v>0</v>
      </c>
      <c r="G10" s="1568">
        <f t="shared" si="0"/>
        <v>0</v>
      </c>
    </row>
    <row r="11" spans="2:7" ht="16.149999999999999" customHeight="1">
      <c r="B11" s="1563"/>
      <c r="C11" s="1566" t="s">
        <v>115</v>
      </c>
      <c r="D11" s="1565" t="s">
        <v>115</v>
      </c>
      <c r="E11" s="1566"/>
      <c r="F11" s="1567">
        <v>0</v>
      </c>
      <c r="G11" s="1568">
        <f t="shared" si="0"/>
        <v>0</v>
      </c>
    </row>
    <row r="12" spans="2:7" ht="16.149999999999999" customHeight="1">
      <c r="B12" s="1563"/>
      <c r="C12" s="1566"/>
      <c r="D12" s="1565" t="s">
        <v>115</v>
      </c>
      <c r="E12" s="1566"/>
      <c r="F12" s="1567">
        <v>0</v>
      </c>
      <c r="G12" s="1568">
        <f t="shared" si="0"/>
        <v>0</v>
      </c>
    </row>
    <row r="13" spans="2:7" ht="16.149999999999999" customHeight="1">
      <c r="B13" s="1563"/>
      <c r="C13" s="1566"/>
      <c r="D13" s="1565" t="s">
        <v>115</v>
      </c>
      <c r="E13" s="1566"/>
      <c r="F13" s="1567">
        <v>0</v>
      </c>
      <c r="G13" s="1568">
        <f t="shared" si="0"/>
        <v>0</v>
      </c>
    </row>
    <row r="14" spans="2:7" ht="16.149999999999999" customHeight="1">
      <c r="B14" s="1563"/>
      <c r="C14" s="1566"/>
      <c r="D14" s="1565" t="s">
        <v>115</v>
      </c>
      <c r="E14" s="1566"/>
      <c r="F14" s="1567">
        <v>0</v>
      </c>
      <c r="G14" s="1568">
        <f t="shared" si="0"/>
        <v>0</v>
      </c>
    </row>
    <row r="15" spans="2:7" ht="16.149999999999999" customHeight="1">
      <c r="B15" s="1563"/>
      <c r="C15" s="1566"/>
      <c r="D15" s="1565" t="s">
        <v>115</v>
      </c>
      <c r="E15" s="1566"/>
      <c r="F15" s="1567">
        <v>0</v>
      </c>
      <c r="G15" s="1568">
        <f t="shared" si="0"/>
        <v>0</v>
      </c>
    </row>
    <row r="16" spans="2:7" ht="16.149999999999999" customHeight="1">
      <c r="B16" s="1563"/>
      <c r="C16" s="1566"/>
      <c r="D16" s="1565" t="s">
        <v>115</v>
      </c>
      <c r="E16" s="1566"/>
      <c r="F16" s="1567">
        <v>0</v>
      </c>
      <c r="G16" s="1568">
        <f t="shared" si="0"/>
        <v>0</v>
      </c>
    </row>
    <row r="17" spans="2:7" ht="16.149999999999999" customHeight="1">
      <c r="B17" s="1563"/>
      <c r="C17" s="1566"/>
      <c r="D17" s="1565" t="s">
        <v>115</v>
      </c>
      <c r="E17" s="1566"/>
      <c r="F17" s="1567">
        <v>0</v>
      </c>
      <c r="G17" s="1568">
        <f t="shared" si="0"/>
        <v>0</v>
      </c>
    </row>
    <row r="18" spans="2:7" ht="16.149999999999999" customHeight="1">
      <c r="B18" s="1563"/>
      <c r="C18" s="1566"/>
      <c r="D18" s="1565" t="s">
        <v>115</v>
      </c>
      <c r="E18" s="1566"/>
      <c r="F18" s="1567">
        <v>0</v>
      </c>
      <c r="G18" s="1568">
        <f t="shared" si="0"/>
        <v>0</v>
      </c>
    </row>
    <row r="19" spans="2:7" ht="16.149999999999999" customHeight="1">
      <c r="B19" s="1563"/>
      <c r="C19" s="1566"/>
      <c r="D19" s="1565" t="s">
        <v>115</v>
      </c>
      <c r="E19" s="1566"/>
      <c r="F19" s="1567">
        <v>0</v>
      </c>
      <c r="G19" s="1568">
        <f t="shared" si="0"/>
        <v>0</v>
      </c>
    </row>
    <row r="20" spans="2:7" ht="16.149999999999999" customHeight="1">
      <c r="B20" s="1563"/>
      <c r="C20" s="1566"/>
      <c r="D20" s="1565" t="s">
        <v>115</v>
      </c>
      <c r="E20" s="1566"/>
      <c r="F20" s="1567">
        <v>0</v>
      </c>
      <c r="G20" s="1568">
        <f t="shared" si="0"/>
        <v>0</v>
      </c>
    </row>
    <row r="21" spans="2:7" ht="16.149999999999999" customHeight="1">
      <c r="B21" s="1563"/>
      <c r="C21" s="1566"/>
      <c r="D21" s="1565" t="s">
        <v>115</v>
      </c>
      <c r="E21" s="1566"/>
      <c r="F21" s="1567" t="s">
        <v>115</v>
      </c>
      <c r="G21" s="1568" t="str">
        <f t="shared" si="0"/>
        <v xml:space="preserve"> </v>
      </c>
    </row>
    <row r="22" spans="2:7" ht="16.149999999999999" customHeight="1">
      <c r="B22" s="1563"/>
      <c r="C22" s="1566"/>
      <c r="D22" s="1565" t="s">
        <v>115</v>
      </c>
      <c r="E22" s="1566"/>
      <c r="F22" s="1567">
        <v>0</v>
      </c>
      <c r="G22" s="1568">
        <f t="shared" si="0"/>
        <v>0</v>
      </c>
    </row>
    <row r="23" spans="2:7" ht="16.149999999999999" customHeight="1">
      <c r="B23" s="1563"/>
      <c r="C23" s="1566"/>
      <c r="D23" s="1565" t="s">
        <v>115</v>
      </c>
      <c r="E23" s="1566"/>
      <c r="F23" s="1567">
        <v>0</v>
      </c>
      <c r="G23" s="1568">
        <f t="shared" si="0"/>
        <v>0</v>
      </c>
    </row>
    <row r="24" spans="2:7" ht="16.149999999999999" customHeight="1">
      <c r="B24" s="1563"/>
      <c r="C24" s="1566"/>
      <c r="D24" s="1565" t="s">
        <v>115</v>
      </c>
      <c r="E24" s="1566"/>
      <c r="F24" s="1567">
        <v>0</v>
      </c>
      <c r="G24" s="1568">
        <f t="shared" si="0"/>
        <v>0</v>
      </c>
    </row>
    <row r="25" spans="2:7" ht="16.149999999999999" customHeight="1">
      <c r="B25" s="1563"/>
      <c r="C25" s="1566"/>
      <c r="D25" s="1565" t="s">
        <v>115</v>
      </c>
      <c r="E25" s="1566"/>
      <c r="F25" s="1567">
        <v>0</v>
      </c>
      <c r="G25" s="1568">
        <f t="shared" si="0"/>
        <v>0</v>
      </c>
    </row>
    <row r="26" spans="2:7" ht="16.149999999999999" customHeight="1">
      <c r="B26" s="1563"/>
      <c r="C26" s="1566"/>
      <c r="D26" s="1565" t="s">
        <v>115</v>
      </c>
      <c r="E26" s="1566"/>
      <c r="F26" s="1567">
        <v>0</v>
      </c>
      <c r="G26" s="1568">
        <f t="shared" si="0"/>
        <v>0</v>
      </c>
    </row>
    <row r="27" spans="2:7" ht="16.149999999999999" customHeight="1">
      <c r="B27" s="1563"/>
      <c r="C27" s="1566"/>
      <c r="D27" s="1565" t="s">
        <v>115</v>
      </c>
      <c r="E27" s="1566"/>
      <c r="F27" s="1567" t="s">
        <v>115</v>
      </c>
      <c r="G27" s="1568" t="str">
        <f t="shared" si="0"/>
        <v xml:space="preserve"> </v>
      </c>
    </row>
    <row r="28" spans="2:7" ht="16.149999999999999" customHeight="1">
      <c r="B28" s="1563"/>
      <c r="C28" s="1566"/>
      <c r="D28" s="1565" t="s">
        <v>115</v>
      </c>
      <c r="E28" s="1566"/>
      <c r="F28" s="1567">
        <v>0</v>
      </c>
      <c r="G28" s="1568">
        <f t="shared" si="0"/>
        <v>0</v>
      </c>
    </row>
    <row r="29" spans="2:7" ht="16.149999999999999" customHeight="1">
      <c r="B29" s="1563"/>
      <c r="C29" s="1566"/>
      <c r="D29" s="1565" t="s">
        <v>115</v>
      </c>
      <c r="E29" s="1566"/>
      <c r="F29" s="1567">
        <v>0</v>
      </c>
      <c r="G29" s="1568">
        <f t="shared" si="0"/>
        <v>0</v>
      </c>
    </row>
    <row r="30" spans="2:7" ht="16.149999999999999" customHeight="1">
      <c r="B30" s="1563"/>
      <c r="C30" s="1566"/>
      <c r="D30" s="1565" t="s">
        <v>115</v>
      </c>
      <c r="E30" s="1566"/>
      <c r="F30" s="1567">
        <v>0</v>
      </c>
      <c r="G30" s="1568">
        <f t="shared" si="0"/>
        <v>0</v>
      </c>
    </row>
    <row r="31" spans="2:7" ht="16.149999999999999" customHeight="1">
      <c r="B31" s="1563"/>
      <c r="C31" s="1566"/>
      <c r="D31" s="1565" t="s">
        <v>115</v>
      </c>
      <c r="E31" s="1566"/>
      <c r="F31" s="1567">
        <v>0</v>
      </c>
      <c r="G31" s="1568">
        <f t="shared" si="0"/>
        <v>0</v>
      </c>
    </row>
    <row r="32" spans="2:7" ht="16.149999999999999" customHeight="1">
      <c r="B32" s="1563"/>
      <c r="C32" s="1566"/>
      <c r="D32" s="1565" t="s">
        <v>115</v>
      </c>
      <c r="E32" s="1566"/>
      <c r="F32" s="1567">
        <v>0</v>
      </c>
      <c r="G32" s="1568">
        <f t="shared" si="0"/>
        <v>0</v>
      </c>
    </row>
    <row r="33" spans="2:7" ht="16.149999999999999" customHeight="1">
      <c r="B33" s="1563"/>
      <c r="C33" s="1566"/>
      <c r="D33" s="1565" t="s">
        <v>115</v>
      </c>
      <c r="E33" s="1566"/>
      <c r="F33" s="1567">
        <v>0</v>
      </c>
      <c r="G33" s="1568">
        <f t="shared" si="0"/>
        <v>0</v>
      </c>
    </row>
    <row r="34" spans="2:7" ht="16.149999999999999" customHeight="1">
      <c r="B34" s="1563"/>
      <c r="C34" s="1566"/>
      <c r="D34" s="1565" t="s">
        <v>115</v>
      </c>
      <c r="E34" s="1566"/>
      <c r="F34" s="1567">
        <v>0</v>
      </c>
      <c r="G34" s="1568">
        <f t="shared" si="0"/>
        <v>0</v>
      </c>
    </row>
    <row r="35" spans="2:7" ht="16.149999999999999" customHeight="1">
      <c r="B35" s="1563"/>
      <c r="C35" s="1566"/>
      <c r="D35" s="1565" t="s">
        <v>115</v>
      </c>
      <c r="E35" s="1566"/>
      <c r="F35" s="1567">
        <v>0</v>
      </c>
      <c r="G35" s="1568">
        <f t="shared" si="0"/>
        <v>0</v>
      </c>
    </row>
    <row r="36" spans="2:7" ht="16.149999999999999" customHeight="1">
      <c r="B36" s="1563"/>
      <c r="C36" s="1566"/>
      <c r="D36" s="1565" t="s">
        <v>115</v>
      </c>
      <c r="E36" s="1566"/>
      <c r="F36" s="1567">
        <v>0</v>
      </c>
      <c r="G36" s="1568">
        <f t="shared" si="0"/>
        <v>0</v>
      </c>
    </row>
    <row r="37" spans="2:7" ht="16.149999999999999" customHeight="1">
      <c r="B37" s="1563"/>
      <c r="C37" s="1566"/>
      <c r="D37" s="1565" t="s">
        <v>115</v>
      </c>
      <c r="E37" s="1566"/>
      <c r="F37" s="1567">
        <v>0</v>
      </c>
      <c r="G37" s="1568">
        <f t="shared" si="0"/>
        <v>0</v>
      </c>
    </row>
    <row r="38" spans="2:7" ht="16.149999999999999" customHeight="1">
      <c r="B38" s="1563"/>
      <c r="C38" s="1566"/>
      <c r="D38" s="1565" t="s">
        <v>115</v>
      </c>
      <c r="E38" s="1566"/>
      <c r="F38" s="1567">
        <v>0</v>
      </c>
      <c r="G38" s="1568">
        <f t="shared" si="0"/>
        <v>0</v>
      </c>
    </row>
    <row r="39" spans="2:7">
      <c r="B39" s="1570"/>
      <c r="C39" s="1571"/>
      <c r="D39" s="1571"/>
      <c r="E39" s="1580" t="s">
        <v>296</v>
      </c>
      <c r="F39" s="1557">
        <f>SUM(F9:F38)</f>
        <v>0</v>
      </c>
      <c r="G39" s="1558">
        <f>SUM(G9:G38)</f>
        <v>0</v>
      </c>
    </row>
    <row r="40" spans="2:7" ht="13.75" thickBot="1">
      <c r="B40" s="1570"/>
      <c r="C40" s="1572" t="s">
        <v>303</v>
      </c>
      <c r="D40" s="1573">
        <f>E106</f>
        <v>0</v>
      </c>
      <c r="E40" s="1580" t="s">
        <v>98</v>
      </c>
      <c r="F40" s="1557">
        <f>'Cost Control'!E75</f>
        <v>0</v>
      </c>
      <c r="G40" s="1558">
        <v>0</v>
      </c>
    </row>
    <row r="41" spans="2:7" ht="13.75" thickBot="1">
      <c r="B41" s="1570"/>
      <c r="C41" s="1571" t="s">
        <v>304</v>
      </c>
      <c r="D41" s="1562">
        <f>Summary!C63</f>
        <v>0</v>
      </c>
      <c r="E41" s="1580" t="str">
        <f>IF(G52="2 of 2","Page 1 Total","TOTAL")</f>
        <v>TOTAL</v>
      </c>
      <c r="F41" s="1557">
        <f>SUM(F39,F40)</f>
        <v>0</v>
      </c>
      <c r="G41" s="1558">
        <f>SUM(G39,G40)</f>
        <v>0</v>
      </c>
    </row>
    <row r="42" spans="2:7" ht="13.75" thickBot="1">
      <c r="B42" s="1570"/>
      <c r="C42" s="1574"/>
      <c r="D42" s="1571"/>
      <c r="E42" s="1108"/>
      <c r="F42" s="1111"/>
      <c r="G42" s="1112"/>
    </row>
    <row r="43" spans="2:7" ht="13.75" thickBot="1">
      <c r="B43" s="1570"/>
      <c r="C43" s="1575" t="str">
        <f>IF(F101&gt;'Cost Control'!O232+20,"Rig Report Cost is LESS",IF(F101&lt;'Cost Control'!O232-20,"Rig Report Cost is Greater"," "))</f>
        <v xml:space="preserve"> </v>
      </c>
      <c r="D43" s="1571" t="s">
        <v>298</v>
      </c>
      <c r="E43" s="1559">
        <f>(Summary!E2)</f>
        <v>0</v>
      </c>
      <c r="F43" s="1108" t="s">
        <v>299</v>
      </c>
      <c r="G43" s="1107">
        <f>SUM(-F41,G41)</f>
        <v>0</v>
      </c>
    </row>
    <row r="44" spans="2:7" ht="13.75" thickBot="1">
      <c r="B44" s="1570"/>
      <c r="C44" s="1576">
        <f>IF(C43&gt;" ",F101-D40,0)</f>
        <v>0</v>
      </c>
      <c r="D44" s="1571" t="s">
        <v>301</v>
      </c>
      <c r="E44" s="1560">
        <f>Operations!L52</f>
        <v>0</v>
      </c>
      <c r="F44" s="1110"/>
      <c r="G44" s="1113"/>
    </row>
    <row r="45" spans="2:7" ht="13.75" thickBot="1">
      <c r="B45" s="1577"/>
      <c r="C45" s="1578" t="str">
        <f>IF(C44&lt;&gt;0,"Difference"," ")</f>
        <v xml:space="preserve"> </v>
      </c>
      <c r="D45" s="1579"/>
      <c r="E45" s="1114">
        <v>0</v>
      </c>
      <c r="F45" s="1115">
        <v>0</v>
      </c>
      <c r="G45" s="1116"/>
    </row>
    <row r="46" spans="2:7">
      <c r="B46" s="1173"/>
      <c r="C46" s="1117"/>
      <c r="D46" s="1117"/>
      <c r="E46" s="1118"/>
      <c r="F46" s="1119"/>
      <c r="G46" s="1120"/>
    </row>
    <row r="47" spans="2:7">
      <c r="B47" s="1170"/>
      <c r="C47" s="1110"/>
      <c r="D47" s="1110"/>
      <c r="E47" s="1108"/>
      <c r="F47" s="1121"/>
      <c r="G47" s="1113"/>
    </row>
    <row r="48" spans="2:7">
      <c r="B48" s="2246"/>
      <c r="C48" s="2246"/>
      <c r="D48" s="2246"/>
      <c r="E48" s="2246"/>
      <c r="F48" s="2246"/>
      <c r="G48" s="2247"/>
    </row>
    <row r="49" spans="2:7">
      <c r="B49" s="1170"/>
      <c r="C49" s="1110"/>
      <c r="D49" s="1110"/>
      <c r="E49" s="1108"/>
      <c r="F49" s="1121"/>
      <c r="G49" s="1113"/>
    </row>
    <row r="50" spans="2:7">
      <c r="B50" s="1170"/>
      <c r="G50" s="1092"/>
    </row>
    <row r="51" spans="2:7" ht="16.75" thickBot="1">
      <c r="B51" s="2250"/>
      <c r="C51" s="2250"/>
      <c r="D51" s="2250"/>
      <c r="E51" s="2250"/>
      <c r="F51" s="2250"/>
      <c r="G51" s="2251"/>
    </row>
    <row r="52" spans="2:7" ht="16.75" thickBot="1">
      <c r="B52" s="1169" t="s">
        <v>115</v>
      </c>
      <c r="C52" s="1093" t="s">
        <v>115</v>
      </c>
      <c r="D52" s="1094"/>
      <c r="E52" s="1122" t="s">
        <v>115</v>
      </c>
      <c r="F52" s="1096" t="s">
        <v>305</v>
      </c>
      <c r="G52" s="1097" t="str">
        <f>IF(G5="1 of 2","2 of 2"," ")</f>
        <v xml:space="preserve"> </v>
      </c>
    </row>
    <row r="53" spans="2:7" ht="26.25" customHeight="1" thickBot="1">
      <c r="B53" s="1170"/>
      <c r="C53" s="1096" t="s">
        <v>281</v>
      </c>
      <c r="D53" s="2248">
        <f>IF(F56&gt;-100000,D6,"Just You WAIT!")</f>
        <v>0</v>
      </c>
      <c r="E53" s="2249"/>
      <c r="F53" s="1096" t="s">
        <v>290</v>
      </c>
      <c r="G53" s="1099" t="str">
        <f>IF(G5="1 of 2",G6," ")</f>
        <v xml:space="preserve"> </v>
      </c>
    </row>
    <row r="54" spans="2:7" ht="3.75" customHeight="1" thickBot="1">
      <c r="B54" s="1170"/>
      <c r="C54" s="1096" t="s">
        <v>115</v>
      </c>
      <c r="D54" s="1101" t="str">
        <f>D7</f>
        <v xml:space="preserve"> </v>
      </c>
      <c r="E54" s="1102" t="s">
        <v>115</v>
      </c>
      <c r="G54" s="1103"/>
    </row>
    <row r="55" spans="2:7">
      <c r="B55" s="1172" t="s">
        <v>920</v>
      </c>
      <c r="C55" s="1104" t="s">
        <v>291</v>
      </c>
      <c r="D55" s="1104" t="s">
        <v>292</v>
      </c>
      <c r="E55" s="1104" t="s">
        <v>293</v>
      </c>
      <c r="F55" s="1104" t="s">
        <v>294</v>
      </c>
      <c r="G55" s="1105" t="s">
        <v>295</v>
      </c>
    </row>
    <row r="56" spans="2:7" ht="16.149999999999999" customHeight="1">
      <c r="B56" s="1563"/>
      <c r="C56" s="1564" t="s">
        <v>115</v>
      </c>
      <c r="D56" s="1565" t="s">
        <v>115</v>
      </c>
      <c r="E56" s="1566"/>
      <c r="F56" s="1567">
        <v>0</v>
      </c>
      <c r="G56" s="1568" t="s">
        <v>115</v>
      </c>
    </row>
    <row r="57" spans="2:7" ht="16.149999999999999" customHeight="1">
      <c r="B57" s="1563"/>
      <c r="C57" s="1564" t="s">
        <v>115</v>
      </c>
      <c r="D57" s="1565"/>
      <c r="E57" s="1566"/>
      <c r="F57" s="1567"/>
      <c r="G57" s="1568" t="s">
        <v>115</v>
      </c>
    </row>
    <row r="58" spans="2:7" ht="16.149999999999999" customHeight="1">
      <c r="B58" s="1563"/>
      <c r="C58" s="1566" t="s">
        <v>115</v>
      </c>
      <c r="D58" s="1565" t="s">
        <v>115</v>
      </c>
      <c r="E58" s="1566"/>
      <c r="F58" s="1567"/>
      <c r="G58" s="1568" t="s">
        <v>115</v>
      </c>
    </row>
    <row r="59" spans="2:7" ht="16.149999999999999" customHeight="1">
      <c r="B59" s="1563"/>
      <c r="C59" s="1566"/>
      <c r="D59" s="1565"/>
      <c r="E59" s="1566"/>
      <c r="F59" s="1567"/>
      <c r="G59" s="1568" t="s">
        <v>115</v>
      </c>
    </row>
    <row r="60" spans="2:7" ht="16.149999999999999" customHeight="1">
      <c r="B60" s="1563"/>
      <c r="C60" s="1566"/>
      <c r="D60" s="1565"/>
      <c r="E60" s="1566"/>
      <c r="F60" s="1567">
        <v>0</v>
      </c>
      <c r="G60" s="1568" t="s">
        <v>115</v>
      </c>
    </row>
    <row r="61" spans="2:7" ht="16.149999999999999" customHeight="1">
      <c r="B61" s="1563"/>
      <c r="C61" s="1566"/>
      <c r="D61" s="1565"/>
      <c r="E61" s="1566"/>
      <c r="F61" s="1567">
        <v>0</v>
      </c>
      <c r="G61" s="1568" t="s">
        <v>115</v>
      </c>
    </row>
    <row r="62" spans="2:7" ht="16.149999999999999" customHeight="1">
      <c r="B62" s="1563"/>
      <c r="C62" s="1566"/>
      <c r="D62" s="1565"/>
      <c r="E62" s="1566"/>
      <c r="F62" s="1567"/>
      <c r="G62" s="1568" t="s">
        <v>115</v>
      </c>
    </row>
    <row r="63" spans="2:7" ht="16.149999999999999" customHeight="1">
      <c r="B63" s="1563"/>
      <c r="C63" s="1566"/>
      <c r="D63" s="1565"/>
      <c r="E63" s="1566"/>
      <c r="F63" s="1567" t="s">
        <v>115</v>
      </c>
      <c r="G63" s="1568" t="s">
        <v>115</v>
      </c>
    </row>
    <row r="64" spans="2:7" ht="16.149999999999999" customHeight="1">
      <c r="B64" s="1563"/>
      <c r="C64" s="1566"/>
      <c r="D64" s="1565"/>
      <c r="E64" s="1566"/>
      <c r="F64" s="1567" t="s">
        <v>115</v>
      </c>
      <c r="G64" s="1568" t="s">
        <v>115</v>
      </c>
    </row>
    <row r="65" spans="2:7" ht="16.149999999999999" customHeight="1">
      <c r="B65" s="1563"/>
      <c r="C65" s="1566"/>
      <c r="D65" s="1565"/>
      <c r="E65" s="1566"/>
      <c r="F65" s="1567" t="s">
        <v>115</v>
      </c>
      <c r="G65" s="1568" t="s">
        <v>115</v>
      </c>
    </row>
    <row r="66" spans="2:7" ht="16.149999999999999" customHeight="1">
      <c r="B66" s="1563"/>
      <c r="C66" s="1566"/>
      <c r="D66" s="1565"/>
      <c r="E66" s="1566"/>
      <c r="F66" s="1567" t="s">
        <v>115</v>
      </c>
      <c r="G66" s="1568" t="s">
        <v>115</v>
      </c>
    </row>
    <row r="67" spans="2:7" ht="16.149999999999999" customHeight="1">
      <c r="B67" s="1563"/>
      <c r="C67" s="1566"/>
      <c r="D67" s="1565"/>
      <c r="E67" s="1566"/>
      <c r="F67" s="1567" t="s">
        <v>115</v>
      </c>
      <c r="G67" s="1568" t="s">
        <v>115</v>
      </c>
    </row>
    <row r="68" spans="2:7" ht="16.149999999999999" customHeight="1">
      <c r="B68" s="1563"/>
      <c r="C68" s="1566"/>
      <c r="D68" s="1565"/>
      <c r="E68" s="1566"/>
      <c r="F68" s="1567" t="s">
        <v>115</v>
      </c>
      <c r="G68" s="1568" t="s">
        <v>115</v>
      </c>
    </row>
    <row r="69" spans="2:7" ht="16.149999999999999" customHeight="1">
      <c r="B69" s="1563"/>
      <c r="C69" s="1566"/>
      <c r="D69" s="1565" t="s">
        <v>115</v>
      </c>
      <c r="E69" s="1566"/>
      <c r="F69" s="1567" t="s">
        <v>115</v>
      </c>
      <c r="G69" s="1568" t="s">
        <v>115</v>
      </c>
    </row>
    <row r="70" spans="2:7" ht="16.149999999999999" customHeight="1">
      <c r="B70" s="1563"/>
      <c r="C70" s="1566"/>
      <c r="D70" s="1565"/>
      <c r="E70" s="1566"/>
      <c r="F70" s="1567" t="s">
        <v>115</v>
      </c>
      <c r="G70" s="1568" t="s">
        <v>115</v>
      </c>
    </row>
    <row r="71" spans="2:7" ht="16.149999999999999" customHeight="1">
      <c r="B71" s="1563"/>
      <c r="C71" s="1566"/>
      <c r="D71" s="1565"/>
      <c r="E71" s="1566"/>
      <c r="F71" s="1567" t="s">
        <v>115</v>
      </c>
      <c r="G71" s="1568" t="s">
        <v>115</v>
      </c>
    </row>
    <row r="72" spans="2:7" ht="16.149999999999999" customHeight="1">
      <c r="B72" s="1563"/>
      <c r="C72" s="1566"/>
      <c r="D72" s="1565"/>
      <c r="E72" s="1566"/>
      <c r="F72" s="1567" t="s">
        <v>115</v>
      </c>
      <c r="G72" s="1568" t="s">
        <v>115</v>
      </c>
    </row>
    <row r="73" spans="2:7" ht="16.149999999999999" customHeight="1">
      <c r="B73" s="1563"/>
      <c r="C73" s="1566"/>
      <c r="D73" s="1565"/>
      <c r="E73" s="1566"/>
      <c r="F73" s="1567" t="s">
        <v>115</v>
      </c>
      <c r="G73" s="1568" t="s">
        <v>115</v>
      </c>
    </row>
    <row r="74" spans="2:7" ht="16.149999999999999" customHeight="1">
      <c r="B74" s="1563"/>
      <c r="C74" s="1566"/>
      <c r="D74" s="1565"/>
      <c r="E74" s="1566"/>
      <c r="F74" s="1567" t="s">
        <v>115</v>
      </c>
      <c r="G74" s="1568" t="s">
        <v>115</v>
      </c>
    </row>
    <row r="75" spans="2:7" ht="16.149999999999999" customHeight="1">
      <c r="B75" s="1563"/>
      <c r="C75" s="1566"/>
      <c r="D75" s="1565"/>
      <c r="E75" s="1566"/>
      <c r="F75" s="1567" t="s">
        <v>115</v>
      </c>
      <c r="G75" s="1568" t="s">
        <v>115</v>
      </c>
    </row>
    <row r="76" spans="2:7" ht="16.149999999999999" customHeight="1">
      <c r="B76" s="1563"/>
      <c r="C76" s="1566"/>
      <c r="D76" s="1565"/>
      <c r="E76" s="1566"/>
      <c r="F76" s="1567" t="s">
        <v>115</v>
      </c>
      <c r="G76" s="1568" t="s">
        <v>115</v>
      </c>
    </row>
    <row r="77" spans="2:7" ht="16.149999999999999" customHeight="1">
      <c r="B77" s="1569"/>
      <c r="C77" s="1566"/>
      <c r="D77" s="1565"/>
      <c r="E77" s="1566"/>
      <c r="F77" s="1567" t="s">
        <v>115</v>
      </c>
      <c r="G77" s="1568" t="s">
        <v>115</v>
      </c>
    </row>
    <row r="78" spans="2:7" ht="16.149999999999999" customHeight="1">
      <c r="B78" s="1563"/>
      <c r="C78" s="1566"/>
      <c r="D78" s="1565"/>
      <c r="E78" s="1566"/>
      <c r="F78" s="1567" t="s">
        <v>115</v>
      </c>
      <c r="G78" s="1568" t="s">
        <v>115</v>
      </c>
    </row>
    <row r="79" spans="2:7" ht="16.149999999999999" customHeight="1">
      <c r="B79" s="1563"/>
      <c r="C79" s="1566"/>
      <c r="D79" s="1565"/>
      <c r="E79" s="1566"/>
      <c r="F79" s="1567" t="s">
        <v>115</v>
      </c>
      <c r="G79" s="1568" t="s">
        <v>115</v>
      </c>
    </row>
    <row r="80" spans="2:7" ht="16.149999999999999" customHeight="1">
      <c r="B80" s="1563"/>
      <c r="C80" s="1566"/>
      <c r="D80" s="1565"/>
      <c r="E80" s="1566"/>
      <c r="F80" s="1567" t="s">
        <v>115</v>
      </c>
      <c r="G80" s="1568" t="s">
        <v>115</v>
      </c>
    </row>
    <row r="81" spans="2:7" ht="16.149999999999999" customHeight="1">
      <c r="B81" s="1563"/>
      <c r="C81" s="1566"/>
      <c r="D81" s="1565"/>
      <c r="E81" s="1566"/>
      <c r="F81" s="1567" t="s">
        <v>115</v>
      </c>
      <c r="G81" s="1568" t="s">
        <v>115</v>
      </c>
    </row>
    <row r="82" spans="2:7" ht="16.149999999999999" customHeight="1">
      <c r="B82" s="1563"/>
      <c r="C82" s="1566"/>
      <c r="D82" s="1565" t="s">
        <v>115</v>
      </c>
      <c r="E82" s="1566"/>
      <c r="F82" s="1567" t="s">
        <v>115</v>
      </c>
      <c r="G82" s="1568" t="s">
        <v>115</v>
      </c>
    </row>
    <row r="83" spans="2:7" ht="16.149999999999999" customHeight="1">
      <c r="B83" s="1563"/>
      <c r="C83" s="1566"/>
      <c r="D83" s="1565"/>
      <c r="E83" s="1566"/>
      <c r="F83" s="1567" t="s">
        <v>115</v>
      </c>
      <c r="G83" s="1568" t="s">
        <v>115</v>
      </c>
    </row>
    <row r="84" spans="2:7" ht="16.149999999999999" customHeight="1">
      <c r="B84" s="1563"/>
      <c r="C84" s="1566"/>
      <c r="D84" s="1565"/>
      <c r="E84" s="1566"/>
      <c r="F84" s="1567" t="s">
        <v>115</v>
      </c>
      <c r="G84" s="1568" t="s">
        <v>115</v>
      </c>
    </row>
    <row r="85" spans="2:7" ht="16.149999999999999" customHeight="1">
      <c r="B85" s="1563"/>
      <c r="C85" s="1566"/>
      <c r="D85" s="1565"/>
      <c r="E85" s="1566"/>
      <c r="F85" s="1567" t="s">
        <v>115</v>
      </c>
      <c r="G85" s="1568" t="s">
        <v>115</v>
      </c>
    </row>
    <row r="86" spans="2:7" ht="16.149999999999999" customHeight="1">
      <c r="B86" s="1563"/>
      <c r="C86" s="1566"/>
      <c r="D86" s="1565"/>
      <c r="E86" s="1566"/>
      <c r="F86" s="1567" t="s">
        <v>115</v>
      </c>
      <c r="G86" s="1568" t="s">
        <v>115</v>
      </c>
    </row>
    <row r="87" spans="2:7" ht="16.149999999999999" customHeight="1">
      <c r="B87" s="1563"/>
      <c r="C87" s="1566"/>
      <c r="D87" s="1565"/>
      <c r="E87" s="1566"/>
      <c r="F87" s="1567" t="s">
        <v>115</v>
      </c>
      <c r="G87" s="1568" t="s">
        <v>115</v>
      </c>
    </row>
    <row r="88" spans="2:7" ht="16.149999999999999" customHeight="1">
      <c r="B88" s="1563"/>
      <c r="C88" s="1566"/>
      <c r="D88" s="1565"/>
      <c r="E88" s="1566"/>
      <c r="F88" s="1567" t="s">
        <v>115</v>
      </c>
      <c r="G88" s="1568" t="s">
        <v>115</v>
      </c>
    </row>
    <row r="89" spans="2:7" ht="16.149999999999999" customHeight="1">
      <c r="B89" s="1563"/>
      <c r="C89" s="1566"/>
      <c r="D89" s="1565"/>
      <c r="E89" s="1566"/>
      <c r="F89" s="1567" t="s">
        <v>115</v>
      </c>
      <c r="G89" s="1568" t="s">
        <v>115</v>
      </c>
    </row>
    <row r="90" spans="2:7" ht="16.149999999999999" customHeight="1">
      <c r="B90" s="1569"/>
      <c r="C90" s="1566"/>
      <c r="D90" s="1565"/>
      <c r="E90" s="1566"/>
      <c r="F90" s="1567" t="s">
        <v>115</v>
      </c>
      <c r="G90" s="1568" t="s">
        <v>115</v>
      </c>
    </row>
    <row r="91" spans="2:7" ht="16.149999999999999" customHeight="1">
      <c r="B91" s="1569"/>
      <c r="C91" s="1566"/>
      <c r="D91" s="1565"/>
      <c r="E91" s="1566"/>
      <c r="F91" s="1567" t="s">
        <v>115</v>
      </c>
      <c r="G91" s="1568" t="s">
        <v>115</v>
      </c>
    </row>
    <row r="92" spans="2:7" ht="16.149999999999999" customHeight="1">
      <c r="B92" s="1569"/>
      <c r="C92" s="1566"/>
      <c r="D92" s="1565"/>
      <c r="E92" s="1566"/>
      <c r="F92" s="1567" t="s">
        <v>115</v>
      </c>
      <c r="G92" s="1568" t="s">
        <v>115</v>
      </c>
    </row>
    <row r="93" spans="2:7" ht="16.149999999999999" customHeight="1">
      <c r="B93" s="1569"/>
      <c r="C93" s="1566"/>
      <c r="D93" s="1565"/>
      <c r="E93" s="1566"/>
      <c r="F93" s="1567" t="s">
        <v>115</v>
      </c>
      <c r="G93" s="1568" t="s">
        <v>115</v>
      </c>
    </row>
    <row r="94" spans="2:7" ht="16.149999999999999" customHeight="1">
      <c r="B94" s="1569"/>
      <c r="C94" s="1566"/>
      <c r="D94" s="1565"/>
      <c r="E94" s="1566"/>
      <c r="F94" s="1567" t="s">
        <v>115</v>
      </c>
      <c r="G94" s="1568" t="s">
        <v>115</v>
      </c>
    </row>
    <row r="95" spans="2:7" ht="16.149999999999999" customHeight="1">
      <c r="B95" s="1569"/>
      <c r="C95" s="1566"/>
      <c r="D95" s="1565"/>
      <c r="E95" s="1566"/>
      <c r="F95" s="1567" t="s">
        <v>115</v>
      </c>
      <c r="G95" s="1568" t="s">
        <v>115</v>
      </c>
    </row>
    <row r="96" spans="2:7" ht="16.149999999999999" customHeight="1">
      <c r="B96" s="1569"/>
      <c r="C96" s="1566"/>
      <c r="D96" s="1565"/>
      <c r="E96" s="1566"/>
      <c r="F96" s="1567" t="s">
        <v>115</v>
      </c>
      <c r="G96" s="1568" t="s">
        <v>115</v>
      </c>
    </row>
    <row r="97" spans="2:7" ht="16.149999999999999" customHeight="1">
      <c r="B97" s="1569"/>
      <c r="C97" s="1566"/>
      <c r="D97" s="1565"/>
      <c r="E97" s="1566"/>
      <c r="F97" s="1567" t="s">
        <v>115</v>
      </c>
      <c r="G97" s="1568" t="s">
        <v>115</v>
      </c>
    </row>
    <row r="98" spans="2:7" ht="16.149999999999999" customHeight="1">
      <c r="B98" s="1569"/>
      <c r="C98" s="1566"/>
      <c r="D98" s="1565"/>
      <c r="E98" s="1566"/>
      <c r="F98" s="1567" t="s">
        <v>115</v>
      </c>
      <c r="G98" s="1568" t="s">
        <v>115</v>
      </c>
    </row>
    <row r="99" spans="2:7">
      <c r="B99" s="1170"/>
      <c r="C99" s="1108"/>
      <c r="D99" s="1108"/>
      <c r="E99" s="1109" t="s">
        <v>296</v>
      </c>
      <c r="F99" s="1106">
        <f>SUM(F56:F98)</f>
        <v>0</v>
      </c>
      <c r="G99" s="1107">
        <f>SUM(G56:G98)</f>
        <v>0</v>
      </c>
    </row>
    <row r="100" spans="2:7">
      <c r="B100" s="1170"/>
      <c r="C100" s="1108"/>
      <c r="D100" s="1108"/>
      <c r="E100" s="1109" t="s">
        <v>297</v>
      </c>
      <c r="F100" s="1557">
        <f>F41</f>
        <v>0</v>
      </c>
      <c r="G100" s="1558">
        <f>G41</f>
        <v>0</v>
      </c>
    </row>
    <row r="101" spans="2:7">
      <c r="B101" s="1170"/>
      <c r="C101" s="1108"/>
      <c r="D101" s="1108"/>
      <c r="E101" s="1109" t="str">
        <f>IF(G52="2 of 2","Page 2 Total","TOTAL")</f>
        <v>TOTAL</v>
      </c>
      <c r="F101" s="1557">
        <f>SUM(F99,F100)</f>
        <v>0</v>
      </c>
      <c r="G101" s="1558">
        <f>SUM(G99,G100)</f>
        <v>0</v>
      </c>
    </row>
    <row r="102" spans="2:7" ht="13.75" thickBot="1">
      <c r="B102" s="1170"/>
      <c r="C102" s="1108"/>
      <c r="D102" s="1108"/>
      <c r="E102" s="1108"/>
      <c r="F102" s="1111"/>
      <c r="G102" s="1112"/>
    </row>
    <row r="103" spans="2:7" ht="13.75" thickBot="1">
      <c r="B103" s="1170"/>
      <c r="C103" s="1110"/>
      <c r="D103" s="1108" t="s">
        <v>298</v>
      </c>
      <c r="E103" s="1559">
        <f>E43</f>
        <v>0</v>
      </c>
      <c r="F103" s="1108" t="s">
        <v>299</v>
      </c>
      <c r="G103" s="1107">
        <f>SUM(-F101,G101)</f>
        <v>0</v>
      </c>
    </row>
    <row r="104" spans="2:7" ht="13.75" thickBot="1">
      <c r="B104" s="1170"/>
      <c r="C104" s="1108" t="s">
        <v>115</v>
      </c>
      <c r="D104" s="1108" t="s">
        <v>301</v>
      </c>
      <c r="E104" s="1560">
        <f>E44</f>
        <v>0</v>
      </c>
      <c r="F104" s="1110"/>
      <c r="G104" s="1113"/>
    </row>
    <row r="105" spans="2:7" ht="13.75" thickBot="1">
      <c r="B105" s="1170"/>
      <c r="C105" s="1108" t="s">
        <v>115</v>
      </c>
      <c r="D105" s="1108" t="s">
        <v>302</v>
      </c>
      <c r="E105" s="1560">
        <f>SUM(E104,-G101)</f>
        <v>0</v>
      </c>
      <c r="F105" s="1015">
        <v>0</v>
      </c>
      <c r="G105" s="1113"/>
    </row>
    <row r="106" spans="2:7" ht="13.75" thickBot="1">
      <c r="B106" s="1170"/>
      <c r="C106" s="1110"/>
      <c r="D106" s="1110" t="s">
        <v>303</v>
      </c>
      <c r="E106" s="1561">
        <f>'Cost Control'!O232</f>
        <v>0</v>
      </c>
      <c r="F106" s="1110">
        <v>0</v>
      </c>
      <c r="G106" s="1113"/>
    </row>
    <row r="107" spans="2:7" ht="13.75" thickBot="1">
      <c r="B107" s="1170"/>
      <c r="C107" s="1110"/>
      <c r="D107" s="1108" t="s">
        <v>304</v>
      </c>
      <c r="E107" s="1562">
        <f>D41</f>
        <v>0</v>
      </c>
      <c r="F107" s="1123">
        <v>0</v>
      </c>
      <c r="G107" s="1113"/>
    </row>
  </sheetData>
  <sheetProtection sheet="1" formatCells="0" formatColumns="0" formatRows="0" insertColumns="0" insertRows="0" deleteColumns="0" deleteRows="0" selectLockedCells="1"/>
  <mergeCells count="6">
    <mergeCell ref="B3:G3"/>
    <mergeCell ref="D53:E53"/>
    <mergeCell ref="B4:G4"/>
    <mergeCell ref="B48:G48"/>
    <mergeCell ref="B51:G51"/>
    <mergeCell ref="D6:E6"/>
  </mergeCells>
  <phoneticPr fontId="0" type="noConversion"/>
  <printOptions horizontalCentered="1" verticalCentered="1"/>
  <pageMargins left="0" right="0" top="0" bottom="0" header="0" footer="0"/>
  <pageSetup scale="85" orientation="portrait" horizontalDpi="360"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78" r:id="rId4" name="Button 18">
              <controlPr defaultSize="0" print="0" autoFill="0" autoPict="0" macro="[0]!BACKTOMENU4">
                <anchor moveWithCells="1">
                  <from>
                    <xdr:col>1</xdr:col>
                    <xdr:colOff>715736</xdr:colOff>
                    <xdr:row>0</xdr:row>
                    <xdr:rowOff>19050</xdr:rowOff>
                  </from>
                  <to>
                    <xdr:col>2</xdr:col>
                    <xdr:colOff>435429</xdr:colOff>
                    <xdr:row>1</xdr:row>
                    <xdr:rowOff>68036</xdr:rowOff>
                  </to>
                </anchor>
              </controlPr>
            </control>
          </mc:Choice>
        </mc:AlternateContent>
        <mc:AlternateContent xmlns:mc="http://schemas.openxmlformats.org/markup-compatibility/2006">
          <mc:Choice Requires="x14">
            <control shapeId="15379" r:id="rId5" name="Button 19">
              <controlPr defaultSize="0" print="0" autoFill="0" autoPict="0" macro="[0]!GOTOAFE">
                <anchor moveWithCells="1">
                  <from>
                    <xdr:col>1</xdr:col>
                    <xdr:colOff>10886</xdr:colOff>
                    <xdr:row>0</xdr:row>
                    <xdr:rowOff>29936</xdr:rowOff>
                  </from>
                  <to>
                    <xdr:col>1</xdr:col>
                    <xdr:colOff>625929</xdr:colOff>
                    <xdr:row>1</xdr:row>
                    <xdr:rowOff>78921</xdr:rowOff>
                  </to>
                </anchor>
              </controlPr>
            </control>
          </mc:Choice>
        </mc:AlternateContent>
        <mc:AlternateContent xmlns:mc="http://schemas.openxmlformats.org/markup-compatibility/2006">
          <mc:Choice Requires="x14">
            <control shapeId="15620" r:id="rId6" name="Button 260">
              <controlPr defaultSize="0" print="0" autoFill="0" autoPict="0" macro="[0]!BACKTOMENU4">
                <anchor moveWithCells="1">
                  <from>
                    <xdr:col>2</xdr:col>
                    <xdr:colOff>715736</xdr:colOff>
                    <xdr:row>46</xdr:row>
                    <xdr:rowOff>19050</xdr:rowOff>
                  </from>
                  <to>
                    <xdr:col>2</xdr:col>
                    <xdr:colOff>1333500</xdr:colOff>
                    <xdr:row>47</xdr:row>
                    <xdr:rowOff>68036</xdr:rowOff>
                  </to>
                </anchor>
              </controlPr>
            </control>
          </mc:Choice>
        </mc:AlternateContent>
        <mc:AlternateContent xmlns:mc="http://schemas.openxmlformats.org/markup-compatibility/2006">
          <mc:Choice Requires="x14">
            <control shapeId="15621" r:id="rId7" name="Button 261">
              <controlPr defaultSize="0" print="0" autoFill="0" autoPict="0" macro="[0]!GOTOAFE">
                <anchor moveWithCells="1">
                  <from>
                    <xdr:col>2</xdr:col>
                    <xdr:colOff>10886</xdr:colOff>
                    <xdr:row>46</xdr:row>
                    <xdr:rowOff>38100</xdr:rowOff>
                  </from>
                  <to>
                    <xdr:col>2</xdr:col>
                    <xdr:colOff>625929</xdr:colOff>
                    <xdr:row>47</xdr:row>
                    <xdr:rowOff>87086</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61EE2DBA-E938-4E1C-833E-1C7C57E0C55A}">
          <x14:formula1>
            <xm:f>'Data Validation'!$A$2:$A$66</xm:f>
          </x14:formula1>
          <xm:sqref>E10:E38 E56:E98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258AE-283A-4819-8A8A-36DA9C9B9DD0}">
  <sheetPr codeName="Sheet29"/>
  <dimension ref="A1:F192"/>
  <sheetViews>
    <sheetView showGridLines="0" showZeros="0" zoomScale="140" zoomScaleNormal="100" zoomScaleSheetLayoutView="110" workbookViewId="0">
      <selection activeCell="C7" sqref="C7"/>
    </sheetView>
  </sheetViews>
  <sheetFormatPr defaultRowHeight="12.9"/>
  <cols>
    <col min="1" max="1" width="1.421875" customWidth="1"/>
    <col min="2" max="2" width="15.69140625" customWidth="1"/>
    <col min="3" max="3" width="42.15234375" customWidth="1"/>
    <col min="5" max="5" width="20.69140625" style="3" customWidth="1"/>
  </cols>
  <sheetData>
    <row r="1" spans="1:5" ht="15.75" customHeight="1">
      <c r="A1" s="42"/>
      <c r="B1" s="50"/>
      <c r="C1" s="112" t="s">
        <v>342</v>
      </c>
      <c r="D1" s="112"/>
      <c r="E1" s="113" t="s">
        <v>115</v>
      </c>
    </row>
    <row r="2" spans="1:5" ht="13.5" thickBot="1">
      <c r="A2" s="44"/>
      <c r="C2" s="56"/>
      <c r="E2" s="114"/>
    </row>
    <row r="3" spans="1:5" ht="13.75" thickBot="1">
      <c r="A3" s="44"/>
      <c r="B3" s="64" t="s">
        <v>281</v>
      </c>
      <c r="C3" s="150">
        <f>(Summary!C6)</f>
        <v>0</v>
      </c>
      <c r="D3" s="115" t="s">
        <v>221</v>
      </c>
      <c r="E3" s="151">
        <f>Summary!$C$4</f>
        <v>0</v>
      </c>
    </row>
    <row r="4" spans="1:5" ht="13.75" thickBot="1">
      <c r="A4" s="44"/>
      <c r="B4" s="64" t="s">
        <v>282</v>
      </c>
      <c r="C4" s="150">
        <f>(Summary!E2)</f>
        <v>0</v>
      </c>
      <c r="D4" s="23"/>
      <c r="E4" s="114"/>
    </row>
    <row r="5" spans="1:5" ht="13.75" thickBot="1">
      <c r="A5" s="44"/>
      <c r="B5" s="23"/>
      <c r="C5" s="56"/>
      <c r="D5" s="23"/>
      <c r="E5" s="114"/>
    </row>
    <row r="6" spans="1:5" ht="13.75" thickBot="1">
      <c r="A6" s="44"/>
      <c r="B6" s="64" t="s">
        <v>283</v>
      </c>
      <c r="C6" s="152" t="s">
        <v>1581</v>
      </c>
      <c r="D6" s="23"/>
      <c r="E6" s="114"/>
    </row>
    <row r="7" spans="1:5" ht="13.75" thickBot="1">
      <c r="A7" s="44"/>
      <c r="B7" s="64" t="s">
        <v>284</v>
      </c>
      <c r="C7" s="150"/>
      <c r="D7" s="23"/>
      <c r="E7" s="114"/>
    </row>
    <row r="8" spans="1:5" ht="13.1">
      <c r="A8" s="44"/>
      <c r="B8" s="23"/>
      <c r="C8" s="56"/>
      <c r="D8" s="23"/>
      <c r="E8" s="114"/>
    </row>
    <row r="9" spans="1:5" ht="13.75" thickBot="1">
      <c r="A9" s="44"/>
      <c r="B9" s="110" t="s">
        <v>155</v>
      </c>
      <c r="C9" s="111"/>
      <c r="D9" s="110" t="s">
        <v>285</v>
      </c>
      <c r="E9" s="116" t="s">
        <v>286</v>
      </c>
    </row>
    <row r="10" spans="1:5" ht="16.100000000000001">
      <c r="A10" s="44"/>
      <c r="B10" s="117" t="s">
        <v>416</v>
      </c>
      <c r="C10" s="1"/>
      <c r="D10" s="1" t="s">
        <v>115</v>
      </c>
      <c r="E10" s="118">
        <f>SUM('Cost Control'!O216:O222)+SUM('Cost Control'!O138:O144)+SUM('Cost Control'!O60:O66)</f>
        <v>0</v>
      </c>
    </row>
    <row r="11" spans="1:5" ht="16.100000000000001">
      <c r="A11" s="44"/>
      <c r="B11" s="117" t="s">
        <v>115</v>
      </c>
      <c r="C11" s="1"/>
      <c r="D11" s="1"/>
      <c r="E11" s="118" t="s">
        <v>115</v>
      </c>
    </row>
    <row r="12" spans="1:5" ht="16.100000000000001">
      <c r="A12" s="44"/>
      <c r="B12" s="117" t="s">
        <v>115</v>
      </c>
      <c r="C12" s="1"/>
      <c r="D12" s="1"/>
      <c r="E12" s="118" t="s">
        <v>115</v>
      </c>
    </row>
    <row r="13" spans="1:5" ht="16.100000000000001">
      <c r="A13" s="44"/>
      <c r="B13" s="117" t="s">
        <v>115</v>
      </c>
      <c r="C13" s="1"/>
      <c r="D13" s="1"/>
      <c r="E13" s="118" t="s">
        <v>115</v>
      </c>
    </row>
    <row r="14" spans="1:5" ht="16.100000000000001">
      <c r="A14" s="44"/>
      <c r="B14" s="117" t="s">
        <v>115</v>
      </c>
      <c r="C14" s="1"/>
      <c r="D14" s="1"/>
      <c r="E14" s="118" t="s">
        <v>115</v>
      </c>
    </row>
    <row r="15" spans="1:5" ht="16.100000000000001">
      <c r="A15" s="44"/>
      <c r="B15" s="117" t="s">
        <v>115</v>
      </c>
      <c r="C15" s="1"/>
      <c r="D15" s="1"/>
      <c r="E15" s="118" t="s">
        <v>115</v>
      </c>
    </row>
    <row r="16" spans="1:5" ht="16.100000000000001">
      <c r="A16" s="44"/>
      <c r="B16" s="117"/>
      <c r="C16" s="1"/>
      <c r="D16" s="1"/>
      <c r="E16" s="118" t="s">
        <v>115</v>
      </c>
    </row>
    <row r="17" spans="1:6" ht="16.100000000000001">
      <c r="A17" s="44"/>
      <c r="B17" s="117"/>
      <c r="C17" s="1" t="s">
        <v>115</v>
      </c>
      <c r="D17" s="1"/>
      <c r="E17" s="118" t="s">
        <v>115</v>
      </c>
    </row>
    <row r="18" spans="1:6" ht="16.100000000000001">
      <c r="A18" s="44"/>
      <c r="B18" s="117"/>
      <c r="C18" s="1"/>
      <c r="D18" s="1"/>
      <c r="E18" s="118" t="s">
        <v>115</v>
      </c>
    </row>
    <row r="19" spans="1:6" ht="16.75" thickBot="1">
      <c r="A19" s="44"/>
      <c r="B19" s="117"/>
      <c r="C19" s="1"/>
      <c r="D19" s="1"/>
      <c r="E19" s="118" t="s">
        <v>115</v>
      </c>
    </row>
    <row r="20" spans="1:6" ht="16.75" thickBot="1">
      <c r="A20" s="44"/>
      <c r="B20" s="117"/>
      <c r="C20" s="1"/>
      <c r="D20" s="66" t="s">
        <v>280</v>
      </c>
      <c r="E20" s="67">
        <f>SUM(E10:E19)</f>
        <v>0</v>
      </c>
    </row>
    <row r="21" spans="1:6" ht="16.75" thickTop="1">
      <c r="A21" s="44"/>
      <c r="B21" s="117"/>
      <c r="C21" s="1"/>
      <c r="D21" s="1"/>
      <c r="E21" s="119"/>
    </row>
    <row r="22" spans="1:6" ht="16.100000000000001">
      <c r="A22" s="44"/>
      <c r="B22" s="117"/>
      <c r="C22" s="1"/>
      <c r="D22" s="1"/>
      <c r="E22" s="119"/>
    </row>
    <row r="23" spans="1:6" ht="13.1">
      <c r="A23" s="44"/>
      <c r="B23" s="41" t="s">
        <v>115</v>
      </c>
      <c r="C23" s="120" t="s">
        <v>287</v>
      </c>
      <c r="D23" s="23"/>
      <c r="E23" s="121"/>
      <c r="F23" s="23"/>
    </row>
    <row r="24" spans="1:6" ht="16.100000000000001">
      <c r="A24" s="44"/>
      <c r="B24" s="153" t="s">
        <v>623</v>
      </c>
      <c r="C24" s="154"/>
      <c r="D24" s="154"/>
      <c r="E24" s="155"/>
    </row>
    <row r="25" spans="1:6" ht="16.100000000000001">
      <c r="A25" s="44"/>
      <c r="B25" s="153"/>
      <c r="C25" s="154"/>
      <c r="D25" s="154"/>
      <c r="E25" s="155"/>
    </row>
    <row r="26" spans="1:6" ht="16.100000000000001">
      <c r="A26" s="44"/>
      <c r="B26" s="153"/>
      <c r="C26" s="154"/>
      <c r="D26" s="154"/>
      <c r="E26" s="155"/>
    </row>
    <row r="27" spans="1:6" ht="16.75" thickBot="1">
      <c r="A27" s="44"/>
      <c r="B27" s="153"/>
      <c r="C27" s="154"/>
      <c r="D27" s="154"/>
      <c r="E27" s="155"/>
    </row>
    <row r="28" spans="1:6" ht="13.5" thickBot="1">
      <c r="A28" s="44"/>
      <c r="B28" t="s">
        <v>151</v>
      </c>
      <c r="C28" s="156">
        <f>(Summary!C63)</f>
        <v>0</v>
      </c>
      <c r="E28" s="114"/>
    </row>
    <row r="29" spans="1:6">
      <c r="A29" s="44"/>
      <c r="E29" s="114"/>
    </row>
    <row r="30" spans="1:6">
      <c r="A30" s="44"/>
      <c r="E30" s="114"/>
    </row>
    <row r="31" spans="1:6">
      <c r="A31" s="44"/>
      <c r="E31" s="114"/>
    </row>
    <row r="32" spans="1:6">
      <c r="A32" s="44"/>
      <c r="E32" s="114"/>
    </row>
    <row r="33" spans="1:5">
      <c r="A33" s="44"/>
      <c r="E33" s="114"/>
    </row>
    <row r="34" spans="1:5">
      <c r="A34" s="44"/>
      <c r="E34" s="114"/>
    </row>
    <row r="35" spans="1:5">
      <c r="A35" s="44"/>
      <c r="E35" s="114"/>
    </row>
    <row r="36" spans="1:5">
      <c r="A36" s="44"/>
      <c r="E36" s="114"/>
    </row>
    <row r="37" spans="1:5">
      <c r="A37" s="44"/>
      <c r="E37" s="114"/>
    </row>
    <row r="38" spans="1:5">
      <c r="A38" s="44"/>
      <c r="E38" s="114"/>
    </row>
    <row r="39" spans="1:5">
      <c r="A39" s="44"/>
      <c r="E39" s="114"/>
    </row>
    <row r="40" spans="1:5">
      <c r="A40" s="44"/>
      <c r="E40" s="114"/>
    </row>
    <row r="41" spans="1:5">
      <c r="A41" s="44"/>
      <c r="E41" s="114"/>
    </row>
    <row r="42" spans="1:5">
      <c r="A42" s="44"/>
      <c r="E42" s="114"/>
    </row>
    <row r="43" spans="1:5">
      <c r="A43" s="44"/>
      <c r="E43" s="114"/>
    </row>
    <row r="44" spans="1:5">
      <c r="A44" s="44"/>
      <c r="E44" s="114"/>
    </row>
    <row r="45" spans="1:5">
      <c r="A45" s="44"/>
      <c r="E45" s="114"/>
    </row>
    <row r="46" spans="1:5">
      <c r="A46" s="44"/>
      <c r="E46" s="114"/>
    </row>
    <row r="47" spans="1:5">
      <c r="A47" s="44"/>
      <c r="E47" s="114"/>
    </row>
    <row r="48" spans="1:5" ht="13.5" thickBot="1">
      <c r="A48" s="46"/>
      <c r="B48" s="21"/>
      <c r="C48" s="21"/>
      <c r="D48" s="21"/>
      <c r="E48" s="51"/>
    </row>
    <row r="49" spans="1:5" ht="13.1">
      <c r="A49" s="42"/>
      <c r="B49" s="50"/>
      <c r="C49" s="132" t="s">
        <v>341</v>
      </c>
      <c r="D49" s="112"/>
      <c r="E49" s="113" t="s">
        <v>115</v>
      </c>
    </row>
    <row r="50" spans="1:5" ht="13.5" thickBot="1">
      <c r="A50" s="44"/>
      <c r="C50" s="56"/>
      <c r="E50" s="114"/>
    </row>
    <row r="51" spans="1:5" ht="13.75" thickBot="1">
      <c r="A51" s="44"/>
      <c r="B51" s="64" t="s">
        <v>281</v>
      </c>
      <c r="C51" s="150">
        <f>C3</f>
        <v>0</v>
      </c>
      <c r="D51" s="115" t="s">
        <v>221</v>
      </c>
      <c r="E51" s="151" t="s">
        <v>115</v>
      </c>
    </row>
    <row r="52" spans="1:5" ht="13.75" thickBot="1">
      <c r="A52" s="44"/>
      <c r="B52" s="64" t="s">
        <v>282</v>
      </c>
      <c r="C52" s="150">
        <f>C4</f>
        <v>0</v>
      </c>
      <c r="D52" s="23"/>
      <c r="E52" s="114"/>
    </row>
    <row r="53" spans="1:5" ht="13.75" thickBot="1">
      <c r="A53" s="44"/>
      <c r="B53" s="23"/>
      <c r="C53" s="56"/>
      <c r="D53" s="23"/>
      <c r="E53" s="114"/>
    </row>
    <row r="54" spans="1:5" ht="13.75" thickBot="1">
      <c r="A54" s="44"/>
      <c r="B54" s="64" t="s">
        <v>283</v>
      </c>
      <c r="C54" s="152" t="s">
        <v>115</v>
      </c>
      <c r="D54" s="23"/>
      <c r="E54" s="114"/>
    </row>
    <row r="55" spans="1:5" ht="13.75" thickBot="1">
      <c r="A55" s="44"/>
      <c r="B55" s="64" t="s">
        <v>284</v>
      </c>
      <c r="C55" s="150"/>
      <c r="D55" s="23"/>
      <c r="E55" s="114"/>
    </row>
    <row r="56" spans="1:5" ht="13.1">
      <c r="A56" s="44"/>
      <c r="B56" s="23"/>
      <c r="C56" s="56"/>
      <c r="D56" s="23"/>
      <c r="E56" s="114"/>
    </row>
    <row r="57" spans="1:5" ht="13.75" thickBot="1">
      <c r="A57" s="44"/>
      <c r="B57" s="110" t="s">
        <v>155</v>
      </c>
      <c r="C57" s="111"/>
      <c r="D57" s="110" t="s">
        <v>285</v>
      </c>
      <c r="E57" s="116" t="s">
        <v>286</v>
      </c>
    </row>
    <row r="58" spans="1:5" ht="16.100000000000001">
      <c r="A58" s="44"/>
      <c r="B58" s="117" t="s">
        <v>115</v>
      </c>
      <c r="C58" s="1"/>
      <c r="D58" s="1" t="s">
        <v>115</v>
      </c>
      <c r="E58" s="118" t="s">
        <v>115</v>
      </c>
    </row>
    <row r="59" spans="1:5" ht="16.100000000000001">
      <c r="A59" s="44"/>
      <c r="B59" s="117" t="s">
        <v>115</v>
      </c>
      <c r="C59" s="1"/>
      <c r="D59" s="1"/>
      <c r="E59" s="118" t="s">
        <v>115</v>
      </c>
    </row>
    <row r="60" spans="1:5" ht="16.100000000000001">
      <c r="A60" s="44"/>
      <c r="B60" s="117" t="s">
        <v>115</v>
      </c>
      <c r="C60" s="1"/>
      <c r="D60" s="1"/>
      <c r="E60" s="118" t="s">
        <v>115</v>
      </c>
    </row>
    <row r="61" spans="1:5" ht="16.100000000000001">
      <c r="A61" s="44"/>
      <c r="B61" s="117" t="s">
        <v>115</v>
      </c>
      <c r="C61" s="1"/>
      <c r="D61" s="1"/>
      <c r="E61" s="118" t="s">
        <v>115</v>
      </c>
    </row>
    <row r="62" spans="1:5" ht="16.100000000000001">
      <c r="A62" s="44"/>
      <c r="B62" s="117" t="s">
        <v>115</v>
      </c>
      <c r="C62" s="1"/>
      <c r="D62" s="1"/>
      <c r="E62" s="118" t="s">
        <v>115</v>
      </c>
    </row>
    <row r="63" spans="1:5" ht="16.100000000000001">
      <c r="A63" s="44"/>
      <c r="B63" s="117" t="s">
        <v>115</v>
      </c>
      <c r="C63" s="1"/>
      <c r="D63" s="1"/>
      <c r="E63" s="118" t="s">
        <v>115</v>
      </c>
    </row>
    <row r="64" spans="1:5" ht="16.100000000000001">
      <c r="A64" s="44"/>
      <c r="B64" s="117"/>
      <c r="C64" s="1"/>
      <c r="D64" s="1"/>
      <c r="E64" s="118" t="s">
        <v>115</v>
      </c>
    </row>
    <row r="65" spans="1:5" ht="16.100000000000001">
      <c r="A65" s="44"/>
      <c r="B65" s="117"/>
      <c r="C65" s="1" t="s">
        <v>115</v>
      </c>
      <c r="D65" s="1"/>
      <c r="E65" s="118" t="s">
        <v>115</v>
      </c>
    </row>
    <row r="66" spans="1:5" ht="16.100000000000001">
      <c r="A66" s="44"/>
      <c r="B66" s="117"/>
      <c r="C66" s="1"/>
      <c r="D66" s="1"/>
      <c r="E66" s="118" t="s">
        <v>115</v>
      </c>
    </row>
    <row r="67" spans="1:5" ht="16.75" thickBot="1">
      <c r="A67" s="44"/>
      <c r="B67" s="117"/>
      <c r="C67" s="1"/>
      <c r="D67" s="1"/>
      <c r="E67" s="118" t="s">
        <v>115</v>
      </c>
    </row>
    <row r="68" spans="1:5" ht="16.75" thickBot="1">
      <c r="A68" s="44"/>
      <c r="B68" s="117"/>
      <c r="C68" s="1"/>
      <c r="D68" s="66" t="s">
        <v>280</v>
      </c>
      <c r="E68" s="67">
        <f>SUM(E58:E67)</f>
        <v>0</v>
      </c>
    </row>
    <row r="69" spans="1:5" ht="16.75" thickTop="1">
      <c r="A69" s="44"/>
      <c r="B69" s="117"/>
      <c r="C69" s="1"/>
      <c r="D69" s="1"/>
      <c r="E69" s="119"/>
    </row>
    <row r="70" spans="1:5" ht="16.100000000000001">
      <c r="A70" s="44"/>
      <c r="B70" s="117"/>
      <c r="C70" s="1"/>
      <c r="D70" s="1"/>
      <c r="E70" s="119"/>
    </row>
    <row r="71" spans="1:5" ht="13.1">
      <c r="A71" s="44"/>
      <c r="B71" s="41" t="s">
        <v>115</v>
      </c>
      <c r="C71" s="120" t="s">
        <v>287</v>
      </c>
      <c r="D71" s="23"/>
      <c r="E71" s="121"/>
    </row>
    <row r="72" spans="1:5" ht="16.100000000000001">
      <c r="A72" s="44"/>
      <c r="B72" s="153" t="s">
        <v>1256</v>
      </c>
      <c r="C72" s="154"/>
      <c r="D72" s="154"/>
      <c r="E72" s="155"/>
    </row>
    <row r="73" spans="1:5" ht="16.100000000000001">
      <c r="A73" s="44"/>
      <c r="B73" s="153"/>
      <c r="C73" s="154"/>
      <c r="D73" s="154"/>
      <c r="E73" s="155"/>
    </row>
    <row r="74" spans="1:5" ht="16.100000000000001">
      <c r="A74" s="44"/>
      <c r="B74" s="153"/>
      <c r="C74" s="154"/>
      <c r="D74" s="154"/>
      <c r="E74" s="155"/>
    </row>
    <row r="75" spans="1:5" ht="16.75" thickBot="1">
      <c r="A75" s="44"/>
      <c r="B75" s="153"/>
      <c r="C75" s="154"/>
      <c r="D75" s="154"/>
      <c r="E75" s="155"/>
    </row>
    <row r="76" spans="1:5" ht="13.5" thickBot="1">
      <c r="A76" s="44"/>
      <c r="B76" t="s">
        <v>151</v>
      </c>
      <c r="C76" s="156">
        <f>C28</f>
        <v>0</v>
      </c>
      <c r="E76" s="114"/>
    </row>
    <row r="77" spans="1:5">
      <c r="A77" s="44"/>
      <c r="E77" s="114"/>
    </row>
    <row r="78" spans="1:5">
      <c r="A78" s="44"/>
      <c r="E78" s="114"/>
    </row>
    <row r="79" spans="1:5">
      <c r="A79" s="44"/>
      <c r="E79" s="114"/>
    </row>
    <row r="80" spans="1:5">
      <c r="A80" s="44"/>
      <c r="E80" s="114"/>
    </row>
    <row r="81" spans="1:5">
      <c r="A81" s="44"/>
      <c r="E81" s="114"/>
    </row>
    <row r="82" spans="1:5">
      <c r="A82" s="44"/>
      <c r="E82" s="114"/>
    </row>
    <row r="83" spans="1:5">
      <c r="A83" s="44"/>
      <c r="E83" s="114"/>
    </row>
    <row r="84" spans="1:5">
      <c r="A84" s="44"/>
      <c r="E84" s="114"/>
    </row>
    <row r="85" spans="1:5">
      <c r="A85" s="44"/>
      <c r="E85" s="114"/>
    </row>
    <row r="86" spans="1:5">
      <c r="A86" s="44"/>
      <c r="E86" s="114"/>
    </row>
    <row r="87" spans="1:5">
      <c r="A87" s="44"/>
      <c r="E87" s="114"/>
    </row>
    <row r="88" spans="1:5">
      <c r="A88" s="44"/>
      <c r="E88" s="114"/>
    </row>
    <row r="89" spans="1:5">
      <c r="A89" s="44"/>
      <c r="E89" s="114"/>
    </row>
    <row r="90" spans="1:5">
      <c r="A90" s="44"/>
      <c r="E90" s="114"/>
    </row>
    <row r="91" spans="1:5">
      <c r="A91" s="44"/>
      <c r="E91" s="114"/>
    </row>
    <row r="92" spans="1:5">
      <c r="A92" s="44"/>
      <c r="E92" s="114"/>
    </row>
    <row r="93" spans="1:5">
      <c r="A93" s="44"/>
      <c r="E93" s="114"/>
    </row>
    <row r="94" spans="1:5">
      <c r="A94" s="44"/>
      <c r="E94" s="114"/>
    </row>
    <row r="95" spans="1:5">
      <c r="A95" s="44"/>
      <c r="E95" s="114"/>
    </row>
    <row r="96" spans="1:5" ht="13.5" thickBot="1">
      <c r="A96" s="46"/>
      <c r="B96" s="21"/>
      <c r="C96" s="21"/>
      <c r="D96" s="21"/>
      <c r="E96" s="51"/>
    </row>
    <row r="97" spans="1:5" ht="13.1">
      <c r="A97" s="42"/>
      <c r="B97" s="50"/>
      <c r="C97" s="112" t="s">
        <v>343</v>
      </c>
      <c r="D97" s="112"/>
      <c r="E97" s="113" t="s">
        <v>115</v>
      </c>
    </row>
    <row r="98" spans="1:5" ht="13.5" thickBot="1">
      <c r="A98" s="44"/>
      <c r="C98" s="56"/>
      <c r="E98" s="114"/>
    </row>
    <row r="99" spans="1:5" ht="13.75" thickBot="1">
      <c r="A99" s="44"/>
      <c r="B99" s="64" t="s">
        <v>281</v>
      </c>
      <c r="C99" s="150">
        <f>C51</f>
        <v>0</v>
      </c>
      <c r="D99" s="115" t="s">
        <v>221</v>
      </c>
      <c r="E99" s="151" t="s">
        <v>115</v>
      </c>
    </row>
    <row r="100" spans="1:5" ht="13.75" thickBot="1">
      <c r="A100" s="44"/>
      <c r="B100" s="64" t="s">
        <v>282</v>
      </c>
      <c r="C100" s="150">
        <f>C4</f>
        <v>0</v>
      </c>
      <c r="D100" s="23"/>
      <c r="E100" s="114"/>
    </row>
    <row r="101" spans="1:5" ht="13.75" thickBot="1">
      <c r="A101" s="44"/>
      <c r="B101" s="23"/>
      <c r="C101" s="56"/>
      <c r="D101" s="23"/>
      <c r="E101" s="114"/>
    </row>
    <row r="102" spans="1:5" ht="13.75" thickBot="1">
      <c r="A102" s="44"/>
      <c r="B102" s="64" t="s">
        <v>283</v>
      </c>
      <c r="C102" s="152" t="s">
        <v>115</v>
      </c>
      <c r="D102" s="23"/>
      <c r="E102" s="114"/>
    </row>
    <row r="103" spans="1:5" ht="13.75" thickBot="1">
      <c r="A103" s="44"/>
      <c r="B103" s="64" t="s">
        <v>284</v>
      </c>
      <c r="C103" s="150"/>
      <c r="D103" s="23"/>
      <c r="E103" s="114"/>
    </row>
    <row r="104" spans="1:5" ht="13.1">
      <c r="A104" s="44"/>
      <c r="B104" s="23"/>
      <c r="C104" s="56"/>
      <c r="D104" s="23"/>
      <c r="E104" s="114"/>
    </row>
    <row r="105" spans="1:5" ht="13.75" thickBot="1">
      <c r="A105" s="44"/>
      <c r="B105" s="110" t="s">
        <v>155</v>
      </c>
      <c r="C105" s="111"/>
      <c r="D105" s="110" t="s">
        <v>285</v>
      </c>
      <c r="E105" s="116" t="s">
        <v>286</v>
      </c>
    </row>
    <row r="106" spans="1:5" ht="16.100000000000001">
      <c r="A106" s="44"/>
      <c r="B106" s="117" t="s">
        <v>115</v>
      </c>
      <c r="C106" s="1"/>
      <c r="D106" s="1" t="s">
        <v>115</v>
      </c>
      <c r="E106" s="118" t="s">
        <v>115</v>
      </c>
    </row>
    <row r="107" spans="1:5" ht="16.100000000000001">
      <c r="A107" s="44"/>
      <c r="B107" s="117" t="s">
        <v>115</v>
      </c>
      <c r="C107" s="1"/>
      <c r="D107" s="1"/>
      <c r="E107" s="118" t="s">
        <v>115</v>
      </c>
    </row>
    <row r="108" spans="1:5" ht="16.100000000000001">
      <c r="A108" s="44"/>
      <c r="B108" s="117" t="s">
        <v>115</v>
      </c>
      <c r="C108" s="1"/>
      <c r="D108" s="1"/>
      <c r="E108" s="118" t="s">
        <v>115</v>
      </c>
    </row>
    <row r="109" spans="1:5" ht="16.100000000000001">
      <c r="A109" s="44"/>
      <c r="B109" s="117" t="s">
        <v>115</v>
      </c>
      <c r="C109" s="1"/>
      <c r="D109" s="1"/>
      <c r="E109" s="118" t="s">
        <v>115</v>
      </c>
    </row>
    <row r="110" spans="1:5" ht="16.100000000000001">
      <c r="A110" s="44"/>
      <c r="B110" s="117" t="s">
        <v>115</v>
      </c>
      <c r="C110" s="1"/>
      <c r="D110" s="1"/>
      <c r="E110" s="118" t="s">
        <v>115</v>
      </c>
    </row>
    <row r="111" spans="1:5" ht="16.100000000000001">
      <c r="A111" s="44"/>
      <c r="B111" s="117" t="s">
        <v>115</v>
      </c>
      <c r="C111" s="1"/>
      <c r="D111" s="1"/>
      <c r="E111" s="118" t="s">
        <v>115</v>
      </c>
    </row>
    <row r="112" spans="1:5" ht="16.100000000000001">
      <c r="A112" s="44"/>
      <c r="B112" s="117"/>
      <c r="C112" s="1"/>
      <c r="D112" s="1"/>
      <c r="E112" s="118" t="s">
        <v>115</v>
      </c>
    </row>
    <row r="113" spans="1:5" ht="16.100000000000001">
      <c r="A113" s="44"/>
      <c r="B113" s="117"/>
      <c r="C113" s="1" t="s">
        <v>115</v>
      </c>
      <c r="D113" s="1"/>
      <c r="E113" s="118" t="s">
        <v>115</v>
      </c>
    </row>
    <row r="114" spans="1:5" ht="16.100000000000001">
      <c r="A114" s="44"/>
      <c r="B114" s="117"/>
      <c r="C114" s="1"/>
      <c r="D114" s="1"/>
      <c r="E114" s="118" t="s">
        <v>115</v>
      </c>
    </row>
    <row r="115" spans="1:5" ht="16.75" thickBot="1">
      <c r="A115" s="44"/>
      <c r="B115" s="117"/>
      <c r="C115" s="1"/>
      <c r="D115" s="1"/>
      <c r="E115" s="118" t="s">
        <v>115</v>
      </c>
    </row>
    <row r="116" spans="1:5" ht="16.75" thickBot="1">
      <c r="A116" s="44"/>
      <c r="B116" s="117"/>
      <c r="C116" s="1"/>
      <c r="D116" s="66" t="s">
        <v>280</v>
      </c>
      <c r="E116" s="67">
        <f>SUM(E106:E115)</f>
        <v>0</v>
      </c>
    </row>
    <row r="117" spans="1:5" ht="16.75" thickTop="1">
      <c r="A117" s="44"/>
      <c r="B117" s="117"/>
      <c r="C117" s="1"/>
      <c r="D117" s="1"/>
      <c r="E117" s="119"/>
    </row>
    <row r="118" spans="1:5" ht="16.100000000000001">
      <c r="A118" s="44"/>
      <c r="B118" s="117"/>
      <c r="C118" s="1"/>
      <c r="D118" s="1"/>
      <c r="E118" s="119"/>
    </row>
    <row r="119" spans="1:5" ht="13.1">
      <c r="A119" s="44"/>
      <c r="B119" s="41" t="s">
        <v>115</v>
      </c>
      <c r="C119" s="120" t="s">
        <v>287</v>
      </c>
      <c r="D119" s="23"/>
      <c r="E119" s="121"/>
    </row>
    <row r="120" spans="1:5" ht="16.100000000000001">
      <c r="A120" s="44"/>
      <c r="B120" s="153" t="s">
        <v>1256</v>
      </c>
      <c r="C120" s="154"/>
      <c r="D120" s="154"/>
      <c r="E120" s="155"/>
    </row>
    <row r="121" spans="1:5" ht="16.100000000000001">
      <c r="A121" s="44"/>
      <c r="B121" s="153"/>
      <c r="C121" s="154"/>
      <c r="D121" s="154"/>
      <c r="E121" s="155"/>
    </row>
    <row r="122" spans="1:5" ht="16.100000000000001">
      <c r="A122" s="44"/>
      <c r="B122" s="153"/>
      <c r="C122" s="154"/>
      <c r="D122" s="154"/>
      <c r="E122" s="155"/>
    </row>
    <row r="123" spans="1:5" ht="16.75" thickBot="1">
      <c r="A123" s="44"/>
      <c r="B123" s="153"/>
      <c r="C123" s="154"/>
      <c r="D123" s="154"/>
      <c r="E123" s="155"/>
    </row>
    <row r="124" spans="1:5" ht="13.5" thickBot="1">
      <c r="A124" s="44"/>
      <c r="B124" t="s">
        <v>151</v>
      </c>
      <c r="C124" s="156">
        <f>C28</f>
        <v>0</v>
      </c>
      <c r="E124" s="114"/>
    </row>
    <row r="125" spans="1:5">
      <c r="A125" s="44"/>
      <c r="E125" s="114"/>
    </row>
    <row r="126" spans="1:5">
      <c r="A126" s="44"/>
      <c r="E126" s="114"/>
    </row>
    <row r="127" spans="1:5">
      <c r="A127" s="44"/>
      <c r="E127" s="114"/>
    </row>
    <row r="128" spans="1:5">
      <c r="A128" s="44"/>
      <c r="E128" s="114"/>
    </row>
    <row r="129" spans="1:5">
      <c r="A129" s="44"/>
      <c r="E129" s="114"/>
    </row>
    <row r="130" spans="1:5">
      <c r="A130" s="44"/>
      <c r="E130" s="114"/>
    </row>
    <row r="131" spans="1:5">
      <c r="A131" s="44"/>
      <c r="E131" s="114"/>
    </row>
    <row r="132" spans="1:5">
      <c r="A132" s="44"/>
      <c r="E132" s="114"/>
    </row>
    <row r="133" spans="1:5">
      <c r="A133" s="44"/>
      <c r="E133" s="114"/>
    </row>
    <row r="134" spans="1:5">
      <c r="A134" s="44"/>
      <c r="E134" s="114"/>
    </row>
    <row r="135" spans="1:5">
      <c r="A135" s="44"/>
      <c r="E135" s="114"/>
    </row>
    <row r="136" spans="1:5">
      <c r="A136" s="44"/>
      <c r="E136" s="114"/>
    </row>
    <row r="137" spans="1:5">
      <c r="A137" s="44"/>
      <c r="E137" s="114"/>
    </row>
    <row r="138" spans="1:5">
      <c r="A138" s="44"/>
      <c r="E138" s="114"/>
    </row>
    <row r="139" spans="1:5">
      <c r="A139" s="44"/>
      <c r="E139" s="114"/>
    </row>
    <row r="140" spans="1:5">
      <c r="A140" s="44"/>
      <c r="E140" s="114"/>
    </row>
    <row r="141" spans="1:5">
      <c r="A141" s="44"/>
      <c r="E141" s="114"/>
    </row>
    <row r="142" spans="1:5">
      <c r="A142" s="44"/>
      <c r="E142" s="114"/>
    </row>
    <row r="143" spans="1:5">
      <c r="A143" s="44"/>
      <c r="E143" s="114"/>
    </row>
    <row r="144" spans="1:5" ht="13.5" thickBot="1">
      <c r="A144" s="44"/>
      <c r="E144" s="114"/>
    </row>
    <row r="145" spans="1:5" ht="13.1">
      <c r="A145" s="42"/>
      <c r="B145" s="50"/>
      <c r="C145" s="112" t="s">
        <v>344</v>
      </c>
      <c r="D145" s="112"/>
      <c r="E145" s="113" t="s">
        <v>115</v>
      </c>
    </row>
    <row r="146" spans="1:5" ht="13.5" thickBot="1">
      <c r="A146" s="44"/>
      <c r="C146" s="56"/>
      <c r="E146" s="114"/>
    </row>
    <row r="147" spans="1:5" ht="13.75" thickBot="1">
      <c r="A147" s="44"/>
      <c r="B147" s="64" t="s">
        <v>281</v>
      </c>
      <c r="C147" s="150">
        <f>C99</f>
        <v>0</v>
      </c>
      <c r="D147" s="115" t="s">
        <v>221</v>
      </c>
      <c r="E147" s="151" t="s">
        <v>115</v>
      </c>
    </row>
    <row r="148" spans="1:5" ht="13.75" thickBot="1">
      <c r="A148" s="44"/>
      <c r="B148" s="64" t="s">
        <v>282</v>
      </c>
      <c r="C148" s="150">
        <f>C52</f>
        <v>0</v>
      </c>
      <c r="D148" s="23"/>
      <c r="E148" s="114"/>
    </row>
    <row r="149" spans="1:5" ht="13.75" thickBot="1">
      <c r="A149" s="44"/>
      <c r="B149" s="23"/>
      <c r="C149" s="56"/>
      <c r="D149" s="23"/>
      <c r="E149" s="114"/>
    </row>
    <row r="150" spans="1:5" ht="13.75" thickBot="1">
      <c r="A150" s="44"/>
      <c r="B150" s="64" t="s">
        <v>283</v>
      </c>
      <c r="C150" s="152" t="s">
        <v>115</v>
      </c>
      <c r="D150" s="23"/>
      <c r="E150" s="114"/>
    </row>
    <row r="151" spans="1:5" ht="13.75" thickBot="1">
      <c r="A151" s="44"/>
      <c r="B151" s="64" t="s">
        <v>284</v>
      </c>
      <c r="C151" s="150"/>
      <c r="D151" s="23"/>
      <c r="E151" s="114"/>
    </row>
    <row r="152" spans="1:5" ht="13.1">
      <c r="A152" s="44"/>
      <c r="B152" s="23"/>
      <c r="C152" s="56"/>
      <c r="D152" s="23"/>
      <c r="E152" s="114"/>
    </row>
    <row r="153" spans="1:5" ht="13.75" thickBot="1">
      <c r="A153" s="44"/>
      <c r="B153" s="110" t="s">
        <v>155</v>
      </c>
      <c r="C153" s="111"/>
      <c r="D153" s="110" t="s">
        <v>285</v>
      </c>
      <c r="E153" s="116" t="s">
        <v>286</v>
      </c>
    </row>
    <row r="154" spans="1:5" ht="16.100000000000001">
      <c r="A154" s="44"/>
      <c r="B154" s="117" t="s">
        <v>115</v>
      </c>
      <c r="C154" s="1"/>
      <c r="D154" s="1" t="s">
        <v>115</v>
      </c>
      <c r="E154" s="118" t="s">
        <v>115</v>
      </c>
    </row>
    <row r="155" spans="1:5" ht="16.100000000000001">
      <c r="A155" s="44"/>
      <c r="B155" s="117" t="s">
        <v>115</v>
      </c>
      <c r="C155" s="1"/>
      <c r="D155" s="1"/>
      <c r="E155" s="118" t="s">
        <v>115</v>
      </c>
    </row>
    <row r="156" spans="1:5" ht="16.100000000000001">
      <c r="A156" s="44"/>
      <c r="B156" s="117" t="s">
        <v>115</v>
      </c>
      <c r="C156" s="1"/>
      <c r="D156" s="1"/>
      <c r="E156" s="118" t="s">
        <v>115</v>
      </c>
    </row>
    <row r="157" spans="1:5" ht="16.100000000000001">
      <c r="A157" s="44"/>
      <c r="B157" s="117" t="s">
        <v>115</v>
      </c>
      <c r="C157" s="1"/>
      <c r="D157" s="1"/>
      <c r="E157" s="118" t="s">
        <v>115</v>
      </c>
    </row>
    <row r="158" spans="1:5" ht="16.100000000000001">
      <c r="A158" s="44"/>
      <c r="B158" s="117" t="s">
        <v>115</v>
      </c>
      <c r="C158" s="1"/>
      <c r="D158" s="1"/>
      <c r="E158" s="118" t="s">
        <v>115</v>
      </c>
    </row>
    <row r="159" spans="1:5" ht="16.100000000000001">
      <c r="A159" s="44"/>
      <c r="B159" s="117" t="s">
        <v>115</v>
      </c>
      <c r="C159" s="1"/>
      <c r="D159" s="1"/>
      <c r="E159" s="118" t="s">
        <v>115</v>
      </c>
    </row>
    <row r="160" spans="1:5" ht="16.100000000000001">
      <c r="A160" s="44"/>
      <c r="B160" s="117"/>
      <c r="C160" s="1"/>
      <c r="D160" s="1"/>
      <c r="E160" s="118" t="s">
        <v>115</v>
      </c>
    </row>
    <row r="161" spans="1:5" ht="16.100000000000001">
      <c r="A161" s="44"/>
      <c r="B161" s="117"/>
      <c r="C161" s="1" t="s">
        <v>115</v>
      </c>
      <c r="D161" s="1"/>
      <c r="E161" s="118" t="s">
        <v>115</v>
      </c>
    </row>
    <row r="162" spans="1:5" ht="16.100000000000001">
      <c r="A162" s="44"/>
      <c r="B162" s="117"/>
      <c r="C162" s="1"/>
      <c r="D162" s="1"/>
      <c r="E162" s="118" t="s">
        <v>115</v>
      </c>
    </row>
    <row r="163" spans="1:5" ht="16.75" thickBot="1">
      <c r="A163" s="44"/>
      <c r="B163" s="117"/>
      <c r="C163" s="1"/>
      <c r="D163" s="1"/>
      <c r="E163" s="118" t="s">
        <v>115</v>
      </c>
    </row>
    <row r="164" spans="1:5" ht="16.75" thickBot="1">
      <c r="A164" s="44"/>
      <c r="B164" s="117"/>
      <c r="C164" s="1"/>
      <c r="D164" s="66" t="s">
        <v>280</v>
      </c>
      <c r="E164" s="67">
        <f>SUM(E154:E163)</f>
        <v>0</v>
      </c>
    </row>
    <row r="165" spans="1:5" ht="16.75" thickTop="1">
      <c r="A165" s="44"/>
      <c r="B165" s="117"/>
      <c r="C165" s="1"/>
      <c r="D165" s="1"/>
      <c r="E165" s="119"/>
    </row>
    <row r="166" spans="1:5" ht="16.100000000000001">
      <c r="A166" s="44"/>
      <c r="B166" s="117"/>
      <c r="C166" s="1"/>
      <c r="D166" s="1"/>
      <c r="E166" s="119"/>
    </row>
    <row r="167" spans="1:5" ht="13.1">
      <c r="A167" s="44"/>
      <c r="B167" s="41" t="s">
        <v>115</v>
      </c>
      <c r="C167" s="120" t="s">
        <v>287</v>
      </c>
      <c r="D167" s="23"/>
      <c r="E167" s="121"/>
    </row>
    <row r="168" spans="1:5" ht="16.100000000000001">
      <c r="A168" s="44"/>
      <c r="B168" s="153" t="s">
        <v>1256</v>
      </c>
      <c r="C168" s="154"/>
      <c r="D168" s="154"/>
      <c r="E168" s="155"/>
    </row>
    <row r="169" spans="1:5" ht="16.100000000000001">
      <c r="A169" s="44"/>
      <c r="B169" s="153"/>
      <c r="C169" s="154"/>
      <c r="D169" s="154"/>
      <c r="E169" s="155"/>
    </row>
    <row r="170" spans="1:5" ht="16.100000000000001">
      <c r="A170" s="44"/>
      <c r="B170" s="153"/>
      <c r="C170" s="154"/>
      <c r="D170" s="154"/>
      <c r="E170" s="155"/>
    </row>
    <row r="171" spans="1:5" ht="16.75" thickBot="1">
      <c r="A171" s="44"/>
      <c r="B171" s="153"/>
      <c r="C171" s="154"/>
      <c r="D171" s="154"/>
      <c r="E171" s="155"/>
    </row>
    <row r="172" spans="1:5" ht="13.5" thickBot="1">
      <c r="A172" s="44"/>
      <c r="B172" t="s">
        <v>151</v>
      </c>
      <c r="C172" s="156">
        <f>C76</f>
        <v>0</v>
      </c>
      <c r="E172" s="114"/>
    </row>
    <row r="173" spans="1:5">
      <c r="A173" s="44"/>
      <c r="E173" s="114"/>
    </row>
    <row r="174" spans="1:5">
      <c r="A174" s="44"/>
      <c r="E174" s="114"/>
    </row>
    <row r="175" spans="1:5">
      <c r="A175" s="44"/>
      <c r="E175" s="114"/>
    </row>
    <row r="176" spans="1:5">
      <c r="A176" s="44"/>
      <c r="E176" s="114"/>
    </row>
    <row r="177" spans="1:5">
      <c r="A177" s="44"/>
      <c r="E177" s="114"/>
    </row>
    <row r="178" spans="1:5">
      <c r="A178" s="44"/>
      <c r="E178" s="114"/>
    </row>
    <row r="179" spans="1:5">
      <c r="A179" s="44"/>
      <c r="E179" s="114"/>
    </row>
    <row r="180" spans="1:5">
      <c r="A180" s="44"/>
      <c r="E180" s="114"/>
    </row>
    <row r="181" spans="1:5">
      <c r="A181" s="44"/>
      <c r="E181" s="114"/>
    </row>
    <row r="182" spans="1:5">
      <c r="A182" s="44"/>
      <c r="E182" s="114"/>
    </row>
    <row r="183" spans="1:5">
      <c r="A183" s="44"/>
      <c r="E183" s="114"/>
    </row>
    <row r="184" spans="1:5">
      <c r="A184" s="44"/>
      <c r="E184" s="114"/>
    </row>
    <row r="185" spans="1:5">
      <c r="A185" s="44"/>
      <c r="E185" s="114"/>
    </row>
    <row r="186" spans="1:5">
      <c r="A186" s="44"/>
      <c r="E186" s="114"/>
    </row>
    <row r="187" spans="1:5">
      <c r="A187" s="44"/>
      <c r="E187" s="114"/>
    </row>
    <row r="188" spans="1:5">
      <c r="A188" s="44"/>
      <c r="E188" s="114"/>
    </row>
    <row r="189" spans="1:5">
      <c r="A189" s="44"/>
      <c r="E189" s="114"/>
    </row>
    <row r="190" spans="1:5">
      <c r="A190" s="44"/>
      <c r="E190" s="114"/>
    </row>
    <row r="191" spans="1:5">
      <c r="A191" s="44"/>
      <c r="E191" s="114"/>
    </row>
    <row r="192" spans="1:5" ht="13.5" thickBot="1">
      <c r="A192" s="46"/>
      <c r="B192" s="21"/>
      <c r="C192" s="21"/>
      <c r="D192" s="21"/>
      <c r="E192" s="51"/>
    </row>
  </sheetData>
  <phoneticPr fontId="0" type="noConversion"/>
  <printOptions horizontalCentered="1" verticalCentered="1"/>
  <pageMargins left="0.75" right="0.75" top="1" bottom="1" header="0.5" footer="0.5"/>
  <pageSetup orientation="portrait" horizontalDpi="360"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46" r:id="rId4" name="Button 10">
              <controlPr defaultSize="0" print="0" autoFill="0" autoPict="0" macro="[0]!BACKTOMENU4">
                <anchor moveWithCells="1">
                  <from>
                    <xdr:col>5</xdr:col>
                    <xdr:colOff>10886</xdr:colOff>
                    <xdr:row>0</xdr:row>
                    <xdr:rowOff>48986</xdr:rowOff>
                  </from>
                  <to>
                    <xdr:col>5</xdr:col>
                    <xdr:colOff>612321</xdr:colOff>
                    <xdr:row>1</xdr:row>
                    <xdr:rowOff>57150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943F2-FBED-4D03-8C23-D7FD34F70B14}">
  <sheetPr transitionEvaluation="1" codeName="Sheet30"/>
  <dimension ref="A1:O295"/>
  <sheetViews>
    <sheetView showGridLines="0" showZeros="0" zoomScale="120" zoomScaleNormal="90" zoomScaleSheetLayoutView="90" workbookViewId="0">
      <selection activeCell="B12" sqref="B12:C12"/>
    </sheetView>
  </sheetViews>
  <sheetFormatPr defaultColWidth="12.57421875" defaultRowHeight="14.6"/>
  <cols>
    <col min="1" max="1" width="3.57421875" style="390" customWidth="1"/>
    <col min="2" max="2" width="6.15234375" style="390" customWidth="1"/>
    <col min="3" max="3" width="4.84375" style="390" customWidth="1"/>
    <col min="4" max="4" width="8.69140625" style="390" customWidth="1"/>
    <col min="5" max="6" width="11.265625" style="390" customWidth="1"/>
    <col min="7" max="7" width="12.57421875" style="390"/>
    <col min="8" max="8" width="6.15234375" style="390" customWidth="1"/>
    <col min="9" max="9" width="4.84375" style="390" customWidth="1"/>
    <col min="10" max="10" width="8.69140625" style="390" customWidth="1"/>
    <col min="11" max="12" width="11.265625" style="390" customWidth="1"/>
    <col min="13" max="16384" width="12.57421875" style="390"/>
  </cols>
  <sheetData>
    <row r="1" spans="1:14" ht="6" customHeight="1"/>
    <row r="2" spans="1:14" ht="18">
      <c r="B2" s="779">
        <f>Summary!C5</f>
        <v>0</v>
      </c>
      <c r="C2" s="391"/>
      <c r="D2" s="391"/>
      <c r="E2" s="391"/>
      <c r="F2" s="392"/>
      <c r="G2" s="391"/>
      <c r="H2" s="391"/>
      <c r="I2" s="391"/>
      <c r="J2" s="393" t="s">
        <v>833</v>
      </c>
      <c r="K2" s="394">
        <f>IF(D22&gt;0,1,0)</f>
        <v>0</v>
      </c>
      <c r="L2" s="395" t="s">
        <v>464</v>
      </c>
      <c r="M2" s="780">
        <f>IF(M60=0,IF(K2=1,1,0),M60)</f>
        <v>0</v>
      </c>
      <c r="N2" s="390">
        <v>0</v>
      </c>
    </row>
    <row r="3" spans="1:14">
      <c r="B3" s="396"/>
      <c r="M3" s="397"/>
    </row>
    <row r="4" spans="1:14">
      <c r="B4" s="398" t="s">
        <v>834</v>
      </c>
      <c r="C4" s="399"/>
      <c r="D4" s="399"/>
      <c r="E4" s="399"/>
      <c r="F4" s="2252" t="str">
        <f>IF(D22&gt;0,(Summary!C6)," ")</f>
        <v xml:space="preserve"> </v>
      </c>
      <c r="G4" s="2253"/>
      <c r="H4" s="2253"/>
      <c r="I4" s="2253"/>
      <c r="J4" s="2253"/>
      <c r="K4" s="2254"/>
      <c r="L4" s="400" t="s">
        <v>221</v>
      </c>
      <c r="M4" s="781">
        <f>'Input Tally'!H5</f>
        <v>0</v>
      </c>
    </row>
    <row r="5" spans="1:14">
      <c r="B5" s="396"/>
      <c r="M5" s="401"/>
    </row>
    <row r="6" spans="1:14">
      <c r="B6" s="398" t="s">
        <v>835</v>
      </c>
      <c r="C6" s="399"/>
      <c r="D6" s="399"/>
      <c r="E6" s="402"/>
      <c r="F6" s="2284" t="str">
        <f>IF(D22&gt;0,(Summary!C14)," ")</f>
        <v xml:space="preserve"> </v>
      </c>
      <c r="G6" s="2285"/>
      <c r="H6" s="2285"/>
      <c r="I6" s="2285"/>
      <c r="J6" s="2286"/>
      <c r="K6" s="403" t="s">
        <v>836</v>
      </c>
      <c r="L6" s="2282" t="str">
        <f>IF(Summary!G62=" ","Suck a Rock",Summary!G62)</f>
        <v>0.XLS</v>
      </c>
      <c r="M6" s="2283"/>
    </row>
    <row r="7" spans="1:14">
      <c r="B7" s="396"/>
      <c r="K7" s="404"/>
      <c r="L7" s="404"/>
      <c r="M7" s="401"/>
    </row>
    <row r="8" spans="1:14">
      <c r="B8" s="405" t="s">
        <v>838</v>
      </c>
      <c r="C8" s="406"/>
      <c r="D8" s="407" t="s">
        <v>839</v>
      </c>
      <c r="E8" s="408"/>
      <c r="F8" s="407" t="s">
        <v>840</v>
      </c>
      <c r="G8" s="407" t="s">
        <v>841</v>
      </c>
      <c r="H8" s="409"/>
      <c r="I8" s="409"/>
      <c r="J8" s="408"/>
      <c r="K8" s="409"/>
      <c r="L8" s="408"/>
      <c r="M8" s="407" t="s">
        <v>156</v>
      </c>
    </row>
    <row r="9" spans="1:14" ht="15.25" thickBot="1">
      <c r="B9" s="2280" t="s">
        <v>118</v>
      </c>
      <c r="C9" s="2281"/>
      <c r="D9" s="410" t="s">
        <v>822</v>
      </c>
      <c r="E9" s="397" t="s">
        <v>842</v>
      </c>
      <c r="F9" s="410" t="s">
        <v>843</v>
      </c>
      <c r="G9" s="410" t="s">
        <v>844</v>
      </c>
      <c r="H9" s="411" t="s">
        <v>845</v>
      </c>
      <c r="I9" s="412"/>
      <c r="J9" s="397"/>
      <c r="K9" s="412" t="s">
        <v>846</v>
      </c>
      <c r="L9" s="397"/>
      <c r="M9" s="410" t="s">
        <v>1526</v>
      </c>
    </row>
    <row r="10" spans="1:14" ht="13.15" customHeight="1" thickTop="1">
      <c r="A10" s="413"/>
      <c r="B10" s="2287">
        <f>'Input Tally'!B9</f>
        <v>0</v>
      </c>
      <c r="C10" s="2288"/>
      <c r="D10" s="1581">
        <f>'Input Tally'!E9</f>
        <v>0</v>
      </c>
      <c r="E10" s="1582">
        <f>'Input Tally'!H9</f>
        <v>0</v>
      </c>
      <c r="F10" s="1582">
        <f>'Input Tally'!J9</f>
        <v>0</v>
      </c>
      <c r="G10" s="1582">
        <v>0</v>
      </c>
      <c r="H10" s="2269">
        <f>'Input Tally'!H7</f>
        <v>0</v>
      </c>
      <c r="I10" s="2271"/>
      <c r="J10" s="2270"/>
      <c r="K10" s="2269" t="s">
        <v>115</v>
      </c>
      <c r="L10" s="2270"/>
      <c r="M10" s="1581" t="s">
        <v>115</v>
      </c>
    </row>
    <row r="11" spans="1:14" ht="13.15" customHeight="1">
      <c r="A11" s="413"/>
      <c r="B11" s="2261"/>
      <c r="C11" s="2262"/>
      <c r="D11" s="1583"/>
      <c r="E11" s="1584"/>
      <c r="F11" s="1584"/>
      <c r="G11" s="1584"/>
      <c r="H11" s="2261"/>
      <c r="I11" s="2264"/>
      <c r="J11" s="2265"/>
      <c r="K11" s="2261"/>
      <c r="L11" s="2265"/>
      <c r="M11" s="1583"/>
    </row>
    <row r="12" spans="1:14" ht="13.15" customHeight="1">
      <c r="A12" s="413"/>
      <c r="B12" s="2261"/>
      <c r="C12" s="2262"/>
      <c r="D12" s="1583"/>
      <c r="E12" s="1584"/>
      <c r="F12" s="1584"/>
      <c r="G12" s="1584"/>
      <c r="H12" s="2261"/>
      <c r="I12" s="2264"/>
      <c r="J12" s="2265"/>
      <c r="K12" s="2256"/>
      <c r="L12" s="2257"/>
      <c r="M12" s="1583"/>
    </row>
    <row r="13" spans="1:14" ht="13.15" customHeight="1">
      <c r="A13" s="413"/>
      <c r="B13" s="2261"/>
      <c r="C13" s="2262"/>
      <c r="D13" s="1583"/>
      <c r="E13" s="1584"/>
      <c r="F13" s="1584"/>
      <c r="G13" s="1584"/>
      <c r="H13" s="2261"/>
      <c r="I13" s="2264"/>
      <c r="J13" s="2264"/>
      <c r="K13" s="2261"/>
      <c r="L13" s="2265"/>
      <c r="M13" s="1583"/>
    </row>
    <row r="14" spans="1:14" ht="13.15" customHeight="1">
      <c r="A14" s="413"/>
      <c r="B14" s="2261"/>
      <c r="C14" s="2262"/>
      <c r="D14" s="1583"/>
      <c r="E14" s="1585"/>
      <c r="F14" s="1584"/>
      <c r="G14" s="1584"/>
      <c r="H14" s="2261"/>
      <c r="I14" s="2264"/>
      <c r="J14" s="2265"/>
      <c r="K14" s="2256"/>
      <c r="L14" s="2257"/>
      <c r="M14" s="1583"/>
    </row>
    <row r="15" spans="1:14" ht="13.15" customHeight="1">
      <c r="A15" s="413"/>
      <c r="B15" s="2261"/>
      <c r="C15" s="2262"/>
      <c r="D15" s="1583"/>
      <c r="E15" s="1584"/>
      <c r="F15" s="1584"/>
      <c r="G15" s="1584"/>
      <c r="H15" s="2261"/>
      <c r="I15" s="2264"/>
      <c r="J15" s="2265"/>
      <c r="K15" s="2256"/>
      <c r="L15" s="2257"/>
      <c r="M15" s="1583"/>
    </row>
    <row r="16" spans="1:14" ht="13.15" customHeight="1" thickBot="1">
      <c r="A16" s="413"/>
      <c r="B16" s="2258"/>
      <c r="C16" s="2263"/>
      <c r="D16" s="1586"/>
      <c r="E16" s="1587"/>
      <c r="F16" s="1588"/>
      <c r="G16" s="1588"/>
      <c r="H16" s="2266"/>
      <c r="I16" s="2267"/>
      <c r="J16" s="2268"/>
      <c r="K16" s="2258"/>
      <c r="L16" s="2259"/>
      <c r="M16" s="1586"/>
    </row>
    <row r="17" spans="2:15" ht="16.3" thickTop="1" thickBot="1">
      <c r="B17" s="414"/>
      <c r="E17" s="415"/>
      <c r="F17" s="2260" t="s">
        <v>847</v>
      </c>
      <c r="G17" s="2260"/>
      <c r="H17" s="2279">
        <v>0</v>
      </c>
      <c r="I17" s="2279"/>
      <c r="J17" s="2279"/>
      <c r="K17" s="2255" t="s">
        <v>848</v>
      </c>
      <c r="L17" s="2255"/>
      <c r="M17" s="416">
        <f>IF(H17=0,0,IF((K294=0),0,K294/H17))</f>
        <v>0</v>
      </c>
      <c r="N17" s="2272" t="s">
        <v>1303</v>
      </c>
      <c r="O17" s="2272"/>
    </row>
    <row r="18" spans="2:15" ht="15.65" thickBot="1">
      <c r="B18" s="417" t="s">
        <v>849</v>
      </c>
      <c r="C18" s="418"/>
      <c r="D18" s="418"/>
      <c r="E18" s="418"/>
      <c r="F18" s="418"/>
      <c r="G18" s="419"/>
      <c r="H18" s="2277" t="s">
        <v>850</v>
      </c>
      <c r="I18" s="2278"/>
      <c r="J18" s="2278"/>
      <c r="K18" s="1589">
        <v>0</v>
      </c>
      <c r="L18" s="420" t="s">
        <v>851</v>
      </c>
      <c r="M18" s="1590">
        <f>K18-H17</f>
        <v>0</v>
      </c>
      <c r="N18" s="2272"/>
      <c r="O18" s="2272"/>
    </row>
    <row r="19" spans="2:15">
      <c r="B19" s="421"/>
      <c r="C19" s="422"/>
      <c r="D19" s="423" t="s">
        <v>852</v>
      </c>
      <c r="E19" s="423" t="s">
        <v>280</v>
      </c>
      <c r="F19" s="424" t="s">
        <v>853</v>
      </c>
      <c r="G19" s="425"/>
      <c r="H19" s="426"/>
      <c r="I19" s="426"/>
      <c r="J19" s="424" t="s">
        <v>852</v>
      </c>
      <c r="K19" s="424" t="s">
        <v>280</v>
      </c>
      <c r="L19" s="424" t="s">
        <v>853</v>
      </c>
      <c r="M19" s="426"/>
    </row>
    <row r="20" spans="2:15">
      <c r="B20" s="427" t="s">
        <v>854</v>
      </c>
      <c r="C20" s="401" t="s">
        <v>855</v>
      </c>
      <c r="D20" s="428" t="s">
        <v>856</v>
      </c>
      <c r="E20" s="428" t="s">
        <v>857</v>
      </c>
      <c r="F20" s="428" t="s">
        <v>858</v>
      </c>
      <c r="G20" s="429"/>
      <c r="H20" s="428" t="s">
        <v>854</v>
      </c>
      <c r="I20" s="401" t="s">
        <v>855</v>
      </c>
      <c r="J20" s="428" t="s">
        <v>856</v>
      </c>
      <c r="K20" s="428" t="s">
        <v>857</v>
      </c>
      <c r="L20" s="428" t="s">
        <v>858</v>
      </c>
      <c r="M20" s="401"/>
    </row>
    <row r="21" spans="2:15" ht="15.65" thickBot="1">
      <c r="B21" s="430" t="s">
        <v>859</v>
      </c>
      <c r="C21" s="431" t="s">
        <v>860</v>
      </c>
      <c r="D21" s="432" t="str">
        <f>E21</f>
        <v xml:space="preserve">m </v>
      </c>
      <c r="E21" s="432" t="str">
        <f>F21</f>
        <v xml:space="preserve">m </v>
      </c>
      <c r="F21" s="432" t="str">
        <f>J21</f>
        <v xml:space="preserve">m </v>
      </c>
      <c r="G21" s="433" t="s">
        <v>861</v>
      </c>
      <c r="H21" s="432" t="s">
        <v>859</v>
      </c>
      <c r="I21" s="431" t="s">
        <v>860</v>
      </c>
      <c r="J21" s="432" t="s">
        <v>1526</v>
      </c>
      <c r="K21" s="432" t="str">
        <f>J21</f>
        <v xml:space="preserve">m </v>
      </c>
      <c r="L21" s="432" t="str">
        <f>J21</f>
        <v xml:space="preserve">m </v>
      </c>
      <c r="M21" s="434" t="s">
        <v>861</v>
      </c>
    </row>
    <row r="22" spans="2:15" ht="15.25" thickTop="1">
      <c r="B22" s="782">
        <v>1</v>
      </c>
      <c r="C22" s="783">
        <v>1</v>
      </c>
      <c r="D22" s="784">
        <f>'Input Tally'!B13</f>
        <v>0</v>
      </c>
      <c r="E22" s="435">
        <f t="shared" ref="E22:E31" si="0">IF(C22=1,E21+D22,E21)</f>
        <v>0</v>
      </c>
      <c r="F22" s="784">
        <f>Summary!E147</f>
        <v>0</v>
      </c>
      <c r="G22" s="785"/>
      <c r="H22" s="783">
        <f>(B57+1)</f>
        <v>31</v>
      </c>
      <c r="I22" s="783">
        <v>1</v>
      </c>
      <c r="J22" s="784">
        <f>'Input Tally'!D24</f>
        <v>0</v>
      </c>
      <c r="K22" s="435">
        <f>IF(I22=1,E57+J22,E57)</f>
        <v>0</v>
      </c>
      <c r="L22" s="435">
        <f>IF(C57=1,F57-D57,F57)</f>
        <v>0</v>
      </c>
      <c r="M22" s="783"/>
      <c r="N22" s="390" t="s">
        <v>1304</v>
      </c>
      <c r="O22" s="390" t="str">
        <f>IF(D33='Input Tally'!B23,"OK","ERROR")</f>
        <v>OK</v>
      </c>
    </row>
    <row r="23" spans="2:15">
      <c r="B23" s="782">
        <f t="shared" ref="B23:B31" si="1">(B22+1)</f>
        <v>2</v>
      </c>
      <c r="C23" s="783">
        <v>1</v>
      </c>
      <c r="D23" s="784">
        <f>'Input Tally'!B14</f>
        <v>0</v>
      </c>
      <c r="E23" s="435">
        <f t="shared" si="0"/>
        <v>0</v>
      </c>
      <c r="F23" s="435">
        <f t="shared" ref="F23:F31" si="2">IF(C22=1,F22-D22,F22)</f>
        <v>0</v>
      </c>
      <c r="G23" s="785"/>
      <c r="H23" s="783">
        <f t="shared" ref="H23:H31" si="3">(H22+1)</f>
        <v>32</v>
      </c>
      <c r="I23" s="783">
        <v>1</v>
      </c>
      <c r="J23" s="784">
        <f>'Input Tally'!D25</f>
        <v>0</v>
      </c>
      <c r="K23" s="435">
        <f t="shared" ref="K23:K31" si="4">IF(I23=1,K22+J23,K22)</f>
        <v>0</v>
      </c>
      <c r="L23" s="435">
        <f t="shared" ref="L23:L31" si="5">IF(I22=1,L22-J22,L22)</f>
        <v>0</v>
      </c>
      <c r="M23" s="783"/>
      <c r="N23" s="390" t="s">
        <v>1305</v>
      </c>
      <c r="O23" s="390" t="str">
        <f>IF(D46='Input Tally'!B34,"OK","ERROR")</f>
        <v>OK</v>
      </c>
    </row>
    <row r="24" spans="2:15">
      <c r="B24" s="782">
        <f t="shared" si="1"/>
        <v>3</v>
      </c>
      <c r="C24" s="783">
        <v>1</v>
      </c>
      <c r="D24" s="784">
        <f>'Input Tally'!B15</f>
        <v>0</v>
      </c>
      <c r="E24" s="435">
        <f t="shared" si="0"/>
        <v>0</v>
      </c>
      <c r="F24" s="435">
        <f t="shared" si="2"/>
        <v>0</v>
      </c>
      <c r="G24" s="785"/>
      <c r="H24" s="783">
        <f t="shared" si="3"/>
        <v>33</v>
      </c>
      <c r="I24" s="783">
        <v>1</v>
      </c>
      <c r="J24" s="784">
        <f>'Input Tally'!D26</f>
        <v>0</v>
      </c>
      <c r="K24" s="435">
        <f t="shared" si="4"/>
        <v>0</v>
      </c>
      <c r="L24" s="435">
        <f t="shared" si="5"/>
        <v>0</v>
      </c>
      <c r="M24" s="783"/>
      <c r="N24" s="390" t="s">
        <v>1306</v>
      </c>
      <c r="O24" s="390" t="str">
        <f>IF(D59='Input Tally'!D23,"OK","ERROR")</f>
        <v>OK</v>
      </c>
    </row>
    <row r="25" spans="2:15">
      <c r="B25" s="782">
        <f t="shared" si="1"/>
        <v>4</v>
      </c>
      <c r="C25" s="783">
        <v>1</v>
      </c>
      <c r="D25" s="784">
        <f>'Input Tally'!B16</f>
        <v>0</v>
      </c>
      <c r="E25" s="435">
        <f t="shared" si="0"/>
        <v>0</v>
      </c>
      <c r="F25" s="435">
        <f t="shared" si="2"/>
        <v>0</v>
      </c>
      <c r="G25" s="785"/>
      <c r="H25" s="783">
        <f t="shared" si="3"/>
        <v>34</v>
      </c>
      <c r="I25" s="783">
        <v>1</v>
      </c>
      <c r="J25" s="784">
        <f>'Input Tally'!D27</f>
        <v>0</v>
      </c>
      <c r="K25" s="435">
        <f t="shared" si="4"/>
        <v>0</v>
      </c>
      <c r="L25" s="435">
        <f t="shared" si="5"/>
        <v>0</v>
      </c>
      <c r="M25" s="783"/>
      <c r="N25" s="390" t="s">
        <v>1307</v>
      </c>
      <c r="O25" s="390" t="str">
        <f>IF(J33='Input Tally'!D34,"OK","ERROR")</f>
        <v>OK</v>
      </c>
    </row>
    <row r="26" spans="2:15">
      <c r="B26" s="782">
        <f t="shared" si="1"/>
        <v>5</v>
      </c>
      <c r="C26" s="783">
        <v>1</v>
      </c>
      <c r="D26" s="784">
        <f>'Input Tally'!B17</f>
        <v>0</v>
      </c>
      <c r="E26" s="435">
        <f t="shared" si="0"/>
        <v>0</v>
      </c>
      <c r="F26" s="435">
        <f t="shared" si="2"/>
        <v>0</v>
      </c>
      <c r="G26" s="785"/>
      <c r="H26" s="783">
        <f t="shared" si="3"/>
        <v>35</v>
      </c>
      <c r="I26" s="783">
        <v>1</v>
      </c>
      <c r="J26" s="784">
        <f>'Input Tally'!D28</f>
        <v>0</v>
      </c>
      <c r="K26" s="435">
        <f t="shared" si="4"/>
        <v>0</v>
      </c>
      <c r="L26" s="435">
        <f t="shared" si="5"/>
        <v>0</v>
      </c>
      <c r="M26" s="783"/>
      <c r="N26" s="390" t="s">
        <v>1308</v>
      </c>
      <c r="O26" s="390" t="str">
        <f>IF(J46='Input Tally'!F23,"OK","ERROR")</f>
        <v>OK</v>
      </c>
    </row>
    <row r="27" spans="2:15">
      <c r="B27" s="782">
        <f t="shared" si="1"/>
        <v>6</v>
      </c>
      <c r="C27" s="783">
        <v>1</v>
      </c>
      <c r="D27" s="784">
        <f>'Input Tally'!B18</f>
        <v>0</v>
      </c>
      <c r="E27" s="435">
        <f t="shared" si="0"/>
        <v>0</v>
      </c>
      <c r="F27" s="435">
        <f t="shared" si="2"/>
        <v>0</v>
      </c>
      <c r="G27" s="785"/>
      <c r="H27" s="783">
        <f t="shared" si="3"/>
        <v>36</v>
      </c>
      <c r="I27" s="783">
        <v>1</v>
      </c>
      <c r="J27" s="784">
        <f>'Input Tally'!D29</f>
        <v>0</v>
      </c>
      <c r="K27" s="435">
        <f t="shared" si="4"/>
        <v>0</v>
      </c>
      <c r="L27" s="435">
        <f t="shared" si="5"/>
        <v>0</v>
      </c>
      <c r="M27" s="783"/>
    </row>
    <row r="28" spans="2:15">
      <c r="B28" s="782">
        <f t="shared" si="1"/>
        <v>7</v>
      </c>
      <c r="C28" s="783">
        <v>1</v>
      </c>
      <c r="D28" s="784">
        <f>'Input Tally'!B19</f>
        <v>0</v>
      </c>
      <c r="E28" s="435">
        <f t="shared" si="0"/>
        <v>0</v>
      </c>
      <c r="F28" s="435">
        <f t="shared" si="2"/>
        <v>0</v>
      </c>
      <c r="G28" s="785"/>
      <c r="H28" s="783">
        <f t="shared" si="3"/>
        <v>37</v>
      </c>
      <c r="I28" s="783">
        <v>1</v>
      </c>
      <c r="J28" s="784">
        <f>'Input Tally'!D30</f>
        <v>0</v>
      </c>
      <c r="K28" s="435">
        <f t="shared" si="4"/>
        <v>0</v>
      </c>
      <c r="L28" s="435">
        <f t="shared" si="5"/>
        <v>0</v>
      </c>
      <c r="M28" s="783"/>
    </row>
    <row r="29" spans="2:15">
      <c r="B29" s="782">
        <f t="shared" si="1"/>
        <v>8</v>
      </c>
      <c r="C29" s="783">
        <v>1</v>
      </c>
      <c r="D29" s="784">
        <f>'Input Tally'!B20</f>
        <v>0</v>
      </c>
      <c r="E29" s="435">
        <f t="shared" si="0"/>
        <v>0</v>
      </c>
      <c r="F29" s="435">
        <f t="shared" si="2"/>
        <v>0</v>
      </c>
      <c r="G29" s="785"/>
      <c r="H29" s="783">
        <f t="shared" si="3"/>
        <v>38</v>
      </c>
      <c r="I29" s="783">
        <v>1</v>
      </c>
      <c r="J29" s="784">
        <f>'Input Tally'!D31</f>
        <v>0</v>
      </c>
      <c r="K29" s="435">
        <f t="shared" si="4"/>
        <v>0</v>
      </c>
      <c r="L29" s="435">
        <f t="shared" si="5"/>
        <v>0</v>
      </c>
      <c r="M29" s="783"/>
    </row>
    <row r="30" spans="2:15">
      <c r="B30" s="782">
        <f t="shared" si="1"/>
        <v>9</v>
      </c>
      <c r="C30" s="783">
        <v>1</v>
      </c>
      <c r="D30" s="784">
        <f>'Input Tally'!B21</f>
        <v>0</v>
      </c>
      <c r="E30" s="435">
        <f t="shared" si="0"/>
        <v>0</v>
      </c>
      <c r="F30" s="435">
        <f t="shared" si="2"/>
        <v>0</v>
      </c>
      <c r="G30" s="785"/>
      <c r="H30" s="783">
        <f t="shared" si="3"/>
        <v>39</v>
      </c>
      <c r="I30" s="783">
        <v>1</v>
      </c>
      <c r="J30" s="784">
        <f>'Input Tally'!D32</f>
        <v>0</v>
      </c>
      <c r="K30" s="435">
        <f t="shared" si="4"/>
        <v>0</v>
      </c>
      <c r="L30" s="435">
        <f t="shared" si="5"/>
        <v>0</v>
      </c>
      <c r="M30" s="783"/>
    </row>
    <row r="31" spans="2:15">
      <c r="B31" s="782">
        <f t="shared" si="1"/>
        <v>10</v>
      </c>
      <c r="C31" s="783">
        <v>1</v>
      </c>
      <c r="D31" s="784">
        <f>'Input Tally'!B22</f>
        <v>0</v>
      </c>
      <c r="E31" s="435">
        <f t="shared" si="0"/>
        <v>0</v>
      </c>
      <c r="F31" s="435">
        <f t="shared" si="2"/>
        <v>0</v>
      </c>
      <c r="G31" s="785"/>
      <c r="H31" s="783">
        <f t="shared" si="3"/>
        <v>40</v>
      </c>
      <c r="I31" s="783">
        <v>1</v>
      </c>
      <c r="J31" s="784">
        <f>'Input Tally'!D33</f>
        <v>0</v>
      </c>
      <c r="K31" s="435">
        <f t="shared" si="4"/>
        <v>0</v>
      </c>
      <c r="L31" s="435">
        <f t="shared" si="5"/>
        <v>0</v>
      </c>
      <c r="M31" s="783"/>
    </row>
    <row r="32" spans="2:15" ht="15">
      <c r="B32" s="436" t="s">
        <v>862</v>
      </c>
      <c r="C32" s="437"/>
      <c r="D32" s="731"/>
      <c r="E32" s="731"/>
      <c r="F32" s="732"/>
      <c r="G32" s="733"/>
      <c r="H32" s="436" t="s">
        <v>862</v>
      </c>
      <c r="I32" s="437"/>
      <c r="J32" s="731"/>
      <c r="K32" s="731"/>
      <c r="L32" s="732"/>
      <c r="M32" s="731"/>
    </row>
    <row r="33" spans="2:15" ht="15.65" thickBot="1">
      <c r="B33" s="438" t="s">
        <v>280</v>
      </c>
      <c r="C33" s="439"/>
      <c r="D33" s="734">
        <f>SUM(D22:D31)</f>
        <v>0</v>
      </c>
      <c r="E33" s="734">
        <f>(E31)</f>
        <v>0</v>
      </c>
      <c r="F33" s="735"/>
      <c r="G33" s="736"/>
      <c r="H33" s="438" t="s">
        <v>280</v>
      </c>
      <c r="I33" s="439"/>
      <c r="J33" s="734">
        <f>SUM(J22:J31)</f>
        <v>0</v>
      </c>
      <c r="K33" s="734">
        <f>(K31)</f>
        <v>0</v>
      </c>
      <c r="L33" s="735"/>
      <c r="M33" s="737"/>
    </row>
    <row r="34" spans="2:15" ht="15.25" thickTop="1">
      <c r="B34" s="443"/>
      <c r="C34" s="391"/>
      <c r="D34" s="391"/>
      <c r="E34" s="391"/>
      <c r="F34" s="391"/>
      <c r="G34" s="444"/>
      <c r="H34" s="391"/>
      <c r="I34" s="391"/>
      <c r="J34" s="391"/>
      <c r="K34" s="391"/>
      <c r="L34" s="391"/>
      <c r="M34" s="392"/>
    </row>
    <row r="35" spans="2:15">
      <c r="B35" s="782">
        <f>(B31+1)</f>
        <v>11</v>
      </c>
      <c r="C35" s="783">
        <v>1</v>
      </c>
      <c r="D35" s="784">
        <f>'Input Tally'!B24</f>
        <v>0</v>
      </c>
      <c r="E35" s="435">
        <f>IF(C35=1,E31+D35,E31)</f>
        <v>0</v>
      </c>
      <c r="F35" s="435">
        <f>IF(C31=1,F31-D31,F31)</f>
        <v>0</v>
      </c>
      <c r="G35" s="785"/>
      <c r="H35" s="783">
        <f>(H31+1)</f>
        <v>41</v>
      </c>
      <c r="I35" s="783">
        <v>1</v>
      </c>
      <c r="J35" s="784">
        <f>'Input Tally'!F13</f>
        <v>0</v>
      </c>
      <c r="K35" s="435">
        <f>IF(I35=1,K31+J35,K31)</f>
        <v>0</v>
      </c>
      <c r="L35" s="435">
        <f>IF(I31=1,L31-J31,L31)</f>
        <v>0</v>
      </c>
      <c r="M35" s="783"/>
      <c r="N35" s="390" t="s">
        <v>1309</v>
      </c>
      <c r="O35" s="390" t="str">
        <f>IF(J59='Input Tally'!F34,"OK","ERROR")</f>
        <v>OK</v>
      </c>
    </row>
    <row r="36" spans="2:15">
      <c r="B36" s="782">
        <f t="shared" ref="B36:B44" si="6">(B35+1)</f>
        <v>12</v>
      </c>
      <c r="C36" s="783">
        <v>1</v>
      </c>
      <c r="D36" s="784">
        <f>'Input Tally'!B25</f>
        <v>0</v>
      </c>
      <c r="E36" s="435">
        <f t="shared" ref="E36:E44" si="7">IF(C36=1,E35+D36,E35)</f>
        <v>0</v>
      </c>
      <c r="F36" s="435">
        <f t="shared" ref="F36:F44" si="8">IF(C35=1,F35-D35,F35)</f>
        <v>0</v>
      </c>
      <c r="G36" s="785"/>
      <c r="H36" s="783">
        <f t="shared" ref="H36:H44" si="9">(H35+1)</f>
        <v>42</v>
      </c>
      <c r="I36" s="783">
        <v>1</v>
      </c>
      <c r="J36" s="784">
        <f>'Input Tally'!F14</f>
        <v>0</v>
      </c>
      <c r="K36" s="435">
        <f t="shared" ref="K36:K44" si="10">IF(I36=1,K35+J36,K35)</f>
        <v>0</v>
      </c>
      <c r="L36" s="435">
        <f t="shared" ref="L36:L44" si="11">IF(I35=1,L35-J35,L35)</f>
        <v>0</v>
      </c>
      <c r="M36" s="783"/>
    </row>
    <row r="37" spans="2:15">
      <c r="B37" s="782">
        <f t="shared" si="6"/>
        <v>13</v>
      </c>
      <c r="C37" s="783">
        <v>1</v>
      </c>
      <c r="D37" s="784">
        <f>'Input Tally'!B26</f>
        <v>0</v>
      </c>
      <c r="E37" s="435">
        <f t="shared" si="7"/>
        <v>0</v>
      </c>
      <c r="F37" s="435">
        <f t="shared" si="8"/>
        <v>0</v>
      </c>
      <c r="G37" s="785"/>
      <c r="H37" s="783">
        <f t="shared" si="9"/>
        <v>43</v>
      </c>
      <c r="I37" s="783">
        <v>1</v>
      </c>
      <c r="J37" s="784">
        <f>'Input Tally'!F15</f>
        <v>0</v>
      </c>
      <c r="K37" s="435">
        <f t="shared" si="10"/>
        <v>0</v>
      </c>
      <c r="L37" s="435">
        <f t="shared" si="11"/>
        <v>0</v>
      </c>
      <c r="M37" s="783"/>
    </row>
    <row r="38" spans="2:15">
      <c r="B38" s="782">
        <f t="shared" si="6"/>
        <v>14</v>
      </c>
      <c r="C38" s="783">
        <v>1</v>
      </c>
      <c r="D38" s="784">
        <f>'Input Tally'!B27</f>
        <v>0</v>
      </c>
      <c r="E38" s="435">
        <f t="shared" si="7"/>
        <v>0</v>
      </c>
      <c r="F38" s="435">
        <f t="shared" si="8"/>
        <v>0</v>
      </c>
      <c r="G38" s="785"/>
      <c r="H38" s="783">
        <f t="shared" si="9"/>
        <v>44</v>
      </c>
      <c r="I38" s="783">
        <v>1</v>
      </c>
      <c r="J38" s="784">
        <f>'Input Tally'!F16</f>
        <v>0</v>
      </c>
      <c r="K38" s="435">
        <f t="shared" si="10"/>
        <v>0</v>
      </c>
      <c r="L38" s="435">
        <f t="shared" si="11"/>
        <v>0</v>
      </c>
      <c r="M38" s="783"/>
    </row>
    <row r="39" spans="2:15">
      <c r="B39" s="782">
        <f t="shared" si="6"/>
        <v>15</v>
      </c>
      <c r="C39" s="783">
        <v>1</v>
      </c>
      <c r="D39" s="784">
        <f>'Input Tally'!B28</f>
        <v>0</v>
      </c>
      <c r="E39" s="435">
        <f t="shared" si="7"/>
        <v>0</v>
      </c>
      <c r="F39" s="435">
        <f t="shared" si="8"/>
        <v>0</v>
      </c>
      <c r="G39" s="785"/>
      <c r="H39" s="783">
        <f t="shared" si="9"/>
        <v>45</v>
      </c>
      <c r="I39" s="783">
        <v>1</v>
      </c>
      <c r="J39" s="784">
        <f>'Input Tally'!F17</f>
        <v>0</v>
      </c>
      <c r="K39" s="435">
        <f t="shared" si="10"/>
        <v>0</v>
      </c>
      <c r="L39" s="435">
        <f t="shared" si="11"/>
        <v>0</v>
      </c>
      <c r="M39" s="783"/>
    </row>
    <row r="40" spans="2:15">
      <c r="B40" s="782">
        <f t="shared" si="6"/>
        <v>16</v>
      </c>
      <c r="C40" s="783">
        <v>1</v>
      </c>
      <c r="D40" s="784">
        <f>'Input Tally'!B29</f>
        <v>0</v>
      </c>
      <c r="E40" s="435">
        <f t="shared" si="7"/>
        <v>0</v>
      </c>
      <c r="F40" s="435">
        <f t="shared" si="8"/>
        <v>0</v>
      </c>
      <c r="G40" s="785"/>
      <c r="H40" s="783">
        <f t="shared" si="9"/>
        <v>46</v>
      </c>
      <c r="I40" s="783">
        <v>1</v>
      </c>
      <c r="J40" s="784">
        <f>'Input Tally'!F18</f>
        <v>0</v>
      </c>
      <c r="K40" s="435">
        <f t="shared" si="10"/>
        <v>0</v>
      </c>
      <c r="L40" s="435">
        <f t="shared" si="11"/>
        <v>0</v>
      </c>
      <c r="M40" s="783"/>
    </row>
    <row r="41" spans="2:15">
      <c r="B41" s="782">
        <f t="shared" si="6"/>
        <v>17</v>
      </c>
      <c r="C41" s="783">
        <v>1</v>
      </c>
      <c r="D41" s="784">
        <f>'Input Tally'!B30</f>
        <v>0</v>
      </c>
      <c r="E41" s="435">
        <f t="shared" si="7"/>
        <v>0</v>
      </c>
      <c r="F41" s="435">
        <f t="shared" si="8"/>
        <v>0</v>
      </c>
      <c r="G41" s="785"/>
      <c r="H41" s="783">
        <f t="shared" si="9"/>
        <v>47</v>
      </c>
      <c r="I41" s="783">
        <v>1</v>
      </c>
      <c r="J41" s="784">
        <f>'Input Tally'!F19</f>
        <v>0</v>
      </c>
      <c r="K41" s="435">
        <f t="shared" si="10"/>
        <v>0</v>
      </c>
      <c r="L41" s="435">
        <f t="shared" si="11"/>
        <v>0</v>
      </c>
      <c r="M41" s="783"/>
    </row>
    <row r="42" spans="2:15">
      <c r="B42" s="782">
        <f t="shared" si="6"/>
        <v>18</v>
      </c>
      <c r="C42" s="783">
        <v>1</v>
      </c>
      <c r="D42" s="784">
        <f>'Input Tally'!B31</f>
        <v>0</v>
      </c>
      <c r="E42" s="435">
        <f t="shared" si="7"/>
        <v>0</v>
      </c>
      <c r="F42" s="435">
        <f t="shared" si="8"/>
        <v>0</v>
      </c>
      <c r="G42" s="785"/>
      <c r="H42" s="783">
        <f t="shared" si="9"/>
        <v>48</v>
      </c>
      <c r="I42" s="783">
        <v>1</v>
      </c>
      <c r="J42" s="784">
        <f>'Input Tally'!F20</f>
        <v>0</v>
      </c>
      <c r="K42" s="435">
        <f t="shared" si="10"/>
        <v>0</v>
      </c>
      <c r="L42" s="435">
        <f t="shared" si="11"/>
        <v>0</v>
      </c>
      <c r="M42" s="783"/>
    </row>
    <row r="43" spans="2:15">
      <c r="B43" s="782">
        <f t="shared" si="6"/>
        <v>19</v>
      </c>
      <c r="C43" s="783">
        <v>1</v>
      </c>
      <c r="D43" s="784">
        <f>'Input Tally'!B32</f>
        <v>0</v>
      </c>
      <c r="E43" s="435">
        <f t="shared" si="7"/>
        <v>0</v>
      </c>
      <c r="F43" s="435">
        <f t="shared" si="8"/>
        <v>0</v>
      </c>
      <c r="G43" s="785"/>
      <c r="H43" s="783">
        <f t="shared" si="9"/>
        <v>49</v>
      </c>
      <c r="I43" s="783">
        <v>1</v>
      </c>
      <c r="J43" s="784">
        <f>'Input Tally'!F21</f>
        <v>0</v>
      </c>
      <c r="K43" s="435">
        <f t="shared" si="10"/>
        <v>0</v>
      </c>
      <c r="L43" s="435">
        <f t="shared" si="11"/>
        <v>0</v>
      </c>
      <c r="M43" s="783"/>
    </row>
    <row r="44" spans="2:15">
      <c r="B44" s="782">
        <f t="shared" si="6"/>
        <v>20</v>
      </c>
      <c r="C44" s="783">
        <v>1</v>
      </c>
      <c r="D44" s="784">
        <f>'Input Tally'!B33</f>
        <v>0</v>
      </c>
      <c r="E44" s="435">
        <f t="shared" si="7"/>
        <v>0</v>
      </c>
      <c r="F44" s="435">
        <f t="shared" si="8"/>
        <v>0</v>
      </c>
      <c r="G44" s="785"/>
      <c r="H44" s="783">
        <f t="shared" si="9"/>
        <v>50</v>
      </c>
      <c r="I44" s="783">
        <v>1</v>
      </c>
      <c r="J44" s="784">
        <f>'Input Tally'!F22</f>
        <v>0</v>
      </c>
      <c r="K44" s="435">
        <f t="shared" si="10"/>
        <v>0</v>
      </c>
      <c r="L44" s="435">
        <f t="shared" si="11"/>
        <v>0</v>
      </c>
      <c r="M44" s="783"/>
    </row>
    <row r="45" spans="2:15" ht="15">
      <c r="B45" s="436" t="s">
        <v>862</v>
      </c>
      <c r="C45" s="437"/>
      <c r="D45" s="731"/>
      <c r="E45" s="731"/>
      <c r="F45" s="732"/>
      <c r="G45" s="733"/>
      <c r="H45" s="436" t="s">
        <v>862</v>
      </c>
      <c r="I45" s="437"/>
      <c r="J45" s="731"/>
      <c r="K45" s="731"/>
      <c r="L45" s="732"/>
      <c r="M45" s="731"/>
    </row>
    <row r="46" spans="2:15" ht="15.65" thickBot="1">
      <c r="B46" s="438" t="s">
        <v>280</v>
      </c>
      <c r="C46" s="439"/>
      <c r="D46" s="734">
        <f>SUM(D35:D44)</f>
        <v>0</v>
      </c>
      <c r="E46" s="734">
        <f>(E44)</f>
        <v>0</v>
      </c>
      <c r="F46" s="735"/>
      <c r="G46" s="736"/>
      <c r="H46" s="438" t="s">
        <v>280</v>
      </c>
      <c r="I46" s="439"/>
      <c r="J46" s="734">
        <f>SUM(J35:J44)</f>
        <v>0</v>
      </c>
      <c r="K46" s="734">
        <f>(K44)</f>
        <v>0</v>
      </c>
      <c r="L46" s="735"/>
      <c r="M46" s="737"/>
    </row>
    <row r="47" spans="2:15" ht="15.25" thickTop="1">
      <c r="B47" s="443"/>
      <c r="C47" s="391"/>
      <c r="D47" s="391"/>
      <c r="E47" s="391"/>
      <c r="F47" s="391"/>
      <c r="G47" s="444"/>
      <c r="H47" s="391"/>
      <c r="I47" s="391"/>
      <c r="J47" s="391"/>
      <c r="K47" s="391"/>
      <c r="L47" s="391"/>
      <c r="M47" s="392"/>
    </row>
    <row r="48" spans="2:15">
      <c r="B48" s="782">
        <f>(B44+1)</f>
        <v>21</v>
      </c>
      <c r="C48" s="783">
        <v>1</v>
      </c>
      <c r="D48" s="784">
        <f>'Input Tally'!D13</f>
        <v>0</v>
      </c>
      <c r="E48" s="435">
        <f>IF(C48=1,E44+D48,E44)</f>
        <v>0</v>
      </c>
      <c r="F48" s="435">
        <f>IF(C44=1,F44-D44,F44)</f>
        <v>0</v>
      </c>
      <c r="G48" s="785"/>
      <c r="H48" s="783">
        <f>(H44+1)</f>
        <v>51</v>
      </c>
      <c r="I48" s="783">
        <v>1</v>
      </c>
      <c r="J48" s="784">
        <f>'Input Tally'!F24</f>
        <v>0</v>
      </c>
      <c r="K48" s="435">
        <f>IF(I48=1,K44+J48,K44)</f>
        <v>0</v>
      </c>
      <c r="L48" s="435">
        <f>IF(I44=1,L44-J44,L44)</f>
        <v>0</v>
      </c>
      <c r="M48" s="783"/>
    </row>
    <row r="49" spans="2:14">
      <c r="B49" s="782">
        <f t="shared" ref="B49:B57" si="12">(B48+1)</f>
        <v>22</v>
      </c>
      <c r="C49" s="783">
        <v>1</v>
      </c>
      <c r="D49" s="784">
        <f>'Input Tally'!D14</f>
        <v>0</v>
      </c>
      <c r="E49" s="435">
        <f t="shared" ref="E49:E57" si="13">IF(C49=1,E48+D49,E48)</f>
        <v>0</v>
      </c>
      <c r="F49" s="435">
        <f t="shared" ref="F49:F57" si="14">IF(C48=1,F48-D48,F48)</f>
        <v>0</v>
      </c>
      <c r="G49" s="785"/>
      <c r="H49" s="783">
        <f t="shared" ref="H49:H57" si="15">(H48+1)</f>
        <v>52</v>
      </c>
      <c r="I49" s="783">
        <v>1</v>
      </c>
      <c r="J49" s="784">
        <f>'Input Tally'!F25</f>
        <v>0</v>
      </c>
      <c r="K49" s="435">
        <f t="shared" ref="K49:K57" si="16">IF(I49=1,K48+J49,K48)</f>
        <v>0</v>
      </c>
      <c r="L49" s="435">
        <f t="shared" ref="L49:L57" si="17">IF(I48=1,L48-J48,L48)</f>
        <v>0</v>
      </c>
      <c r="M49" s="783"/>
    </row>
    <row r="50" spans="2:14">
      <c r="B50" s="782">
        <f t="shared" si="12"/>
        <v>23</v>
      </c>
      <c r="C50" s="783">
        <v>1</v>
      </c>
      <c r="D50" s="784">
        <f>'Input Tally'!D15</f>
        <v>0</v>
      </c>
      <c r="E50" s="435">
        <f t="shared" si="13"/>
        <v>0</v>
      </c>
      <c r="F50" s="435">
        <f t="shared" si="14"/>
        <v>0</v>
      </c>
      <c r="G50" s="785"/>
      <c r="H50" s="783">
        <f t="shared" si="15"/>
        <v>53</v>
      </c>
      <c r="I50" s="783">
        <v>1</v>
      </c>
      <c r="J50" s="784">
        <f>'Input Tally'!F26</f>
        <v>0</v>
      </c>
      <c r="K50" s="435">
        <f t="shared" si="16"/>
        <v>0</v>
      </c>
      <c r="L50" s="435">
        <f t="shared" si="17"/>
        <v>0</v>
      </c>
      <c r="M50" s="783"/>
    </row>
    <row r="51" spans="2:14">
      <c r="B51" s="782">
        <f t="shared" si="12"/>
        <v>24</v>
      </c>
      <c r="C51" s="783">
        <v>1</v>
      </c>
      <c r="D51" s="784">
        <f>'Input Tally'!D16</f>
        <v>0</v>
      </c>
      <c r="E51" s="435">
        <f t="shared" si="13"/>
        <v>0</v>
      </c>
      <c r="F51" s="435">
        <f t="shared" si="14"/>
        <v>0</v>
      </c>
      <c r="G51" s="785"/>
      <c r="H51" s="783">
        <f t="shared" si="15"/>
        <v>54</v>
      </c>
      <c r="I51" s="783">
        <v>1</v>
      </c>
      <c r="J51" s="784">
        <f>'Input Tally'!F27</f>
        <v>0</v>
      </c>
      <c r="K51" s="435">
        <f t="shared" si="16"/>
        <v>0</v>
      </c>
      <c r="L51" s="435">
        <f t="shared" si="17"/>
        <v>0</v>
      </c>
      <c r="M51" s="783"/>
    </row>
    <row r="52" spans="2:14">
      <c r="B52" s="782">
        <f t="shared" si="12"/>
        <v>25</v>
      </c>
      <c r="C52" s="783">
        <v>1</v>
      </c>
      <c r="D52" s="784">
        <f>'Input Tally'!D17</f>
        <v>0</v>
      </c>
      <c r="E52" s="435">
        <f t="shared" si="13"/>
        <v>0</v>
      </c>
      <c r="F52" s="435">
        <f t="shared" si="14"/>
        <v>0</v>
      </c>
      <c r="G52" s="785"/>
      <c r="H52" s="783">
        <f t="shared" si="15"/>
        <v>55</v>
      </c>
      <c r="I52" s="783">
        <v>1</v>
      </c>
      <c r="J52" s="784">
        <f>'Input Tally'!F28</f>
        <v>0</v>
      </c>
      <c r="K52" s="435">
        <f t="shared" si="16"/>
        <v>0</v>
      </c>
      <c r="L52" s="435">
        <f t="shared" si="17"/>
        <v>0</v>
      </c>
      <c r="M52" s="783"/>
    </row>
    <row r="53" spans="2:14">
      <c r="B53" s="782">
        <f t="shared" si="12"/>
        <v>26</v>
      </c>
      <c r="C53" s="783">
        <v>1</v>
      </c>
      <c r="D53" s="784">
        <f>'Input Tally'!D18</f>
        <v>0</v>
      </c>
      <c r="E53" s="435">
        <f t="shared" si="13"/>
        <v>0</v>
      </c>
      <c r="F53" s="435">
        <f t="shared" si="14"/>
        <v>0</v>
      </c>
      <c r="G53" s="785"/>
      <c r="H53" s="783">
        <f t="shared" si="15"/>
        <v>56</v>
      </c>
      <c r="I53" s="783">
        <v>1</v>
      </c>
      <c r="J53" s="784">
        <f>'Input Tally'!F29</f>
        <v>0</v>
      </c>
      <c r="K53" s="435">
        <f t="shared" si="16"/>
        <v>0</v>
      </c>
      <c r="L53" s="435">
        <f t="shared" si="17"/>
        <v>0</v>
      </c>
      <c r="M53" s="783"/>
    </row>
    <row r="54" spans="2:14">
      <c r="B54" s="782">
        <f t="shared" si="12"/>
        <v>27</v>
      </c>
      <c r="C54" s="783">
        <v>1</v>
      </c>
      <c r="D54" s="784">
        <f>'Input Tally'!D19</f>
        <v>0</v>
      </c>
      <c r="E54" s="435">
        <f t="shared" si="13"/>
        <v>0</v>
      </c>
      <c r="F54" s="435">
        <f t="shared" si="14"/>
        <v>0</v>
      </c>
      <c r="G54" s="785"/>
      <c r="H54" s="783">
        <f t="shared" si="15"/>
        <v>57</v>
      </c>
      <c r="I54" s="783">
        <v>1</v>
      </c>
      <c r="J54" s="784">
        <f>'Input Tally'!F30</f>
        <v>0</v>
      </c>
      <c r="K54" s="435">
        <f t="shared" si="16"/>
        <v>0</v>
      </c>
      <c r="L54" s="435">
        <f t="shared" si="17"/>
        <v>0</v>
      </c>
      <c r="M54" s="783"/>
    </row>
    <row r="55" spans="2:14">
      <c r="B55" s="782">
        <f t="shared" si="12"/>
        <v>28</v>
      </c>
      <c r="C55" s="783">
        <v>1</v>
      </c>
      <c r="D55" s="784">
        <f>'Input Tally'!D20</f>
        <v>0</v>
      </c>
      <c r="E55" s="435">
        <f t="shared" si="13"/>
        <v>0</v>
      </c>
      <c r="F55" s="435">
        <f t="shared" si="14"/>
        <v>0</v>
      </c>
      <c r="G55" s="785"/>
      <c r="H55" s="783">
        <f t="shared" si="15"/>
        <v>58</v>
      </c>
      <c r="I55" s="783">
        <v>1</v>
      </c>
      <c r="J55" s="784">
        <f>'Input Tally'!F31</f>
        <v>0</v>
      </c>
      <c r="K55" s="435">
        <f t="shared" si="16"/>
        <v>0</v>
      </c>
      <c r="L55" s="435">
        <f t="shared" si="17"/>
        <v>0</v>
      </c>
      <c r="M55" s="783"/>
    </row>
    <row r="56" spans="2:14">
      <c r="B56" s="782">
        <f t="shared" si="12"/>
        <v>29</v>
      </c>
      <c r="C56" s="783">
        <v>1</v>
      </c>
      <c r="D56" s="784">
        <f>'Input Tally'!D21</f>
        <v>0</v>
      </c>
      <c r="E56" s="435">
        <f t="shared" si="13"/>
        <v>0</v>
      </c>
      <c r="F56" s="435">
        <f t="shared" si="14"/>
        <v>0</v>
      </c>
      <c r="G56" s="785"/>
      <c r="H56" s="783">
        <f t="shared" si="15"/>
        <v>59</v>
      </c>
      <c r="I56" s="783">
        <v>1</v>
      </c>
      <c r="J56" s="784">
        <f>'Input Tally'!F32</f>
        <v>0</v>
      </c>
      <c r="K56" s="435">
        <f t="shared" si="16"/>
        <v>0</v>
      </c>
      <c r="L56" s="435">
        <f t="shared" si="17"/>
        <v>0</v>
      </c>
      <c r="M56" s="783"/>
    </row>
    <row r="57" spans="2:14">
      <c r="B57" s="782">
        <f t="shared" si="12"/>
        <v>30</v>
      </c>
      <c r="C57" s="783">
        <v>1</v>
      </c>
      <c r="D57" s="784">
        <f>'Input Tally'!D22</f>
        <v>0</v>
      </c>
      <c r="E57" s="435">
        <f t="shared" si="13"/>
        <v>0</v>
      </c>
      <c r="F57" s="435">
        <f t="shared" si="14"/>
        <v>0</v>
      </c>
      <c r="G57" s="785"/>
      <c r="H57" s="783">
        <f t="shared" si="15"/>
        <v>60</v>
      </c>
      <c r="I57" s="783">
        <v>1</v>
      </c>
      <c r="J57" s="784">
        <f>'Input Tally'!F33</f>
        <v>0</v>
      </c>
      <c r="K57" s="435">
        <f t="shared" si="16"/>
        <v>0</v>
      </c>
      <c r="L57" s="435">
        <f t="shared" si="17"/>
        <v>0</v>
      </c>
      <c r="M57" s="783"/>
    </row>
    <row r="58" spans="2:14" ht="15">
      <c r="B58" s="436" t="s">
        <v>862</v>
      </c>
      <c r="C58" s="437"/>
      <c r="D58" s="731"/>
      <c r="E58" s="731"/>
      <c r="F58" s="732"/>
      <c r="G58" s="733"/>
      <c r="H58" s="436" t="s">
        <v>862</v>
      </c>
      <c r="I58" s="437"/>
      <c r="J58" s="731"/>
      <c r="K58" s="731"/>
      <c r="L58" s="732"/>
      <c r="M58" s="731"/>
    </row>
    <row r="59" spans="2:14" ht="15.65" thickBot="1">
      <c r="B59" s="438" t="s">
        <v>280</v>
      </c>
      <c r="C59" s="439"/>
      <c r="D59" s="734">
        <f>SUM(D48:D57)</f>
        <v>0</v>
      </c>
      <c r="E59" s="734">
        <f>(E57)</f>
        <v>0</v>
      </c>
      <c r="F59" s="735"/>
      <c r="G59" s="736"/>
      <c r="H59" s="438" t="s">
        <v>280</v>
      </c>
      <c r="I59" s="439"/>
      <c r="J59" s="734">
        <f>SUM(J48:J57)</f>
        <v>0</v>
      </c>
      <c r="K59" s="734">
        <f>(K57)</f>
        <v>0</v>
      </c>
      <c r="L59" s="735"/>
      <c r="M59" s="737"/>
    </row>
    <row r="60" spans="2:14" ht="18.45" thickTop="1">
      <c r="B60" s="445">
        <f>B2</f>
        <v>0</v>
      </c>
      <c r="C60" s="446"/>
      <c r="D60" s="446"/>
      <c r="E60" s="446"/>
      <c r="F60" s="446"/>
      <c r="G60" s="446"/>
      <c r="H60" s="446"/>
      <c r="I60" s="446"/>
      <c r="J60" s="393" t="s">
        <v>833</v>
      </c>
      <c r="K60" s="394">
        <f>IF(D67&gt;0,2,0)</f>
        <v>0</v>
      </c>
      <c r="L60" s="395" t="s">
        <v>464</v>
      </c>
      <c r="M60" s="780">
        <f>IF(K60=0,0,IF(M119&gt;0,M119,IF(D67&gt;0,2,0)))</f>
        <v>0</v>
      </c>
      <c r="N60" s="390">
        <v>0</v>
      </c>
    </row>
    <row r="61" spans="2:14">
      <c r="B61" s="396"/>
      <c r="M61" s="447"/>
    </row>
    <row r="62" spans="2:14">
      <c r="B62" s="448" t="s">
        <v>834</v>
      </c>
      <c r="F62" s="2252" t="str">
        <f>IF(D67&gt;0,F4," ")</f>
        <v xml:space="preserve"> </v>
      </c>
      <c r="G62" s="2253"/>
      <c r="H62" s="2253"/>
      <c r="I62" s="2253"/>
      <c r="J62" s="2253"/>
      <c r="K62" s="2254"/>
      <c r="L62" s="400" t="s">
        <v>221</v>
      </c>
      <c r="M62" s="449" t="str">
        <f>IF(K60=2,M4," ")</f>
        <v xml:space="preserve"> </v>
      </c>
    </row>
    <row r="63" spans="2:14">
      <c r="B63" s="396"/>
      <c r="M63" s="450"/>
    </row>
    <row r="64" spans="2:14">
      <c r="B64" s="451"/>
      <c r="C64" s="426"/>
      <c r="D64" s="424" t="s">
        <v>852</v>
      </c>
      <c r="E64" s="424" t="s">
        <v>280</v>
      </c>
      <c r="F64" s="424" t="s">
        <v>853</v>
      </c>
      <c r="G64" s="425"/>
      <c r="H64" s="426"/>
      <c r="I64" s="426"/>
      <c r="J64" s="424" t="s">
        <v>852</v>
      </c>
      <c r="K64" s="424" t="s">
        <v>280</v>
      </c>
      <c r="L64" s="424" t="s">
        <v>853</v>
      </c>
      <c r="M64" s="426"/>
    </row>
    <row r="65" spans="2:15">
      <c r="B65" s="427" t="s">
        <v>854</v>
      </c>
      <c r="C65" s="428" t="s">
        <v>863</v>
      </c>
      <c r="D65" s="428" t="s">
        <v>856</v>
      </c>
      <c r="E65" s="428" t="s">
        <v>857</v>
      </c>
      <c r="F65" s="428" t="s">
        <v>858</v>
      </c>
      <c r="G65" s="429"/>
      <c r="H65" s="428" t="s">
        <v>854</v>
      </c>
      <c r="I65" s="428" t="s">
        <v>863</v>
      </c>
      <c r="J65" s="428" t="s">
        <v>856</v>
      </c>
      <c r="K65" s="428" t="s">
        <v>857</v>
      </c>
      <c r="L65" s="428" t="s">
        <v>858</v>
      </c>
      <c r="M65" s="401"/>
    </row>
    <row r="66" spans="2:15" ht="15.65" thickBot="1">
      <c r="B66" s="430" t="s">
        <v>859</v>
      </c>
      <c r="C66" s="431" t="s">
        <v>864</v>
      </c>
      <c r="D66" s="432" t="str">
        <f>D21</f>
        <v xml:space="preserve">m </v>
      </c>
      <c r="E66" s="432" t="str">
        <f>D66</f>
        <v xml:space="preserve">m </v>
      </c>
      <c r="F66" s="432" t="str">
        <f>E66</f>
        <v xml:space="preserve">m </v>
      </c>
      <c r="G66" s="433" t="s">
        <v>869</v>
      </c>
      <c r="H66" s="432" t="s">
        <v>859</v>
      </c>
      <c r="I66" s="431" t="s">
        <v>864</v>
      </c>
      <c r="J66" s="432" t="str">
        <f>F66</f>
        <v xml:space="preserve">m </v>
      </c>
      <c r="K66" s="432" t="str">
        <f>F66</f>
        <v xml:space="preserve">m </v>
      </c>
      <c r="L66" s="432" t="str">
        <f>F66</f>
        <v xml:space="preserve">m </v>
      </c>
      <c r="M66" s="434" t="s">
        <v>869</v>
      </c>
    </row>
    <row r="67" spans="2:15" ht="15.25" thickTop="1">
      <c r="B67" s="786">
        <f>(H57+1)</f>
        <v>61</v>
      </c>
      <c r="C67" s="787">
        <v>1</v>
      </c>
      <c r="D67" s="784">
        <f>'Input Tally'!H13</f>
        <v>0</v>
      </c>
      <c r="E67" s="452">
        <f>IF(C67=1,K57+D67,K57)</f>
        <v>0</v>
      </c>
      <c r="F67" s="452">
        <f>IF(I57=1,L57-J57,L57)</f>
        <v>0</v>
      </c>
      <c r="G67" s="788"/>
      <c r="H67" s="787">
        <f>(B115+1)</f>
        <v>101</v>
      </c>
      <c r="I67" s="787">
        <v>1</v>
      </c>
      <c r="J67" s="784">
        <f>'Input Tally'!B58</f>
        <v>0</v>
      </c>
      <c r="K67" s="452">
        <f>IF(I67=1,E115+J67,E115)</f>
        <v>0</v>
      </c>
      <c r="L67" s="452">
        <f>IF(C115=1,F115-D115,F115)</f>
        <v>0</v>
      </c>
      <c r="M67" s="787"/>
      <c r="N67" s="390" t="s">
        <v>1310</v>
      </c>
      <c r="O67" s="390" t="str">
        <f>IF(D78='Input Tally'!H23,"OK","ERROR")</f>
        <v>OK</v>
      </c>
    </row>
    <row r="68" spans="2:15">
      <c r="B68" s="782">
        <f t="shared" ref="B68:B76" si="18">(B67+1)</f>
        <v>62</v>
      </c>
      <c r="C68" s="783">
        <v>1</v>
      </c>
      <c r="D68" s="784">
        <f>'Input Tally'!H14</f>
        <v>0</v>
      </c>
      <c r="E68" s="435">
        <f t="shared" ref="E68:E76" si="19">IF(C68=1,E67+D68,E67)</f>
        <v>0</v>
      </c>
      <c r="F68" s="435">
        <f t="shared" ref="F68:F76" si="20">IF(C67=1,F67-D67,F67)</f>
        <v>0</v>
      </c>
      <c r="G68" s="785"/>
      <c r="H68" s="783">
        <f t="shared" ref="H68:H76" si="21">(H67+1)</f>
        <v>102</v>
      </c>
      <c r="I68" s="783">
        <v>1</v>
      </c>
      <c r="J68" s="784">
        <f>'Input Tally'!B59</f>
        <v>0</v>
      </c>
      <c r="K68" s="435">
        <f t="shared" ref="K68:K76" si="22">IF(I68=1,K67+J68,K67)</f>
        <v>0</v>
      </c>
      <c r="L68" s="435">
        <f t="shared" ref="L68:L76" si="23">IF(I67=1,L67-J67,L67)</f>
        <v>0</v>
      </c>
      <c r="M68" s="783"/>
    </row>
    <row r="69" spans="2:15">
      <c r="B69" s="782">
        <f t="shared" si="18"/>
        <v>63</v>
      </c>
      <c r="C69" s="783">
        <v>1</v>
      </c>
      <c r="D69" s="784">
        <f>'Input Tally'!H15</f>
        <v>0</v>
      </c>
      <c r="E69" s="435">
        <f t="shared" si="19"/>
        <v>0</v>
      </c>
      <c r="F69" s="435">
        <f t="shared" si="20"/>
        <v>0</v>
      </c>
      <c r="G69" s="785"/>
      <c r="H69" s="783">
        <f t="shared" si="21"/>
        <v>103</v>
      </c>
      <c r="I69" s="783">
        <v>1</v>
      </c>
      <c r="J69" s="784">
        <f>'Input Tally'!B60</f>
        <v>0</v>
      </c>
      <c r="K69" s="435">
        <f t="shared" si="22"/>
        <v>0</v>
      </c>
      <c r="L69" s="435">
        <f t="shared" si="23"/>
        <v>0</v>
      </c>
      <c r="M69" s="783"/>
    </row>
    <row r="70" spans="2:15">
      <c r="B70" s="782">
        <f t="shared" si="18"/>
        <v>64</v>
      </c>
      <c r="C70" s="783">
        <v>1</v>
      </c>
      <c r="D70" s="784">
        <f>'Input Tally'!H16</f>
        <v>0</v>
      </c>
      <c r="E70" s="435">
        <f t="shared" si="19"/>
        <v>0</v>
      </c>
      <c r="F70" s="435">
        <f t="shared" si="20"/>
        <v>0</v>
      </c>
      <c r="G70" s="785"/>
      <c r="H70" s="783">
        <f t="shared" si="21"/>
        <v>104</v>
      </c>
      <c r="I70" s="783">
        <v>1</v>
      </c>
      <c r="J70" s="784">
        <f>'Input Tally'!B61</f>
        <v>0</v>
      </c>
      <c r="K70" s="435">
        <f t="shared" si="22"/>
        <v>0</v>
      </c>
      <c r="L70" s="435">
        <f t="shared" si="23"/>
        <v>0</v>
      </c>
      <c r="M70" s="783"/>
      <c r="N70" s="390" t="s">
        <v>1311</v>
      </c>
      <c r="O70" s="390" t="str">
        <f>IF(D91='Input Tally'!H34,"OK","ERROR")</f>
        <v>OK</v>
      </c>
    </row>
    <row r="71" spans="2:15">
      <c r="B71" s="782">
        <f t="shared" si="18"/>
        <v>65</v>
      </c>
      <c r="C71" s="783">
        <v>1</v>
      </c>
      <c r="D71" s="784">
        <f>'Input Tally'!H17</f>
        <v>0</v>
      </c>
      <c r="E71" s="435">
        <f t="shared" si="19"/>
        <v>0</v>
      </c>
      <c r="F71" s="435">
        <f t="shared" si="20"/>
        <v>0</v>
      </c>
      <c r="G71" s="785"/>
      <c r="H71" s="783">
        <f t="shared" si="21"/>
        <v>105</v>
      </c>
      <c r="I71" s="783">
        <v>1</v>
      </c>
      <c r="J71" s="784">
        <f>'Input Tally'!B62</f>
        <v>0</v>
      </c>
      <c r="K71" s="435">
        <f t="shared" si="22"/>
        <v>0</v>
      </c>
      <c r="L71" s="435">
        <f t="shared" si="23"/>
        <v>0</v>
      </c>
      <c r="M71" s="783"/>
    </row>
    <row r="72" spans="2:15">
      <c r="B72" s="782">
        <f t="shared" si="18"/>
        <v>66</v>
      </c>
      <c r="C72" s="783">
        <v>1</v>
      </c>
      <c r="D72" s="784">
        <f>'Input Tally'!H18</f>
        <v>0</v>
      </c>
      <c r="E72" s="435">
        <f t="shared" si="19"/>
        <v>0</v>
      </c>
      <c r="F72" s="435">
        <f t="shared" si="20"/>
        <v>0</v>
      </c>
      <c r="G72" s="785"/>
      <c r="H72" s="783">
        <f t="shared" si="21"/>
        <v>106</v>
      </c>
      <c r="I72" s="783">
        <v>1</v>
      </c>
      <c r="J72" s="784">
        <f>'Input Tally'!B63</f>
        <v>0</v>
      </c>
      <c r="K72" s="435">
        <f t="shared" si="22"/>
        <v>0</v>
      </c>
      <c r="L72" s="435">
        <f t="shared" si="23"/>
        <v>0</v>
      </c>
      <c r="M72" s="783"/>
      <c r="N72" s="390" t="s">
        <v>1317</v>
      </c>
      <c r="O72" s="390" t="str">
        <f>IF(J78='Input Tally'!B68,"OK","ERROR")</f>
        <v>OK</v>
      </c>
    </row>
    <row r="73" spans="2:15">
      <c r="B73" s="782">
        <f t="shared" si="18"/>
        <v>67</v>
      </c>
      <c r="C73" s="783">
        <v>1</v>
      </c>
      <c r="D73" s="784">
        <f>'Input Tally'!H19</f>
        <v>0</v>
      </c>
      <c r="E73" s="435">
        <f t="shared" si="19"/>
        <v>0</v>
      </c>
      <c r="F73" s="435">
        <f t="shared" si="20"/>
        <v>0</v>
      </c>
      <c r="G73" s="785"/>
      <c r="H73" s="783">
        <f t="shared" si="21"/>
        <v>107</v>
      </c>
      <c r="I73" s="783">
        <v>1</v>
      </c>
      <c r="J73" s="784">
        <f>'Input Tally'!B64</f>
        <v>0</v>
      </c>
      <c r="K73" s="435">
        <f t="shared" si="22"/>
        <v>0</v>
      </c>
      <c r="L73" s="435">
        <f t="shared" si="23"/>
        <v>0</v>
      </c>
      <c r="M73" s="783"/>
    </row>
    <row r="74" spans="2:15">
      <c r="B74" s="782">
        <f t="shared" si="18"/>
        <v>68</v>
      </c>
      <c r="C74" s="783">
        <v>1</v>
      </c>
      <c r="D74" s="784">
        <f>'Input Tally'!H20</f>
        <v>0</v>
      </c>
      <c r="E74" s="435">
        <f t="shared" si="19"/>
        <v>0</v>
      </c>
      <c r="F74" s="435">
        <f t="shared" si="20"/>
        <v>0</v>
      </c>
      <c r="G74" s="785"/>
      <c r="H74" s="783">
        <f t="shared" si="21"/>
        <v>108</v>
      </c>
      <c r="I74" s="783">
        <v>1</v>
      </c>
      <c r="J74" s="784">
        <f>'Input Tally'!B65</f>
        <v>0</v>
      </c>
      <c r="K74" s="435">
        <f t="shared" si="22"/>
        <v>0</v>
      </c>
      <c r="L74" s="435">
        <f t="shared" si="23"/>
        <v>0</v>
      </c>
      <c r="M74" s="783"/>
    </row>
    <row r="75" spans="2:15">
      <c r="B75" s="782">
        <f t="shared" si="18"/>
        <v>69</v>
      </c>
      <c r="C75" s="783">
        <v>1</v>
      </c>
      <c r="D75" s="784">
        <f>'Input Tally'!H21</f>
        <v>0</v>
      </c>
      <c r="E75" s="435">
        <f t="shared" si="19"/>
        <v>0</v>
      </c>
      <c r="F75" s="435">
        <f t="shared" si="20"/>
        <v>0</v>
      </c>
      <c r="G75" s="785"/>
      <c r="H75" s="783">
        <f t="shared" si="21"/>
        <v>109</v>
      </c>
      <c r="I75" s="783">
        <v>1</v>
      </c>
      <c r="J75" s="784">
        <f>'Input Tally'!B66</f>
        <v>0</v>
      </c>
      <c r="K75" s="435">
        <f t="shared" si="22"/>
        <v>0</v>
      </c>
      <c r="L75" s="435">
        <f t="shared" si="23"/>
        <v>0</v>
      </c>
      <c r="M75" s="783"/>
    </row>
    <row r="76" spans="2:15">
      <c r="B76" s="782">
        <f t="shared" si="18"/>
        <v>70</v>
      </c>
      <c r="C76" s="783">
        <v>1</v>
      </c>
      <c r="D76" s="784">
        <f>'Input Tally'!H22</f>
        <v>0</v>
      </c>
      <c r="E76" s="435">
        <f t="shared" si="19"/>
        <v>0</v>
      </c>
      <c r="F76" s="435">
        <f t="shared" si="20"/>
        <v>0</v>
      </c>
      <c r="G76" s="785"/>
      <c r="H76" s="783">
        <f t="shared" si="21"/>
        <v>110</v>
      </c>
      <c r="I76" s="783">
        <v>1</v>
      </c>
      <c r="J76" s="784">
        <f>'Input Tally'!B67</f>
        <v>0</v>
      </c>
      <c r="K76" s="435">
        <f t="shared" si="22"/>
        <v>0</v>
      </c>
      <c r="L76" s="435">
        <f t="shared" si="23"/>
        <v>0</v>
      </c>
      <c r="M76" s="783"/>
    </row>
    <row r="77" spans="2:15" ht="15">
      <c r="B77" s="436" t="s">
        <v>862</v>
      </c>
      <c r="C77" s="437"/>
      <c r="D77" s="731"/>
      <c r="E77" s="731"/>
      <c r="F77" s="732"/>
      <c r="G77" s="733"/>
      <c r="H77" s="436" t="s">
        <v>862</v>
      </c>
      <c r="I77" s="437"/>
      <c r="J77" s="731"/>
      <c r="K77" s="731"/>
      <c r="L77" s="732"/>
      <c r="M77" s="731"/>
    </row>
    <row r="78" spans="2:15" ht="15.65" thickBot="1">
      <c r="B78" s="438" t="s">
        <v>280</v>
      </c>
      <c r="C78" s="439"/>
      <c r="D78" s="1227">
        <f>SUM(D67:D76)</f>
        <v>0</v>
      </c>
      <c r="E78" s="440">
        <f>(E76)</f>
        <v>0</v>
      </c>
      <c r="F78" s="441"/>
      <c r="G78" s="442"/>
      <c r="H78" s="438" t="s">
        <v>280</v>
      </c>
      <c r="I78" s="439"/>
      <c r="J78" s="734">
        <f>SUM(J67:J76)</f>
        <v>0</v>
      </c>
      <c r="K78" s="734">
        <f>(K76)</f>
        <v>0</v>
      </c>
      <c r="L78" s="735"/>
      <c r="M78" s="737"/>
    </row>
    <row r="79" spans="2:15" ht="15.25" thickTop="1">
      <c r="B79" s="443"/>
      <c r="C79" s="391"/>
      <c r="D79" s="391"/>
      <c r="E79" s="391"/>
      <c r="F79" s="391"/>
      <c r="G79" s="444"/>
      <c r="H79" s="391"/>
      <c r="I79" s="391"/>
      <c r="J79" s="391"/>
      <c r="K79" s="391"/>
      <c r="L79" s="391"/>
      <c r="M79" s="392"/>
    </row>
    <row r="80" spans="2:15">
      <c r="B80" s="782">
        <f>(B76+1)</f>
        <v>71</v>
      </c>
      <c r="C80" s="783">
        <v>1</v>
      </c>
      <c r="D80" s="784">
        <f>'Input Tally'!H24</f>
        <v>0</v>
      </c>
      <c r="E80" s="435">
        <f>IF(C80=1,E76+D80,E76)</f>
        <v>0</v>
      </c>
      <c r="F80" s="435">
        <f>IF(C76=1,F76-D76,F76)</f>
        <v>0</v>
      </c>
      <c r="G80" s="785"/>
      <c r="H80" s="783">
        <f>(H76+1)</f>
        <v>111</v>
      </c>
      <c r="I80" s="783">
        <v>1</v>
      </c>
      <c r="J80" s="784">
        <f>'Input Tally'!B69</f>
        <v>0</v>
      </c>
      <c r="K80" s="435">
        <f>IF(I80=1,K76+J80,K76)</f>
        <v>0</v>
      </c>
      <c r="L80" s="435">
        <f>IF(I76=1,L76-J76,L76)</f>
        <v>0</v>
      </c>
      <c r="M80" s="783"/>
      <c r="N80" s="390" t="s">
        <v>1318</v>
      </c>
      <c r="O80" s="390" t="str">
        <f>IF(D104='Input Tally'!J23,"OK","ERROR")</f>
        <v>OK</v>
      </c>
    </row>
    <row r="81" spans="2:15">
      <c r="B81" s="782">
        <f t="shared" ref="B81:B89" si="24">(B80+1)</f>
        <v>72</v>
      </c>
      <c r="C81" s="783">
        <v>1</v>
      </c>
      <c r="D81" s="784">
        <f>'Input Tally'!H25</f>
        <v>0</v>
      </c>
      <c r="E81" s="435">
        <f t="shared" ref="E81:E89" si="25">IF(C81=1,E80+D81,E80)</f>
        <v>0</v>
      </c>
      <c r="F81" s="435">
        <f t="shared" ref="F81:F89" si="26">IF(C80=1,F80-D80,F80)</f>
        <v>0</v>
      </c>
      <c r="G81" s="785"/>
      <c r="H81" s="783">
        <f t="shared" ref="H81:H89" si="27">(H80+1)</f>
        <v>112</v>
      </c>
      <c r="I81" s="783">
        <v>1</v>
      </c>
      <c r="J81" s="784">
        <f>'Input Tally'!B70</f>
        <v>0</v>
      </c>
      <c r="K81" s="435">
        <f t="shared" ref="K81:K89" si="28">IF(I81=1,K80+J81,K80)</f>
        <v>0</v>
      </c>
      <c r="L81" s="435">
        <f t="shared" ref="L81:L89" si="29">IF(I80=1,L80-J80,L80)</f>
        <v>0</v>
      </c>
      <c r="M81" s="783"/>
    </row>
    <row r="82" spans="2:15">
      <c r="B82" s="782">
        <f t="shared" si="24"/>
        <v>73</v>
      </c>
      <c r="C82" s="783">
        <v>1</v>
      </c>
      <c r="D82" s="784">
        <f>'Input Tally'!H26</f>
        <v>0</v>
      </c>
      <c r="E82" s="435">
        <f t="shared" si="25"/>
        <v>0</v>
      </c>
      <c r="F82" s="435">
        <f t="shared" si="26"/>
        <v>0</v>
      </c>
      <c r="G82" s="785"/>
      <c r="H82" s="783">
        <f t="shared" si="27"/>
        <v>113</v>
      </c>
      <c r="I82" s="783">
        <v>1</v>
      </c>
      <c r="J82" s="784">
        <f>'Input Tally'!B71</f>
        <v>0</v>
      </c>
      <c r="K82" s="435">
        <f t="shared" si="28"/>
        <v>0</v>
      </c>
      <c r="L82" s="435">
        <f t="shared" si="29"/>
        <v>0</v>
      </c>
      <c r="M82" s="783"/>
      <c r="N82" s="390" t="s">
        <v>1319</v>
      </c>
      <c r="O82" s="390" t="str">
        <f>IF(J91='Input Tally'!B79,"OK","ERROR")</f>
        <v>OK</v>
      </c>
    </row>
    <row r="83" spans="2:15">
      <c r="B83" s="782">
        <f t="shared" si="24"/>
        <v>74</v>
      </c>
      <c r="C83" s="783">
        <v>1</v>
      </c>
      <c r="D83" s="784">
        <f>'Input Tally'!H27</f>
        <v>0</v>
      </c>
      <c r="E83" s="435">
        <f t="shared" si="25"/>
        <v>0</v>
      </c>
      <c r="F83" s="435">
        <f t="shared" si="26"/>
        <v>0</v>
      </c>
      <c r="G83" s="785"/>
      <c r="H83" s="783">
        <f t="shared" si="27"/>
        <v>114</v>
      </c>
      <c r="I83" s="783">
        <v>1</v>
      </c>
      <c r="J83" s="784">
        <f>'Input Tally'!B72</f>
        <v>0</v>
      </c>
      <c r="K83" s="435">
        <f t="shared" si="28"/>
        <v>0</v>
      </c>
      <c r="L83" s="435">
        <f t="shared" si="29"/>
        <v>0</v>
      </c>
      <c r="M83" s="783"/>
    </row>
    <row r="84" spans="2:15">
      <c r="B84" s="782">
        <f t="shared" si="24"/>
        <v>75</v>
      </c>
      <c r="C84" s="783">
        <v>1</v>
      </c>
      <c r="D84" s="784">
        <f>'Input Tally'!H28</f>
        <v>0</v>
      </c>
      <c r="E84" s="435">
        <f t="shared" si="25"/>
        <v>0</v>
      </c>
      <c r="F84" s="435">
        <f t="shared" si="26"/>
        <v>0</v>
      </c>
      <c r="G84" s="785"/>
      <c r="H84" s="783">
        <f t="shared" si="27"/>
        <v>115</v>
      </c>
      <c r="I84" s="783">
        <v>1</v>
      </c>
      <c r="J84" s="784">
        <f>'Input Tally'!B73</f>
        <v>0</v>
      </c>
      <c r="K84" s="435">
        <f t="shared" si="28"/>
        <v>0</v>
      </c>
      <c r="L84" s="435">
        <f t="shared" si="29"/>
        <v>0</v>
      </c>
      <c r="M84" s="783"/>
    </row>
    <row r="85" spans="2:15">
      <c r="B85" s="782">
        <f t="shared" si="24"/>
        <v>76</v>
      </c>
      <c r="C85" s="783">
        <v>1</v>
      </c>
      <c r="D85" s="784">
        <f>'Input Tally'!H29</f>
        <v>0</v>
      </c>
      <c r="E85" s="435">
        <f t="shared" si="25"/>
        <v>0</v>
      </c>
      <c r="F85" s="435">
        <f t="shared" si="26"/>
        <v>0</v>
      </c>
      <c r="G85" s="785"/>
      <c r="H85" s="783">
        <f t="shared" si="27"/>
        <v>116</v>
      </c>
      <c r="I85" s="783">
        <v>1</v>
      </c>
      <c r="J85" s="784">
        <f>'Input Tally'!B74</f>
        <v>0</v>
      </c>
      <c r="K85" s="435">
        <f t="shared" si="28"/>
        <v>0</v>
      </c>
      <c r="L85" s="435">
        <f t="shared" si="29"/>
        <v>0</v>
      </c>
      <c r="M85" s="783"/>
    </row>
    <row r="86" spans="2:15">
      <c r="B86" s="782">
        <f t="shared" si="24"/>
        <v>77</v>
      </c>
      <c r="C86" s="783">
        <v>1</v>
      </c>
      <c r="D86" s="784">
        <f>'Input Tally'!H30</f>
        <v>0</v>
      </c>
      <c r="E86" s="435">
        <f t="shared" si="25"/>
        <v>0</v>
      </c>
      <c r="F86" s="435">
        <f t="shared" si="26"/>
        <v>0</v>
      </c>
      <c r="G86" s="785"/>
      <c r="H86" s="783">
        <f t="shared" si="27"/>
        <v>117</v>
      </c>
      <c r="I86" s="783">
        <v>1</v>
      </c>
      <c r="J86" s="784">
        <f>'Input Tally'!B75</f>
        <v>0</v>
      </c>
      <c r="K86" s="435">
        <f t="shared" si="28"/>
        <v>0</v>
      </c>
      <c r="L86" s="435">
        <f t="shared" si="29"/>
        <v>0</v>
      </c>
      <c r="M86" s="783"/>
    </row>
    <row r="87" spans="2:15">
      <c r="B87" s="782">
        <f t="shared" si="24"/>
        <v>78</v>
      </c>
      <c r="C87" s="783">
        <v>1</v>
      </c>
      <c r="D87" s="784">
        <f>'Input Tally'!H31</f>
        <v>0</v>
      </c>
      <c r="E87" s="435">
        <f t="shared" si="25"/>
        <v>0</v>
      </c>
      <c r="F87" s="435">
        <f t="shared" si="26"/>
        <v>0</v>
      </c>
      <c r="G87" s="785"/>
      <c r="H87" s="783">
        <f t="shared" si="27"/>
        <v>118</v>
      </c>
      <c r="I87" s="783">
        <v>1</v>
      </c>
      <c r="J87" s="784">
        <f>'Input Tally'!B76</f>
        <v>0</v>
      </c>
      <c r="K87" s="435">
        <f t="shared" si="28"/>
        <v>0</v>
      </c>
      <c r="L87" s="435">
        <f t="shared" si="29"/>
        <v>0</v>
      </c>
      <c r="M87" s="783"/>
    </row>
    <row r="88" spans="2:15">
      <c r="B88" s="782">
        <f t="shared" si="24"/>
        <v>79</v>
      </c>
      <c r="C88" s="783">
        <v>1</v>
      </c>
      <c r="D88" s="784">
        <f>'Input Tally'!H32</f>
        <v>0</v>
      </c>
      <c r="E88" s="435">
        <f t="shared" si="25"/>
        <v>0</v>
      </c>
      <c r="F88" s="435">
        <f t="shared" si="26"/>
        <v>0</v>
      </c>
      <c r="G88" s="785"/>
      <c r="H88" s="783">
        <f t="shared" si="27"/>
        <v>119</v>
      </c>
      <c r="I88" s="783">
        <v>1</v>
      </c>
      <c r="J88" s="784">
        <f>'Input Tally'!B77</f>
        <v>0</v>
      </c>
      <c r="K88" s="435">
        <f t="shared" si="28"/>
        <v>0</v>
      </c>
      <c r="L88" s="435">
        <f t="shared" si="29"/>
        <v>0</v>
      </c>
      <c r="M88" s="783"/>
    </row>
    <row r="89" spans="2:15">
      <c r="B89" s="782">
        <f t="shared" si="24"/>
        <v>80</v>
      </c>
      <c r="C89" s="783">
        <v>1</v>
      </c>
      <c r="D89" s="784">
        <f>'Input Tally'!H33</f>
        <v>0</v>
      </c>
      <c r="E89" s="435">
        <f t="shared" si="25"/>
        <v>0</v>
      </c>
      <c r="F89" s="435">
        <f t="shared" si="26"/>
        <v>0</v>
      </c>
      <c r="G89" s="785"/>
      <c r="H89" s="783">
        <f t="shared" si="27"/>
        <v>120</v>
      </c>
      <c r="I89" s="783">
        <v>1</v>
      </c>
      <c r="J89" s="784">
        <f>'Input Tally'!B78</f>
        <v>0</v>
      </c>
      <c r="K89" s="435">
        <f t="shared" si="28"/>
        <v>0</v>
      </c>
      <c r="L89" s="435">
        <f t="shared" si="29"/>
        <v>0</v>
      </c>
      <c r="M89" s="783"/>
    </row>
    <row r="90" spans="2:15" ht="15">
      <c r="B90" s="436" t="s">
        <v>862</v>
      </c>
      <c r="C90" s="437"/>
      <c r="D90" s="731"/>
      <c r="E90" s="731"/>
      <c r="F90" s="732"/>
      <c r="G90" s="733"/>
      <c r="H90" s="436" t="s">
        <v>862</v>
      </c>
      <c r="I90" s="437"/>
      <c r="J90" s="731"/>
      <c r="K90" s="731"/>
      <c r="L90" s="732"/>
      <c r="M90" s="731"/>
    </row>
    <row r="91" spans="2:15" ht="15.65" thickBot="1">
      <c r="B91" s="438" t="s">
        <v>280</v>
      </c>
      <c r="C91" s="439"/>
      <c r="D91" s="734">
        <f>SUM(D80:D89)</f>
        <v>0</v>
      </c>
      <c r="E91" s="734">
        <f>(E89)</f>
        <v>0</v>
      </c>
      <c r="F91" s="735"/>
      <c r="G91" s="736"/>
      <c r="H91" s="438" t="s">
        <v>280</v>
      </c>
      <c r="I91" s="439"/>
      <c r="J91" s="734">
        <f>SUM(J80:J89)</f>
        <v>0</v>
      </c>
      <c r="K91" s="734">
        <f>(K89)</f>
        <v>0</v>
      </c>
      <c r="L91" s="735"/>
      <c r="M91" s="737"/>
    </row>
    <row r="92" spans="2:15" ht="15.25" thickTop="1">
      <c r="B92" s="453"/>
      <c r="C92" s="392"/>
      <c r="D92" s="392"/>
      <c r="E92" s="392"/>
      <c r="F92" s="392"/>
      <c r="G92" s="444"/>
      <c r="H92" s="392"/>
      <c r="I92" s="392"/>
      <c r="J92" s="392"/>
      <c r="K92" s="392"/>
      <c r="L92" s="392"/>
      <c r="M92" s="392"/>
      <c r="N92" s="390" t="s">
        <v>1320</v>
      </c>
      <c r="O92" s="390" t="str">
        <f>IF(D117='Input Tally'!J34,"OK","ERROR")</f>
        <v>OK</v>
      </c>
    </row>
    <row r="93" spans="2:15">
      <c r="B93" s="782">
        <f>(B89+1)</f>
        <v>81</v>
      </c>
      <c r="C93" s="783">
        <v>1</v>
      </c>
      <c r="D93" s="784">
        <f>'Input Tally'!J13</f>
        <v>0</v>
      </c>
      <c r="E93" s="435">
        <f>IF(C93=1,E89+D93,E89)</f>
        <v>0</v>
      </c>
      <c r="F93" s="435">
        <f>IF(C89=1,F89-D89,F89)</f>
        <v>0</v>
      </c>
      <c r="G93" s="785"/>
      <c r="H93" s="783">
        <f>(H89+1)</f>
        <v>121</v>
      </c>
      <c r="I93" s="783">
        <v>1</v>
      </c>
      <c r="J93" s="784">
        <f>'Input Tally'!D58</f>
        <v>0</v>
      </c>
      <c r="K93" s="435">
        <f>IF(I93=1,K89+J93,K89)</f>
        <v>0</v>
      </c>
      <c r="L93" s="435">
        <f>IF(I89=1,L89-J89,L89)</f>
        <v>0</v>
      </c>
      <c r="M93" s="783"/>
    </row>
    <row r="94" spans="2:15">
      <c r="B94" s="782">
        <f t="shared" ref="B94:B102" si="30">(B93+1)</f>
        <v>82</v>
      </c>
      <c r="C94" s="783">
        <v>1</v>
      </c>
      <c r="D94" s="784">
        <f>'Input Tally'!J14</f>
        <v>0</v>
      </c>
      <c r="E94" s="435">
        <f t="shared" ref="E94:E102" si="31">IF(C94=1,E93+D94,E93)</f>
        <v>0</v>
      </c>
      <c r="F94" s="435">
        <f t="shared" ref="F94:F102" si="32">IF(C93=1,F93-D93,F93)</f>
        <v>0</v>
      </c>
      <c r="G94" s="785"/>
      <c r="H94" s="783">
        <f t="shared" ref="H94:H102" si="33">(H93+1)</f>
        <v>122</v>
      </c>
      <c r="I94" s="783">
        <v>1</v>
      </c>
      <c r="J94" s="784">
        <f>'Input Tally'!D59</f>
        <v>0</v>
      </c>
      <c r="K94" s="435">
        <f t="shared" ref="K94:K102" si="34">IF(I94=1,K93+J94,K93)</f>
        <v>0</v>
      </c>
      <c r="L94" s="435">
        <f t="shared" ref="L94:L102" si="35">IF(I93=1,L93-J93,L93)</f>
        <v>0</v>
      </c>
      <c r="M94" s="783"/>
      <c r="N94" s="390" t="s">
        <v>1321</v>
      </c>
      <c r="O94" s="390" t="str">
        <f>IF(J104='Input Tally'!D68,"OK","ERROR")</f>
        <v>OK</v>
      </c>
    </row>
    <row r="95" spans="2:15">
      <c r="B95" s="782">
        <f t="shared" si="30"/>
        <v>83</v>
      </c>
      <c r="C95" s="783">
        <v>1</v>
      </c>
      <c r="D95" s="784">
        <f>'Input Tally'!J15</f>
        <v>0</v>
      </c>
      <c r="E95" s="435">
        <f t="shared" si="31"/>
        <v>0</v>
      </c>
      <c r="F95" s="435">
        <f t="shared" si="32"/>
        <v>0</v>
      </c>
      <c r="G95" s="785"/>
      <c r="H95" s="783">
        <f t="shared" si="33"/>
        <v>123</v>
      </c>
      <c r="I95" s="783">
        <v>1</v>
      </c>
      <c r="J95" s="784">
        <f>'Input Tally'!D60</f>
        <v>0</v>
      </c>
      <c r="K95" s="435">
        <f t="shared" si="34"/>
        <v>0</v>
      </c>
      <c r="L95" s="435">
        <f t="shared" si="35"/>
        <v>0</v>
      </c>
      <c r="M95" s="783"/>
    </row>
    <row r="96" spans="2:15">
      <c r="B96" s="782">
        <f t="shared" si="30"/>
        <v>84</v>
      </c>
      <c r="C96" s="783">
        <v>1</v>
      </c>
      <c r="D96" s="784">
        <f>'Input Tally'!J16</f>
        <v>0</v>
      </c>
      <c r="E96" s="435">
        <f t="shared" si="31"/>
        <v>0</v>
      </c>
      <c r="F96" s="435">
        <f t="shared" si="32"/>
        <v>0</v>
      </c>
      <c r="G96" s="785"/>
      <c r="H96" s="783">
        <f t="shared" si="33"/>
        <v>124</v>
      </c>
      <c r="I96" s="783">
        <v>1</v>
      </c>
      <c r="J96" s="784">
        <f>'Input Tally'!D61</f>
        <v>0</v>
      </c>
      <c r="K96" s="435">
        <f t="shared" si="34"/>
        <v>0</v>
      </c>
      <c r="L96" s="435">
        <f t="shared" si="35"/>
        <v>0</v>
      </c>
      <c r="M96" s="783"/>
    </row>
    <row r="97" spans="2:15">
      <c r="B97" s="782">
        <f t="shared" si="30"/>
        <v>85</v>
      </c>
      <c r="C97" s="783">
        <v>1</v>
      </c>
      <c r="D97" s="784">
        <f>'Input Tally'!J17</f>
        <v>0</v>
      </c>
      <c r="E97" s="435">
        <f t="shared" si="31"/>
        <v>0</v>
      </c>
      <c r="F97" s="435">
        <f t="shared" si="32"/>
        <v>0</v>
      </c>
      <c r="G97" s="785"/>
      <c r="H97" s="783">
        <f t="shared" si="33"/>
        <v>125</v>
      </c>
      <c r="I97" s="783">
        <v>1</v>
      </c>
      <c r="J97" s="784">
        <f>'Input Tally'!D62</f>
        <v>0</v>
      </c>
      <c r="K97" s="435">
        <f t="shared" si="34"/>
        <v>0</v>
      </c>
      <c r="L97" s="435">
        <f t="shared" si="35"/>
        <v>0</v>
      </c>
      <c r="M97" s="783"/>
    </row>
    <row r="98" spans="2:15">
      <c r="B98" s="782">
        <f t="shared" si="30"/>
        <v>86</v>
      </c>
      <c r="C98" s="783">
        <v>1</v>
      </c>
      <c r="D98" s="784">
        <f>'Input Tally'!J18</f>
        <v>0</v>
      </c>
      <c r="E98" s="435">
        <f t="shared" si="31"/>
        <v>0</v>
      </c>
      <c r="F98" s="435">
        <f t="shared" si="32"/>
        <v>0</v>
      </c>
      <c r="G98" s="785"/>
      <c r="H98" s="783">
        <f t="shared" si="33"/>
        <v>126</v>
      </c>
      <c r="I98" s="783">
        <v>1</v>
      </c>
      <c r="J98" s="784">
        <f>'Input Tally'!D63</f>
        <v>0</v>
      </c>
      <c r="K98" s="435">
        <f t="shared" si="34"/>
        <v>0</v>
      </c>
      <c r="L98" s="435">
        <f t="shared" si="35"/>
        <v>0</v>
      </c>
      <c r="M98" s="783"/>
    </row>
    <row r="99" spans="2:15">
      <c r="B99" s="782">
        <f t="shared" si="30"/>
        <v>87</v>
      </c>
      <c r="C99" s="783">
        <v>1</v>
      </c>
      <c r="D99" s="784">
        <f>'Input Tally'!J19</f>
        <v>0</v>
      </c>
      <c r="E99" s="435">
        <f t="shared" si="31"/>
        <v>0</v>
      </c>
      <c r="F99" s="435">
        <f t="shared" si="32"/>
        <v>0</v>
      </c>
      <c r="G99" s="785"/>
      <c r="H99" s="783">
        <f t="shared" si="33"/>
        <v>127</v>
      </c>
      <c r="I99" s="783">
        <v>1</v>
      </c>
      <c r="J99" s="784">
        <f>'Input Tally'!D64</f>
        <v>0</v>
      </c>
      <c r="K99" s="435">
        <f t="shared" si="34"/>
        <v>0</v>
      </c>
      <c r="L99" s="435">
        <f t="shared" si="35"/>
        <v>0</v>
      </c>
      <c r="M99" s="783"/>
    </row>
    <row r="100" spans="2:15">
      <c r="B100" s="782">
        <f t="shared" si="30"/>
        <v>88</v>
      </c>
      <c r="C100" s="783">
        <v>1</v>
      </c>
      <c r="D100" s="784">
        <f>'Input Tally'!J20</f>
        <v>0</v>
      </c>
      <c r="E100" s="435">
        <f t="shared" si="31"/>
        <v>0</v>
      </c>
      <c r="F100" s="435">
        <f t="shared" si="32"/>
        <v>0</v>
      </c>
      <c r="G100" s="785"/>
      <c r="H100" s="783">
        <f t="shared" si="33"/>
        <v>128</v>
      </c>
      <c r="I100" s="783">
        <v>1</v>
      </c>
      <c r="J100" s="784">
        <f>'Input Tally'!D65</f>
        <v>0</v>
      </c>
      <c r="K100" s="435">
        <f t="shared" si="34"/>
        <v>0</v>
      </c>
      <c r="L100" s="435">
        <f t="shared" si="35"/>
        <v>0</v>
      </c>
      <c r="M100" s="783"/>
    </row>
    <row r="101" spans="2:15">
      <c r="B101" s="782">
        <f t="shared" si="30"/>
        <v>89</v>
      </c>
      <c r="C101" s="783">
        <v>1</v>
      </c>
      <c r="D101" s="784">
        <f>'Input Tally'!J21</f>
        <v>0</v>
      </c>
      <c r="E101" s="435">
        <f t="shared" si="31"/>
        <v>0</v>
      </c>
      <c r="F101" s="435">
        <f t="shared" si="32"/>
        <v>0</v>
      </c>
      <c r="G101" s="785"/>
      <c r="H101" s="783">
        <f t="shared" si="33"/>
        <v>129</v>
      </c>
      <c r="I101" s="783">
        <v>1</v>
      </c>
      <c r="J101" s="784">
        <f>'Input Tally'!D66</f>
        <v>0</v>
      </c>
      <c r="K101" s="435">
        <f t="shared" si="34"/>
        <v>0</v>
      </c>
      <c r="L101" s="435">
        <f t="shared" si="35"/>
        <v>0</v>
      </c>
      <c r="M101" s="783"/>
    </row>
    <row r="102" spans="2:15">
      <c r="B102" s="782">
        <f t="shared" si="30"/>
        <v>90</v>
      </c>
      <c r="C102" s="783">
        <v>1</v>
      </c>
      <c r="D102" s="784">
        <f>'Input Tally'!J22</f>
        <v>0</v>
      </c>
      <c r="E102" s="435">
        <f t="shared" si="31"/>
        <v>0</v>
      </c>
      <c r="F102" s="435">
        <f t="shared" si="32"/>
        <v>0</v>
      </c>
      <c r="G102" s="785"/>
      <c r="H102" s="783">
        <f t="shared" si="33"/>
        <v>130</v>
      </c>
      <c r="I102" s="783">
        <v>1</v>
      </c>
      <c r="J102" s="784">
        <f>'Input Tally'!D67</f>
        <v>0</v>
      </c>
      <c r="K102" s="435">
        <f t="shared" si="34"/>
        <v>0</v>
      </c>
      <c r="L102" s="435">
        <f t="shared" si="35"/>
        <v>0</v>
      </c>
      <c r="M102" s="783"/>
    </row>
    <row r="103" spans="2:15" ht="15">
      <c r="B103" s="436" t="s">
        <v>862</v>
      </c>
      <c r="C103" s="437"/>
      <c r="D103" s="731"/>
      <c r="E103" s="731"/>
      <c r="F103" s="732"/>
      <c r="G103" s="733"/>
      <c r="H103" s="436" t="s">
        <v>862</v>
      </c>
      <c r="I103" s="437"/>
      <c r="J103" s="731"/>
      <c r="K103" s="731"/>
      <c r="L103" s="732"/>
      <c r="M103" s="731"/>
    </row>
    <row r="104" spans="2:15" ht="15.65" thickBot="1">
      <c r="B104" s="438" t="s">
        <v>280</v>
      </c>
      <c r="C104" s="439"/>
      <c r="D104" s="734">
        <f>SUM(D93:D102)</f>
        <v>0</v>
      </c>
      <c r="E104" s="734">
        <f>(E102)</f>
        <v>0</v>
      </c>
      <c r="F104" s="735"/>
      <c r="G104" s="736"/>
      <c r="H104" s="438" t="s">
        <v>280</v>
      </c>
      <c r="I104" s="439"/>
      <c r="J104" s="734">
        <f>SUM(J93:J102)</f>
        <v>0</v>
      </c>
      <c r="K104" s="734">
        <f>(K102)</f>
        <v>0</v>
      </c>
      <c r="L104" s="735"/>
      <c r="M104" s="737"/>
    </row>
    <row r="105" spans="2:15" ht="15.25" thickTop="1">
      <c r="B105" s="443"/>
      <c r="C105" s="391"/>
      <c r="D105" s="391"/>
      <c r="E105" s="391"/>
      <c r="F105" s="391"/>
      <c r="G105" s="444"/>
      <c r="H105" s="391"/>
      <c r="I105" s="391"/>
      <c r="J105" s="391"/>
      <c r="K105" s="391"/>
      <c r="L105" s="391"/>
      <c r="M105" s="392"/>
    </row>
    <row r="106" spans="2:15">
      <c r="B106" s="782">
        <f>(B102+1)</f>
        <v>91</v>
      </c>
      <c r="C106" s="783">
        <v>1</v>
      </c>
      <c r="D106" s="784">
        <f>'Input Tally'!J24</f>
        <v>0</v>
      </c>
      <c r="E106" s="435">
        <f>IF(C106=1,E102+D106,E102)</f>
        <v>0</v>
      </c>
      <c r="F106" s="435">
        <f>IF(C102=1,F102-D102,F102)</f>
        <v>0</v>
      </c>
      <c r="G106" s="785"/>
      <c r="H106" s="783">
        <f>(H102+1)</f>
        <v>131</v>
      </c>
      <c r="I106" s="783">
        <v>1</v>
      </c>
      <c r="J106" s="784">
        <f>'Input Tally'!D69</f>
        <v>0</v>
      </c>
      <c r="K106" s="435">
        <f>IF(I106=1,K102+J106,K102)</f>
        <v>0</v>
      </c>
      <c r="L106" s="435">
        <f>IF(I102=1,L102-J102,L102)</f>
        <v>0</v>
      </c>
      <c r="M106" s="783"/>
      <c r="N106" s="390" t="s">
        <v>1322</v>
      </c>
      <c r="O106" s="390" t="str">
        <f>IF(J117='Input Tally'!D79,"OK","ERROR")</f>
        <v>OK</v>
      </c>
    </row>
    <row r="107" spans="2:15">
      <c r="B107" s="782">
        <f t="shared" ref="B107:B115" si="36">(B106+1)</f>
        <v>92</v>
      </c>
      <c r="C107" s="783">
        <v>1</v>
      </c>
      <c r="D107" s="784">
        <f>'Input Tally'!J25</f>
        <v>0</v>
      </c>
      <c r="E107" s="435">
        <f t="shared" ref="E107:E115" si="37">IF(C107=1,E106+D107,E106)</f>
        <v>0</v>
      </c>
      <c r="F107" s="435">
        <f t="shared" ref="F107:F115" si="38">IF(C106=1,F106-D106,F106)</f>
        <v>0</v>
      </c>
      <c r="G107" s="785"/>
      <c r="H107" s="783">
        <f t="shared" ref="H107:H115" si="39">(H106+1)</f>
        <v>132</v>
      </c>
      <c r="I107" s="783">
        <v>1</v>
      </c>
      <c r="J107" s="784">
        <f>'Input Tally'!D70</f>
        <v>0</v>
      </c>
      <c r="K107" s="435">
        <f t="shared" ref="K107:K115" si="40">IF(I107=1,K106+J107,K106)</f>
        <v>0</v>
      </c>
      <c r="L107" s="435">
        <f t="shared" ref="L107:L115" si="41">IF(I106=1,L106-J106,L106)</f>
        <v>0</v>
      </c>
      <c r="M107" s="783"/>
    </row>
    <row r="108" spans="2:15">
      <c r="B108" s="782">
        <f t="shared" si="36"/>
        <v>93</v>
      </c>
      <c r="C108" s="783">
        <v>1</v>
      </c>
      <c r="D108" s="784">
        <f>'Input Tally'!J26</f>
        <v>0</v>
      </c>
      <c r="E108" s="435">
        <f t="shared" si="37"/>
        <v>0</v>
      </c>
      <c r="F108" s="435">
        <f t="shared" si="38"/>
        <v>0</v>
      </c>
      <c r="G108" s="785"/>
      <c r="H108" s="783">
        <f t="shared" si="39"/>
        <v>133</v>
      </c>
      <c r="I108" s="783">
        <v>1</v>
      </c>
      <c r="J108" s="784">
        <f>'Input Tally'!D71</f>
        <v>0</v>
      </c>
      <c r="K108" s="435">
        <f t="shared" si="40"/>
        <v>0</v>
      </c>
      <c r="L108" s="435">
        <f t="shared" si="41"/>
        <v>0</v>
      </c>
      <c r="M108" s="783"/>
    </row>
    <row r="109" spans="2:15">
      <c r="B109" s="782">
        <f t="shared" si="36"/>
        <v>94</v>
      </c>
      <c r="C109" s="783">
        <v>1</v>
      </c>
      <c r="D109" s="784">
        <f>'Input Tally'!J27</f>
        <v>0</v>
      </c>
      <c r="E109" s="435">
        <f t="shared" si="37"/>
        <v>0</v>
      </c>
      <c r="F109" s="435">
        <f t="shared" si="38"/>
        <v>0</v>
      </c>
      <c r="G109" s="785"/>
      <c r="H109" s="783">
        <f t="shared" si="39"/>
        <v>134</v>
      </c>
      <c r="I109" s="783">
        <v>1</v>
      </c>
      <c r="J109" s="784">
        <f>'Input Tally'!D72</f>
        <v>0</v>
      </c>
      <c r="K109" s="435">
        <f t="shared" si="40"/>
        <v>0</v>
      </c>
      <c r="L109" s="435">
        <f t="shared" si="41"/>
        <v>0</v>
      </c>
      <c r="M109" s="783"/>
    </row>
    <row r="110" spans="2:15">
      <c r="B110" s="782">
        <f t="shared" si="36"/>
        <v>95</v>
      </c>
      <c r="C110" s="783">
        <v>1</v>
      </c>
      <c r="D110" s="784">
        <f>'Input Tally'!J28</f>
        <v>0</v>
      </c>
      <c r="E110" s="435">
        <f t="shared" si="37"/>
        <v>0</v>
      </c>
      <c r="F110" s="435">
        <f t="shared" si="38"/>
        <v>0</v>
      </c>
      <c r="G110" s="785"/>
      <c r="H110" s="783">
        <f t="shared" si="39"/>
        <v>135</v>
      </c>
      <c r="I110" s="783">
        <v>1</v>
      </c>
      <c r="J110" s="784">
        <f>'Input Tally'!D73</f>
        <v>0</v>
      </c>
      <c r="K110" s="435">
        <f t="shared" si="40"/>
        <v>0</v>
      </c>
      <c r="L110" s="435">
        <f t="shared" si="41"/>
        <v>0</v>
      </c>
      <c r="M110" s="783"/>
    </row>
    <row r="111" spans="2:15">
      <c r="B111" s="782">
        <f t="shared" si="36"/>
        <v>96</v>
      </c>
      <c r="C111" s="783">
        <v>1</v>
      </c>
      <c r="D111" s="784">
        <f>'Input Tally'!J29</f>
        <v>0</v>
      </c>
      <c r="E111" s="435">
        <f t="shared" si="37"/>
        <v>0</v>
      </c>
      <c r="F111" s="435">
        <f t="shared" si="38"/>
        <v>0</v>
      </c>
      <c r="G111" s="785"/>
      <c r="H111" s="783">
        <f t="shared" si="39"/>
        <v>136</v>
      </c>
      <c r="I111" s="783">
        <v>1</v>
      </c>
      <c r="J111" s="784">
        <f>'Input Tally'!D74</f>
        <v>0</v>
      </c>
      <c r="K111" s="435">
        <f t="shared" si="40"/>
        <v>0</v>
      </c>
      <c r="L111" s="435">
        <f t="shared" si="41"/>
        <v>0</v>
      </c>
      <c r="M111" s="783"/>
    </row>
    <row r="112" spans="2:15">
      <c r="B112" s="782">
        <f t="shared" si="36"/>
        <v>97</v>
      </c>
      <c r="C112" s="783">
        <v>1</v>
      </c>
      <c r="D112" s="784">
        <f>'Input Tally'!J30</f>
        <v>0</v>
      </c>
      <c r="E112" s="435">
        <f t="shared" si="37"/>
        <v>0</v>
      </c>
      <c r="F112" s="435">
        <f t="shared" si="38"/>
        <v>0</v>
      </c>
      <c r="G112" s="785"/>
      <c r="H112" s="783">
        <f t="shared" si="39"/>
        <v>137</v>
      </c>
      <c r="I112" s="783">
        <v>1</v>
      </c>
      <c r="J112" s="784">
        <f>'Input Tally'!D75</f>
        <v>0</v>
      </c>
      <c r="K112" s="435">
        <f t="shared" si="40"/>
        <v>0</v>
      </c>
      <c r="L112" s="435">
        <f t="shared" si="41"/>
        <v>0</v>
      </c>
      <c r="M112" s="783"/>
    </row>
    <row r="113" spans="1:15">
      <c r="B113" s="782">
        <f t="shared" si="36"/>
        <v>98</v>
      </c>
      <c r="C113" s="783">
        <v>1</v>
      </c>
      <c r="D113" s="784">
        <f>'Input Tally'!J31</f>
        <v>0</v>
      </c>
      <c r="E113" s="435">
        <f t="shared" si="37"/>
        <v>0</v>
      </c>
      <c r="F113" s="435">
        <f t="shared" si="38"/>
        <v>0</v>
      </c>
      <c r="G113" s="785"/>
      <c r="H113" s="783">
        <f t="shared" si="39"/>
        <v>138</v>
      </c>
      <c r="I113" s="783">
        <v>1</v>
      </c>
      <c r="J113" s="784">
        <f>'Input Tally'!D76</f>
        <v>0</v>
      </c>
      <c r="K113" s="435">
        <f t="shared" si="40"/>
        <v>0</v>
      </c>
      <c r="L113" s="435">
        <f t="shared" si="41"/>
        <v>0</v>
      </c>
      <c r="M113" s="783"/>
    </row>
    <row r="114" spans="1:15">
      <c r="B114" s="782">
        <f t="shared" si="36"/>
        <v>99</v>
      </c>
      <c r="C114" s="783">
        <v>1</v>
      </c>
      <c r="D114" s="784">
        <f>'Input Tally'!J32</f>
        <v>0</v>
      </c>
      <c r="E114" s="435">
        <f t="shared" si="37"/>
        <v>0</v>
      </c>
      <c r="F114" s="435">
        <f t="shared" si="38"/>
        <v>0</v>
      </c>
      <c r="G114" s="785"/>
      <c r="H114" s="783">
        <f t="shared" si="39"/>
        <v>139</v>
      </c>
      <c r="I114" s="783">
        <v>1</v>
      </c>
      <c r="J114" s="784">
        <f>'Input Tally'!D77</f>
        <v>0</v>
      </c>
      <c r="K114" s="435">
        <f t="shared" si="40"/>
        <v>0</v>
      </c>
      <c r="L114" s="435">
        <f t="shared" si="41"/>
        <v>0</v>
      </c>
      <c r="M114" s="783"/>
    </row>
    <row r="115" spans="1:15">
      <c r="B115" s="782">
        <f t="shared" si="36"/>
        <v>100</v>
      </c>
      <c r="C115" s="783">
        <v>1</v>
      </c>
      <c r="D115" s="784">
        <f>'Input Tally'!J33</f>
        <v>0</v>
      </c>
      <c r="E115" s="435">
        <f t="shared" si="37"/>
        <v>0</v>
      </c>
      <c r="F115" s="435">
        <f t="shared" si="38"/>
        <v>0</v>
      </c>
      <c r="G115" s="785"/>
      <c r="H115" s="783">
        <f t="shared" si="39"/>
        <v>140</v>
      </c>
      <c r="I115" s="783">
        <v>1</v>
      </c>
      <c r="J115" s="784">
        <f>'Input Tally'!D78</f>
        <v>0</v>
      </c>
      <c r="K115" s="435">
        <f t="shared" si="40"/>
        <v>0</v>
      </c>
      <c r="L115" s="435">
        <f t="shared" si="41"/>
        <v>0</v>
      </c>
      <c r="M115" s="783"/>
    </row>
    <row r="116" spans="1:15" ht="15">
      <c r="B116" s="436" t="s">
        <v>862</v>
      </c>
      <c r="C116" s="437"/>
      <c r="D116" s="731"/>
      <c r="E116" s="731"/>
      <c r="F116" s="732"/>
      <c r="G116" s="733"/>
      <c r="H116" s="436" t="s">
        <v>862</v>
      </c>
      <c r="I116" s="437"/>
      <c r="J116" s="731"/>
      <c r="K116" s="731"/>
      <c r="L116" s="732"/>
      <c r="M116" s="731"/>
    </row>
    <row r="117" spans="1:15" ht="15.75" customHeight="1" thickBot="1">
      <c r="B117" s="438" t="s">
        <v>280</v>
      </c>
      <c r="C117" s="439"/>
      <c r="D117" s="734">
        <f>SUM(D106:D115)</f>
        <v>0</v>
      </c>
      <c r="E117" s="734">
        <f>(E115)</f>
        <v>0</v>
      </c>
      <c r="F117" s="735"/>
      <c r="G117" s="736"/>
      <c r="H117" s="438" t="s">
        <v>280</v>
      </c>
      <c r="I117" s="439"/>
      <c r="J117" s="734">
        <f>SUM(J106:J115)</f>
        <v>0</v>
      </c>
      <c r="K117" s="734">
        <f>(K115)</f>
        <v>0</v>
      </c>
      <c r="L117" s="735"/>
      <c r="M117" s="737"/>
    </row>
    <row r="118" spans="1:15" ht="15.25" hidden="1" thickTop="1">
      <c r="A118" s="454"/>
      <c r="B118" s="2274" t="s">
        <v>870</v>
      </c>
      <c r="C118" s="2275"/>
      <c r="D118" s="2275"/>
      <c r="E118" s="2275"/>
      <c r="F118" s="2275"/>
      <c r="G118" s="2275"/>
      <c r="H118" s="2275"/>
      <c r="I118" s="2275"/>
      <c r="J118" s="2275"/>
      <c r="K118" s="2275"/>
      <c r="L118" s="2275"/>
      <c r="M118" s="2276"/>
      <c r="N118" s="454"/>
      <c r="O118" s="454"/>
    </row>
    <row r="119" spans="1:15" ht="18.45" thickTop="1">
      <c r="B119" s="445">
        <f>B2</f>
        <v>0</v>
      </c>
      <c r="C119" s="446"/>
      <c r="D119" s="446"/>
      <c r="E119" s="446"/>
      <c r="F119" s="446"/>
      <c r="G119" s="446"/>
      <c r="H119" s="446"/>
      <c r="I119" s="446"/>
      <c r="J119" s="393" t="s">
        <v>833</v>
      </c>
      <c r="K119" s="394">
        <f>IF(D126&gt;0,3,0)</f>
        <v>0</v>
      </c>
      <c r="L119" s="395" t="s">
        <v>464</v>
      </c>
      <c r="M119" s="780">
        <f>IF(K178=0,K119,M178)</f>
        <v>0</v>
      </c>
      <c r="N119" s="390">
        <v>0</v>
      </c>
    </row>
    <row r="120" spans="1:15">
      <c r="B120" s="396"/>
      <c r="M120" s="450"/>
    </row>
    <row r="121" spans="1:15">
      <c r="B121" s="448" t="s">
        <v>834</v>
      </c>
      <c r="F121" s="2252" t="str">
        <f>IF(D126&gt;0,F4," ")</f>
        <v xml:space="preserve"> </v>
      </c>
      <c r="G121" s="2253"/>
      <c r="H121" s="2253"/>
      <c r="I121" s="2253"/>
      <c r="J121" s="2253"/>
      <c r="K121" s="2254"/>
      <c r="L121" s="400" t="s">
        <v>221</v>
      </c>
      <c r="M121" s="449" t="str">
        <f>IF(K119=3,M4," ")</f>
        <v xml:space="preserve"> </v>
      </c>
    </row>
    <row r="122" spans="1:15">
      <c r="B122" s="396"/>
      <c r="M122" s="450"/>
    </row>
    <row r="123" spans="1:15">
      <c r="B123" s="451"/>
      <c r="C123" s="426"/>
      <c r="D123" s="424" t="s">
        <v>852</v>
      </c>
      <c r="E123" s="424" t="s">
        <v>280</v>
      </c>
      <c r="F123" s="424" t="s">
        <v>853</v>
      </c>
      <c r="G123" s="425"/>
      <c r="H123" s="426"/>
      <c r="I123" s="426"/>
      <c r="J123" s="424" t="s">
        <v>852</v>
      </c>
      <c r="K123" s="424" t="s">
        <v>280</v>
      </c>
      <c r="L123" s="424" t="s">
        <v>853</v>
      </c>
      <c r="M123" s="426"/>
    </row>
    <row r="124" spans="1:15">
      <c r="B124" s="427" t="s">
        <v>854</v>
      </c>
      <c r="C124" s="428" t="s">
        <v>863</v>
      </c>
      <c r="D124" s="428" t="s">
        <v>856</v>
      </c>
      <c r="E124" s="428" t="s">
        <v>857</v>
      </c>
      <c r="F124" s="428" t="s">
        <v>858</v>
      </c>
      <c r="G124" s="429"/>
      <c r="H124" s="428" t="s">
        <v>854</v>
      </c>
      <c r="I124" s="428" t="s">
        <v>863</v>
      </c>
      <c r="J124" s="428" t="s">
        <v>856</v>
      </c>
      <c r="K124" s="428" t="s">
        <v>857</v>
      </c>
      <c r="L124" s="428" t="s">
        <v>858</v>
      </c>
      <c r="M124" s="401"/>
    </row>
    <row r="125" spans="1:15" ht="15.65" thickBot="1">
      <c r="B125" s="430" t="s">
        <v>859</v>
      </c>
      <c r="C125" s="455" t="s">
        <v>864</v>
      </c>
      <c r="D125" s="432" t="str">
        <f>E125</f>
        <v xml:space="preserve">m </v>
      </c>
      <c r="E125" s="432" t="str">
        <f>F125</f>
        <v xml:space="preserve">m </v>
      </c>
      <c r="F125" s="432" t="str">
        <f>J125</f>
        <v xml:space="preserve">m </v>
      </c>
      <c r="G125" s="456" t="s">
        <v>869</v>
      </c>
      <c r="H125" s="432" t="s">
        <v>859</v>
      </c>
      <c r="I125" s="455" t="s">
        <v>864</v>
      </c>
      <c r="J125" s="432" t="str">
        <f>K125</f>
        <v xml:space="preserve">m </v>
      </c>
      <c r="K125" s="432" t="str">
        <f>L125</f>
        <v xml:space="preserve">m </v>
      </c>
      <c r="L125" s="432" t="str">
        <f>L66</f>
        <v xml:space="preserve">m </v>
      </c>
      <c r="M125" s="432" t="s">
        <v>869</v>
      </c>
    </row>
    <row r="126" spans="1:15" ht="15.25" thickTop="1">
      <c r="B126" s="786">
        <f>(H115+1)</f>
        <v>141</v>
      </c>
      <c r="C126" s="787">
        <v>1</v>
      </c>
      <c r="D126" s="784">
        <f>'Input Tally'!F58</f>
        <v>0</v>
      </c>
      <c r="E126" s="452">
        <f>IF(C126=1,K115+D126,K115)</f>
        <v>0</v>
      </c>
      <c r="F126" s="452">
        <f>IF(I115=1,L115-J115,L115)</f>
        <v>0</v>
      </c>
      <c r="G126" s="788"/>
      <c r="H126" s="787">
        <f>(B174+1)</f>
        <v>181</v>
      </c>
      <c r="I126" s="787">
        <v>1</v>
      </c>
      <c r="J126" s="784">
        <f>'Input Tally'!J58</f>
        <v>0</v>
      </c>
      <c r="K126" s="452">
        <f>IF(I126=1,E174+J126,E174)</f>
        <v>0</v>
      </c>
      <c r="L126" s="452">
        <f>IF(C174=1,F174-D174,F174)</f>
        <v>0</v>
      </c>
      <c r="M126" s="787"/>
      <c r="N126" s="390" t="s">
        <v>1323</v>
      </c>
      <c r="O126" s="390" t="str">
        <f>IF(D137='Input Tally'!F68,"OK","ERROR")</f>
        <v>OK</v>
      </c>
    </row>
    <row r="127" spans="1:15">
      <c r="B127" s="782">
        <f t="shared" ref="B127:B135" si="42">(B126+1)</f>
        <v>142</v>
      </c>
      <c r="C127" s="783">
        <v>1</v>
      </c>
      <c r="D127" s="784">
        <f>'Input Tally'!F59</f>
        <v>0</v>
      </c>
      <c r="E127" s="435">
        <f t="shared" ref="E127:E135" si="43">IF(C127=1,E126+D127,E126)</f>
        <v>0</v>
      </c>
      <c r="F127" s="435">
        <f t="shared" ref="F127:F135" si="44">IF(C126=1,F126-D126,F126)</f>
        <v>0</v>
      </c>
      <c r="G127" s="785"/>
      <c r="H127" s="783">
        <f t="shared" ref="H127:H135" si="45">(H126+1)</f>
        <v>182</v>
      </c>
      <c r="I127" s="783">
        <v>1</v>
      </c>
      <c r="J127" s="784">
        <f>'Input Tally'!J59</f>
        <v>0</v>
      </c>
      <c r="K127" s="435">
        <f t="shared" ref="K127:K135" si="46">IF(I127=1,K126+J127,K126)</f>
        <v>0</v>
      </c>
      <c r="L127" s="435">
        <f t="shared" ref="L127:L135" si="47">IF(I126=1,L126-J126,L126)</f>
        <v>0</v>
      </c>
      <c r="M127" s="783"/>
    </row>
    <row r="128" spans="1:15">
      <c r="B128" s="782">
        <f t="shared" si="42"/>
        <v>143</v>
      </c>
      <c r="C128" s="783">
        <v>1</v>
      </c>
      <c r="D128" s="784">
        <f>'Input Tally'!F60</f>
        <v>0</v>
      </c>
      <c r="E128" s="435">
        <f t="shared" si="43"/>
        <v>0</v>
      </c>
      <c r="F128" s="435">
        <f t="shared" si="44"/>
        <v>0</v>
      </c>
      <c r="G128" s="785"/>
      <c r="H128" s="783">
        <f t="shared" si="45"/>
        <v>183</v>
      </c>
      <c r="I128" s="783">
        <v>1</v>
      </c>
      <c r="J128" s="784">
        <f>'Input Tally'!J60</f>
        <v>0</v>
      </c>
      <c r="K128" s="435">
        <f t="shared" si="46"/>
        <v>0</v>
      </c>
      <c r="L128" s="435">
        <f t="shared" si="47"/>
        <v>0</v>
      </c>
      <c r="M128" s="783"/>
    </row>
    <row r="129" spans="2:15">
      <c r="B129" s="782">
        <f t="shared" si="42"/>
        <v>144</v>
      </c>
      <c r="C129" s="783">
        <v>1</v>
      </c>
      <c r="D129" s="784">
        <f>'Input Tally'!F61</f>
        <v>0</v>
      </c>
      <c r="E129" s="435">
        <f t="shared" si="43"/>
        <v>0</v>
      </c>
      <c r="F129" s="435">
        <f t="shared" si="44"/>
        <v>0</v>
      </c>
      <c r="G129" s="785"/>
      <c r="H129" s="783">
        <f t="shared" si="45"/>
        <v>184</v>
      </c>
      <c r="I129" s="783">
        <v>1</v>
      </c>
      <c r="J129" s="784">
        <f>'Input Tally'!J61</f>
        <v>0</v>
      </c>
      <c r="K129" s="435">
        <f t="shared" si="46"/>
        <v>0</v>
      </c>
      <c r="L129" s="435">
        <f t="shared" si="47"/>
        <v>0</v>
      </c>
      <c r="M129" s="783"/>
      <c r="N129" s="390" t="s">
        <v>1324</v>
      </c>
      <c r="O129" s="390" t="str">
        <f>IF(J137='Input Tally'!J68,"OK","ERROR")</f>
        <v>OK</v>
      </c>
    </row>
    <row r="130" spans="2:15">
      <c r="B130" s="782">
        <f t="shared" si="42"/>
        <v>145</v>
      </c>
      <c r="C130" s="783">
        <v>1</v>
      </c>
      <c r="D130" s="784">
        <f>'Input Tally'!F62</f>
        <v>0</v>
      </c>
      <c r="E130" s="435">
        <f t="shared" si="43"/>
        <v>0</v>
      </c>
      <c r="F130" s="435">
        <f t="shared" si="44"/>
        <v>0</v>
      </c>
      <c r="G130" s="785"/>
      <c r="H130" s="783">
        <f t="shared" si="45"/>
        <v>185</v>
      </c>
      <c r="I130" s="783">
        <v>1</v>
      </c>
      <c r="J130" s="784">
        <f>'Input Tally'!J62</f>
        <v>0</v>
      </c>
      <c r="K130" s="435">
        <f t="shared" si="46"/>
        <v>0</v>
      </c>
      <c r="L130" s="435">
        <f t="shared" si="47"/>
        <v>0</v>
      </c>
      <c r="M130" s="783"/>
    </row>
    <row r="131" spans="2:15">
      <c r="B131" s="782">
        <f t="shared" si="42"/>
        <v>146</v>
      </c>
      <c r="C131" s="783">
        <v>1</v>
      </c>
      <c r="D131" s="784">
        <f>'Input Tally'!F63</f>
        <v>0</v>
      </c>
      <c r="E131" s="435">
        <f t="shared" si="43"/>
        <v>0</v>
      </c>
      <c r="F131" s="435">
        <f t="shared" si="44"/>
        <v>0</v>
      </c>
      <c r="G131" s="785"/>
      <c r="H131" s="783">
        <f t="shared" si="45"/>
        <v>186</v>
      </c>
      <c r="I131" s="783">
        <v>1</v>
      </c>
      <c r="J131" s="784">
        <f>'Input Tally'!J63</f>
        <v>0</v>
      </c>
      <c r="K131" s="435">
        <f t="shared" si="46"/>
        <v>0</v>
      </c>
      <c r="L131" s="435">
        <f t="shared" si="47"/>
        <v>0</v>
      </c>
      <c r="M131" s="783"/>
    </row>
    <row r="132" spans="2:15">
      <c r="B132" s="782">
        <f t="shared" si="42"/>
        <v>147</v>
      </c>
      <c r="C132" s="783">
        <v>1</v>
      </c>
      <c r="D132" s="784">
        <f>'Input Tally'!F64</f>
        <v>0</v>
      </c>
      <c r="E132" s="435">
        <f t="shared" si="43"/>
        <v>0</v>
      </c>
      <c r="F132" s="435">
        <f t="shared" si="44"/>
        <v>0</v>
      </c>
      <c r="G132" s="785"/>
      <c r="H132" s="783">
        <f t="shared" si="45"/>
        <v>187</v>
      </c>
      <c r="I132" s="783">
        <v>1</v>
      </c>
      <c r="J132" s="784">
        <f>'Input Tally'!J64</f>
        <v>0</v>
      </c>
      <c r="K132" s="435">
        <f t="shared" si="46"/>
        <v>0</v>
      </c>
      <c r="L132" s="435">
        <f t="shared" si="47"/>
        <v>0</v>
      </c>
      <c r="M132" s="783"/>
    </row>
    <row r="133" spans="2:15">
      <c r="B133" s="782">
        <f t="shared" si="42"/>
        <v>148</v>
      </c>
      <c r="C133" s="783">
        <v>1</v>
      </c>
      <c r="D133" s="784">
        <f>'Input Tally'!F65</f>
        <v>0</v>
      </c>
      <c r="E133" s="435">
        <f t="shared" si="43"/>
        <v>0</v>
      </c>
      <c r="F133" s="435">
        <f t="shared" si="44"/>
        <v>0</v>
      </c>
      <c r="G133" s="785"/>
      <c r="H133" s="783">
        <f t="shared" si="45"/>
        <v>188</v>
      </c>
      <c r="I133" s="783">
        <v>1</v>
      </c>
      <c r="J133" s="784">
        <f>'Input Tally'!J65</f>
        <v>0</v>
      </c>
      <c r="K133" s="435">
        <f t="shared" si="46"/>
        <v>0</v>
      </c>
      <c r="L133" s="435">
        <f t="shared" si="47"/>
        <v>0</v>
      </c>
      <c r="M133" s="783"/>
    </row>
    <row r="134" spans="2:15">
      <c r="B134" s="782">
        <f t="shared" si="42"/>
        <v>149</v>
      </c>
      <c r="C134" s="783">
        <v>1</v>
      </c>
      <c r="D134" s="784">
        <f>'Input Tally'!F66</f>
        <v>0</v>
      </c>
      <c r="E134" s="435">
        <f t="shared" si="43"/>
        <v>0</v>
      </c>
      <c r="F134" s="435">
        <f t="shared" si="44"/>
        <v>0</v>
      </c>
      <c r="G134" s="785"/>
      <c r="H134" s="783">
        <f t="shared" si="45"/>
        <v>189</v>
      </c>
      <c r="I134" s="783">
        <v>1</v>
      </c>
      <c r="J134" s="784">
        <f>'Input Tally'!J66</f>
        <v>0</v>
      </c>
      <c r="K134" s="435">
        <f t="shared" si="46"/>
        <v>0</v>
      </c>
      <c r="L134" s="435">
        <f t="shared" si="47"/>
        <v>0</v>
      </c>
      <c r="M134" s="783"/>
    </row>
    <row r="135" spans="2:15">
      <c r="B135" s="782">
        <f t="shared" si="42"/>
        <v>150</v>
      </c>
      <c r="C135" s="783">
        <v>1</v>
      </c>
      <c r="D135" s="784">
        <f>'Input Tally'!F67</f>
        <v>0</v>
      </c>
      <c r="E135" s="435">
        <f t="shared" si="43"/>
        <v>0</v>
      </c>
      <c r="F135" s="435">
        <f t="shared" si="44"/>
        <v>0</v>
      </c>
      <c r="G135" s="785"/>
      <c r="H135" s="783">
        <f t="shared" si="45"/>
        <v>190</v>
      </c>
      <c r="I135" s="783">
        <v>1</v>
      </c>
      <c r="J135" s="784">
        <f>'Input Tally'!J67</f>
        <v>0</v>
      </c>
      <c r="K135" s="435">
        <f t="shared" si="46"/>
        <v>0</v>
      </c>
      <c r="L135" s="435">
        <f t="shared" si="47"/>
        <v>0</v>
      </c>
      <c r="M135" s="783"/>
    </row>
    <row r="136" spans="2:15" ht="15">
      <c r="B136" s="436" t="s">
        <v>862</v>
      </c>
      <c r="C136" s="437"/>
      <c r="D136" s="731"/>
      <c r="E136" s="731"/>
      <c r="F136" s="732"/>
      <c r="G136" s="733"/>
      <c r="H136" s="436" t="s">
        <v>862</v>
      </c>
      <c r="I136" s="437"/>
      <c r="J136" s="731"/>
      <c r="K136" s="731"/>
      <c r="L136" s="732"/>
      <c r="M136" s="731"/>
    </row>
    <row r="137" spans="2:15" ht="15.65" thickBot="1">
      <c r="B137" s="438" t="s">
        <v>280</v>
      </c>
      <c r="C137" s="439"/>
      <c r="D137" s="734">
        <f>SUM(D126:D135)</f>
        <v>0</v>
      </c>
      <c r="E137" s="734">
        <f>(E135)</f>
        <v>0</v>
      </c>
      <c r="F137" s="735"/>
      <c r="G137" s="736"/>
      <c r="H137" s="438" t="s">
        <v>280</v>
      </c>
      <c r="I137" s="439"/>
      <c r="J137" s="734">
        <f>SUM(J126:J135)</f>
        <v>0</v>
      </c>
      <c r="K137" s="734">
        <f>(K135)</f>
        <v>0</v>
      </c>
      <c r="L137" s="735"/>
      <c r="M137" s="737"/>
    </row>
    <row r="138" spans="2:15" ht="15.25" thickTop="1">
      <c r="B138" s="443"/>
      <c r="C138" s="391"/>
      <c r="D138" s="391"/>
      <c r="E138" s="391"/>
      <c r="F138" s="391"/>
      <c r="G138" s="444"/>
      <c r="H138" s="391"/>
      <c r="I138" s="391"/>
      <c r="J138" s="391"/>
      <c r="K138" s="391"/>
      <c r="L138" s="391"/>
      <c r="M138" s="392"/>
    </row>
    <row r="139" spans="2:15">
      <c r="B139" s="782">
        <f>(B135+1)</f>
        <v>151</v>
      </c>
      <c r="C139" s="783">
        <v>1</v>
      </c>
      <c r="D139" s="784">
        <f>'Input Tally'!F69</f>
        <v>0</v>
      </c>
      <c r="E139" s="435">
        <f>IF(C139=1,E135+D139,E135)</f>
        <v>0</v>
      </c>
      <c r="F139" s="435">
        <f>IF(C135=1,F135-D135,F135)</f>
        <v>0</v>
      </c>
      <c r="G139" s="785"/>
      <c r="H139" s="783">
        <f>(H135+1)</f>
        <v>191</v>
      </c>
      <c r="I139" s="783">
        <v>1</v>
      </c>
      <c r="J139" s="784">
        <f>'Input Tally'!J69</f>
        <v>0</v>
      </c>
      <c r="K139" s="435">
        <f>IF(I139=1,K135+J139,K135)</f>
        <v>0</v>
      </c>
      <c r="L139" s="435">
        <f>IF(I135=1,L135-J135,L135)</f>
        <v>0</v>
      </c>
      <c r="M139" s="783"/>
      <c r="N139" s="390" t="s">
        <v>1325</v>
      </c>
      <c r="O139" s="390" t="str">
        <f>IF(D150='Input Tally'!F79,"OK","ERROR")</f>
        <v>OK</v>
      </c>
    </row>
    <row r="140" spans="2:15">
      <c r="B140" s="782">
        <f t="shared" ref="B140:B148" si="48">(B139+1)</f>
        <v>152</v>
      </c>
      <c r="C140" s="783">
        <v>1</v>
      </c>
      <c r="D140" s="784">
        <f>'Input Tally'!F70</f>
        <v>0</v>
      </c>
      <c r="E140" s="435">
        <f t="shared" ref="E140:E148" si="49">IF(C140=1,E139+D140,E139)</f>
        <v>0</v>
      </c>
      <c r="F140" s="435">
        <f t="shared" ref="F140:F148" si="50">IF(C139=1,F139-D139,F139)</f>
        <v>0</v>
      </c>
      <c r="G140" s="785"/>
      <c r="H140" s="783">
        <f t="shared" ref="H140:H148" si="51">(H139+1)</f>
        <v>192</v>
      </c>
      <c r="I140" s="783">
        <v>1</v>
      </c>
      <c r="J140" s="784">
        <f>'Input Tally'!J70</f>
        <v>0</v>
      </c>
      <c r="K140" s="435">
        <f t="shared" ref="K140:K148" si="52">IF(I140=1,K139+J140,K139)</f>
        <v>0</v>
      </c>
      <c r="L140" s="435">
        <f t="shared" ref="L140:L148" si="53">IF(I139=1,L139-J139,L139)</f>
        <v>0</v>
      </c>
      <c r="M140" s="783"/>
    </row>
    <row r="141" spans="2:15">
      <c r="B141" s="782">
        <f t="shared" si="48"/>
        <v>153</v>
      </c>
      <c r="C141" s="783">
        <v>1</v>
      </c>
      <c r="D141" s="784">
        <f>'Input Tally'!F71</f>
        <v>0</v>
      </c>
      <c r="E141" s="435">
        <f t="shared" si="49"/>
        <v>0</v>
      </c>
      <c r="F141" s="435">
        <f t="shared" si="50"/>
        <v>0</v>
      </c>
      <c r="G141" s="785"/>
      <c r="H141" s="783">
        <f t="shared" si="51"/>
        <v>193</v>
      </c>
      <c r="I141" s="783">
        <v>1</v>
      </c>
      <c r="J141" s="784">
        <f>'Input Tally'!J71</f>
        <v>0</v>
      </c>
      <c r="K141" s="435">
        <f t="shared" si="52"/>
        <v>0</v>
      </c>
      <c r="L141" s="435">
        <f t="shared" si="53"/>
        <v>0</v>
      </c>
      <c r="M141" s="783"/>
    </row>
    <row r="142" spans="2:15">
      <c r="B142" s="782">
        <f t="shared" si="48"/>
        <v>154</v>
      </c>
      <c r="C142" s="783">
        <v>1</v>
      </c>
      <c r="D142" s="784">
        <f>'Input Tally'!F72</f>
        <v>0</v>
      </c>
      <c r="E142" s="435">
        <f t="shared" si="49"/>
        <v>0</v>
      </c>
      <c r="F142" s="435">
        <f t="shared" si="50"/>
        <v>0</v>
      </c>
      <c r="G142" s="785"/>
      <c r="H142" s="783">
        <f t="shared" si="51"/>
        <v>194</v>
      </c>
      <c r="I142" s="783">
        <v>1</v>
      </c>
      <c r="J142" s="784">
        <f>'Input Tally'!J72</f>
        <v>0</v>
      </c>
      <c r="K142" s="435">
        <f t="shared" si="52"/>
        <v>0</v>
      </c>
      <c r="L142" s="435">
        <f t="shared" si="53"/>
        <v>0</v>
      </c>
      <c r="M142" s="783"/>
      <c r="N142" s="390" t="s">
        <v>1326</v>
      </c>
      <c r="O142" s="390" t="str">
        <f>IF(J150='Input Tally'!J79,"OK","ERROR")</f>
        <v>OK</v>
      </c>
    </row>
    <row r="143" spans="2:15">
      <c r="B143" s="782">
        <f t="shared" si="48"/>
        <v>155</v>
      </c>
      <c r="C143" s="783">
        <v>1</v>
      </c>
      <c r="D143" s="784">
        <f>'Input Tally'!F73</f>
        <v>0</v>
      </c>
      <c r="E143" s="435">
        <f t="shared" si="49"/>
        <v>0</v>
      </c>
      <c r="F143" s="435">
        <f t="shared" si="50"/>
        <v>0</v>
      </c>
      <c r="G143" s="785"/>
      <c r="H143" s="783">
        <f t="shared" si="51"/>
        <v>195</v>
      </c>
      <c r="I143" s="783">
        <v>1</v>
      </c>
      <c r="J143" s="784">
        <f>'Input Tally'!J73</f>
        <v>0</v>
      </c>
      <c r="K143" s="435">
        <f t="shared" si="52"/>
        <v>0</v>
      </c>
      <c r="L143" s="435">
        <f t="shared" si="53"/>
        <v>0</v>
      </c>
      <c r="M143" s="783"/>
    </row>
    <row r="144" spans="2:15">
      <c r="B144" s="782">
        <f t="shared" si="48"/>
        <v>156</v>
      </c>
      <c r="C144" s="783">
        <v>1</v>
      </c>
      <c r="D144" s="784">
        <f>'Input Tally'!F74</f>
        <v>0</v>
      </c>
      <c r="E144" s="435">
        <f t="shared" si="49"/>
        <v>0</v>
      </c>
      <c r="F144" s="435">
        <f t="shared" si="50"/>
        <v>0</v>
      </c>
      <c r="G144" s="785"/>
      <c r="H144" s="783">
        <f t="shared" si="51"/>
        <v>196</v>
      </c>
      <c r="I144" s="783">
        <v>1</v>
      </c>
      <c r="J144" s="784">
        <f>'Input Tally'!J74</f>
        <v>0</v>
      </c>
      <c r="K144" s="435">
        <f t="shared" si="52"/>
        <v>0</v>
      </c>
      <c r="L144" s="435">
        <f t="shared" si="53"/>
        <v>0</v>
      </c>
      <c r="M144" s="783"/>
    </row>
    <row r="145" spans="2:15">
      <c r="B145" s="782">
        <f t="shared" si="48"/>
        <v>157</v>
      </c>
      <c r="C145" s="783">
        <v>1</v>
      </c>
      <c r="D145" s="784">
        <f>'Input Tally'!F75</f>
        <v>0</v>
      </c>
      <c r="E145" s="435">
        <f t="shared" si="49"/>
        <v>0</v>
      </c>
      <c r="F145" s="435">
        <f t="shared" si="50"/>
        <v>0</v>
      </c>
      <c r="G145" s="785"/>
      <c r="H145" s="783">
        <f t="shared" si="51"/>
        <v>197</v>
      </c>
      <c r="I145" s="783">
        <v>1</v>
      </c>
      <c r="J145" s="784">
        <f>'Input Tally'!J75</f>
        <v>0</v>
      </c>
      <c r="K145" s="435">
        <f t="shared" si="52"/>
        <v>0</v>
      </c>
      <c r="L145" s="435">
        <f t="shared" si="53"/>
        <v>0</v>
      </c>
      <c r="M145" s="783"/>
    </row>
    <row r="146" spans="2:15">
      <c r="B146" s="782">
        <f t="shared" si="48"/>
        <v>158</v>
      </c>
      <c r="C146" s="783">
        <v>1</v>
      </c>
      <c r="D146" s="784">
        <f>'Input Tally'!F76</f>
        <v>0</v>
      </c>
      <c r="E146" s="435">
        <f t="shared" si="49"/>
        <v>0</v>
      </c>
      <c r="F146" s="435">
        <f t="shared" si="50"/>
        <v>0</v>
      </c>
      <c r="G146" s="785"/>
      <c r="H146" s="783">
        <f t="shared" si="51"/>
        <v>198</v>
      </c>
      <c r="I146" s="783">
        <v>1</v>
      </c>
      <c r="J146" s="784">
        <f>'Input Tally'!J76</f>
        <v>0</v>
      </c>
      <c r="K146" s="435">
        <f t="shared" si="52"/>
        <v>0</v>
      </c>
      <c r="L146" s="435">
        <f t="shared" si="53"/>
        <v>0</v>
      </c>
      <c r="M146" s="783"/>
    </row>
    <row r="147" spans="2:15">
      <c r="B147" s="782">
        <f t="shared" si="48"/>
        <v>159</v>
      </c>
      <c r="C147" s="783">
        <v>1</v>
      </c>
      <c r="D147" s="784">
        <f>'Input Tally'!F77</f>
        <v>0</v>
      </c>
      <c r="E147" s="435">
        <f t="shared" si="49"/>
        <v>0</v>
      </c>
      <c r="F147" s="435">
        <f t="shared" si="50"/>
        <v>0</v>
      </c>
      <c r="G147" s="785"/>
      <c r="H147" s="783">
        <f t="shared" si="51"/>
        <v>199</v>
      </c>
      <c r="I147" s="783">
        <v>1</v>
      </c>
      <c r="J147" s="784">
        <f>'Input Tally'!J77</f>
        <v>0</v>
      </c>
      <c r="K147" s="435">
        <f t="shared" si="52"/>
        <v>0</v>
      </c>
      <c r="L147" s="435">
        <f t="shared" si="53"/>
        <v>0</v>
      </c>
      <c r="M147" s="783"/>
    </row>
    <row r="148" spans="2:15">
      <c r="B148" s="782">
        <f t="shared" si="48"/>
        <v>160</v>
      </c>
      <c r="C148" s="783">
        <v>1</v>
      </c>
      <c r="D148" s="784">
        <f>'Input Tally'!F78</f>
        <v>0</v>
      </c>
      <c r="E148" s="435">
        <f t="shared" si="49"/>
        <v>0</v>
      </c>
      <c r="F148" s="435">
        <f t="shared" si="50"/>
        <v>0</v>
      </c>
      <c r="G148" s="785"/>
      <c r="H148" s="783">
        <f t="shared" si="51"/>
        <v>200</v>
      </c>
      <c r="I148" s="783">
        <v>1</v>
      </c>
      <c r="J148" s="784">
        <f>'Input Tally'!J78</f>
        <v>0</v>
      </c>
      <c r="K148" s="435">
        <f t="shared" si="52"/>
        <v>0</v>
      </c>
      <c r="L148" s="435">
        <f t="shared" si="53"/>
        <v>0</v>
      </c>
      <c r="M148" s="783"/>
    </row>
    <row r="149" spans="2:15" ht="15">
      <c r="B149" s="436" t="s">
        <v>862</v>
      </c>
      <c r="C149" s="437"/>
      <c r="D149" s="731"/>
      <c r="E149" s="731"/>
      <c r="F149" s="732"/>
      <c r="G149" s="733"/>
      <c r="H149" s="436" t="s">
        <v>862</v>
      </c>
      <c r="I149" s="437"/>
      <c r="J149" s="731"/>
      <c r="K149" s="731"/>
      <c r="L149" s="732"/>
      <c r="M149" s="731"/>
    </row>
    <row r="150" spans="2:15" ht="15.65" thickBot="1">
      <c r="B150" s="438" t="s">
        <v>280</v>
      </c>
      <c r="C150" s="439"/>
      <c r="D150" s="734">
        <f>SUM(D139:D148)</f>
        <v>0</v>
      </c>
      <c r="E150" s="734">
        <f>(E148)</f>
        <v>0</v>
      </c>
      <c r="F150" s="735"/>
      <c r="G150" s="736"/>
      <c r="H150" s="438" t="s">
        <v>280</v>
      </c>
      <c r="I150" s="439"/>
      <c r="J150" s="734">
        <f>SUM(J139:J148)</f>
        <v>0</v>
      </c>
      <c r="K150" s="734">
        <f>(K148)</f>
        <v>0</v>
      </c>
      <c r="L150" s="735"/>
      <c r="M150" s="737"/>
    </row>
    <row r="151" spans="2:15" ht="15.25" thickTop="1">
      <c r="B151" s="443"/>
      <c r="C151" s="391"/>
      <c r="D151" s="391"/>
      <c r="E151" s="391"/>
      <c r="F151" s="391"/>
      <c r="G151" s="444"/>
      <c r="H151" s="391"/>
      <c r="I151" s="391"/>
      <c r="J151" s="391"/>
      <c r="K151" s="391"/>
      <c r="L151" s="391"/>
      <c r="M151" s="392"/>
    </row>
    <row r="152" spans="2:15">
      <c r="B152" s="782">
        <f>(B148+1)</f>
        <v>161</v>
      </c>
      <c r="C152" s="783">
        <v>1</v>
      </c>
      <c r="D152" s="784">
        <f>'Input Tally'!H58</f>
        <v>0</v>
      </c>
      <c r="E152" s="435">
        <f>IF(C152=1,E148+D152,E148)</f>
        <v>0</v>
      </c>
      <c r="F152" s="435">
        <f>IF(C148=1,F148-D148,F148)</f>
        <v>0</v>
      </c>
      <c r="G152" s="785"/>
      <c r="H152" s="783">
        <f>(H148+1)</f>
        <v>201</v>
      </c>
      <c r="I152" s="783">
        <v>1</v>
      </c>
      <c r="J152" s="784">
        <f>'Input Tally'!B103</f>
        <v>0</v>
      </c>
      <c r="K152" s="435">
        <f>IF(I152=1,K148+J152,K148)</f>
        <v>0</v>
      </c>
      <c r="L152" s="435">
        <f>IF(I148=1,L148-J148,L148)</f>
        <v>0</v>
      </c>
      <c r="M152" s="783"/>
      <c r="N152" s="390" t="s">
        <v>1327</v>
      </c>
      <c r="O152" s="390" t="str">
        <f>IF(D163='Input Tally'!H68,"OK","ERROR")</f>
        <v>OK</v>
      </c>
    </row>
    <row r="153" spans="2:15">
      <c r="B153" s="782">
        <f t="shared" ref="B153:B161" si="54">(B152+1)</f>
        <v>162</v>
      </c>
      <c r="C153" s="783">
        <v>1</v>
      </c>
      <c r="D153" s="784">
        <f>'Input Tally'!H59</f>
        <v>0</v>
      </c>
      <c r="E153" s="435">
        <f t="shared" ref="E153:E161" si="55">IF(C153=1,E152+D153,E152)</f>
        <v>0</v>
      </c>
      <c r="F153" s="435">
        <f t="shared" ref="F153:F161" si="56">IF(C152=1,F152-D152,F152)</f>
        <v>0</v>
      </c>
      <c r="G153" s="785"/>
      <c r="H153" s="783">
        <f t="shared" ref="H153:H161" si="57">(H152+1)</f>
        <v>202</v>
      </c>
      <c r="I153" s="783">
        <v>1</v>
      </c>
      <c r="J153" s="784">
        <f>'Input Tally'!B104</f>
        <v>0</v>
      </c>
      <c r="K153" s="435">
        <f t="shared" ref="K153:K161" si="58">IF(I153=1,K152+J153,K152)</f>
        <v>0</v>
      </c>
      <c r="L153" s="435">
        <f t="shared" ref="L153:L161" si="59">IF(I152=1,L152-J152,L152)</f>
        <v>0</v>
      </c>
      <c r="M153" s="783"/>
    </row>
    <row r="154" spans="2:15">
      <c r="B154" s="782">
        <f t="shared" si="54"/>
        <v>163</v>
      </c>
      <c r="C154" s="783">
        <v>1</v>
      </c>
      <c r="D154" s="784">
        <f>'Input Tally'!H60</f>
        <v>0</v>
      </c>
      <c r="E154" s="435">
        <f t="shared" si="55"/>
        <v>0</v>
      </c>
      <c r="F154" s="435">
        <f t="shared" si="56"/>
        <v>0</v>
      </c>
      <c r="G154" s="785"/>
      <c r="H154" s="783">
        <f t="shared" si="57"/>
        <v>203</v>
      </c>
      <c r="I154" s="783">
        <v>1</v>
      </c>
      <c r="J154" s="784">
        <f>'Input Tally'!B105</f>
        <v>0</v>
      </c>
      <c r="K154" s="435">
        <f t="shared" si="58"/>
        <v>0</v>
      </c>
      <c r="L154" s="435">
        <f t="shared" si="59"/>
        <v>0</v>
      </c>
      <c r="M154" s="783"/>
    </row>
    <row r="155" spans="2:15">
      <c r="B155" s="782">
        <f t="shared" si="54"/>
        <v>164</v>
      </c>
      <c r="C155" s="783">
        <v>1</v>
      </c>
      <c r="D155" s="784">
        <f>'Input Tally'!H61</f>
        <v>0</v>
      </c>
      <c r="E155" s="435">
        <f t="shared" si="55"/>
        <v>0</v>
      </c>
      <c r="F155" s="435">
        <f t="shared" si="56"/>
        <v>0</v>
      </c>
      <c r="G155" s="785"/>
      <c r="H155" s="783">
        <f t="shared" si="57"/>
        <v>204</v>
      </c>
      <c r="I155" s="783">
        <v>1</v>
      </c>
      <c r="J155" s="784">
        <f>'Input Tally'!B106</f>
        <v>0</v>
      </c>
      <c r="K155" s="435">
        <f t="shared" si="58"/>
        <v>0</v>
      </c>
      <c r="L155" s="435">
        <f t="shared" si="59"/>
        <v>0</v>
      </c>
      <c r="M155" s="783"/>
      <c r="N155" s="390" t="s">
        <v>1328</v>
      </c>
      <c r="O155" s="390" t="str">
        <f>IF(J163='Input Tally'!B113,"OK","ERROR")</f>
        <v>OK</v>
      </c>
    </row>
    <row r="156" spans="2:15">
      <c r="B156" s="782">
        <f t="shared" si="54"/>
        <v>165</v>
      </c>
      <c r="C156" s="783">
        <v>1</v>
      </c>
      <c r="D156" s="784">
        <f>'Input Tally'!H62</f>
        <v>0</v>
      </c>
      <c r="E156" s="435">
        <f t="shared" si="55"/>
        <v>0</v>
      </c>
      <c r="F156" s="435">
        <f t="shared" si="56"/>
        <v>0</v>
      </c>
      <c r="G156" s="785"/>
      <c r="H156" s="783">
        <f t="shared" si="57"/>
        <v>205</v>
      </c>
      <c r="I156" s="783">
        <v>1</v>
      </c>
      <c r="J156" s="784">
        <f>'Input Tally'!B107</f>
        <v>0</v>
      </c>
      <c r="K156" s="435">
        <f t="shared" si="58"/>
        <v>0</v>
      </c>
      <c r="L156" s="435">
        <f t="shared" si="59"/>
        <v>0</v>
      </c>
      <c r="M156" s="783"/>
    </row>
    <row r="157" spans="2:15">
      <c r="B157" s="782">
        <f t="shared" si="54"/>
        <v>166</v>
      </c>
      <c r="C157" s="783">
        <v>1</v>
      </c>
      <c r="D157" s="784">
        <f>'Input Tally'!H63</f>
        <v>0</v>
      </c>
      <c r="E157" s="435">
        <f t="shared" si="55"/>
        <v>0</v>
      </c>
      <c r="F157" s="435">
        <f t="shared" si="56"/>
        <v>0</v>
      </c>
      <c r="G157" s="785"/>
      <c r="H157" s="783">
        <f t="shared" si="57"/>
        <v>206</v>
      </c>
      <c r="I157" s="783">
        <v>1</v>
      </c>
      <c r="J157" s="784">
        <f>'Input Tally'!B108</f>
        <v>0</v>
      </c>
      <c r="K157" s="435">
        <f t="shared" si="58"/>
        <v>0</v>
      </c>
      <c r="L157" s="435">
        <f t="shared" si="59"/>
        <v>0</v>
      </c>
      <c r="M157" s="783"/>
    </row>
    <row r="158" spans="2:15">
      <c r="B158" s="782">
        <f t="shared" si="54"/>
        <v>167</v>
      </c>
      <c r="C158" s="783">
        <v>1</v>
      </c>
      <c r="D158" s="784">
        <f>'Input Tally'!H64</f>
        <v>0</v>
      </c>
      <c r="E158" s="435">
        <f t="shared" si="55"/>
        <v>0</v>
      </c>
      <c r="F158" s="435">
        <f t="shared" si="56"/>
        <v>0</v>
      </c>
      <c r="G158" s="785"/>
      <c r="H158" s="783">
        <f t="shared" si="57"/>
        <v>207</v>
      </c>
      <c r="I158" s="783">
        <v>1</v>
      </c>
      <c r="J158" s="784">
        <f>'Input Tally'!B109</f>
        <v>0</v>
      </c>
      <c r="K158" s="435">
        <f t="shared" si="58"/>
        <v>0</v>
      </c>
      <c r="L158" s="435">
        <f t="shared" si="59"/>
        <v>0</v>
      </c>
      <c r="M158" s="783"/>
    </row>
    <row r="159" spans="2:15">
      <c r="B159" s="782">
        <f t="shared" si="54"/>
        <v>168</v>
      </c>
      <c r="C159" s="783">
        <v>1</v>
      </c>
      <c r="D159" s="784">
        <f>'Input Tally'!H65</f>
        <v>0</v>
      </c>
      <c r="E159" s="435">
        <f t="shared" si="55"/>
        <v>0</v>
      </c>
      <c r="F159" s="435">
        <f t="shared" si="56"/>
        <v>0</v>
      </c>
      <c r="G159" s="785"/>
      <c r="H159" s="783">
        <f t="shared" si="57"/>
        <v>208</v>
      </c>
      <c r="I159" s="783">
        <v>1</v>
      </c>
      <c r="J159" s="784">
        <f>'Input Tally'!B110</f>
        <v>0</v>
      </c>
      <c r="K159" s="435">
        <f t="shared" si="58"/>
        <v>0</v>
      </c>
      <c r="L159" s="435">
        <f t="shared" si="59"/>
        <v>0</v>
      </c>
      <c r="M159" s="783"/>
    </row>
    <row r="160" spans="2:15">
      <c r="B160" s="782">
        <f t="shared" si="54"/>
        <v>169</v>
      </c>
      <c r="C160" s="783">
        <v>1</v>
      </c>
      <c r="D160" s="784">
        <f>'Input Tally'!H66</f>
        <v>0</v>
      </c>
      <c r="E160" s="435">
        <f t="shared" si="55"/>
        <v>0</v>
      </c>
      <c r="F160" s="435">
        <f t="shared" si="56"/>
        <v>0</v>
      </c>
      <c r="G160" s="785"/>
      <c r="H160" s="783">
        <f t="shared" si="57"/>
        <v>209</v>
      </c>
      <c r="I160" s="783">
        <v>1</v>
      </c>
      <c r="J160" s="784">
        <f>'Input Tally'!B111</f>
        <v>0</v>
      </c>
      <c r="K160" s="435">
        <f t="shared" si="58"/>
        <v>0</v>
      </c>
      <c r="L160" s="435">
        <f t="shared" si="59"/>
        <v>0</v>
      </c>
      <c r="M160" s="783"/>
    </row>
    <row r="161" spans="2:15">
      <c r="B161" s="782">
        <f t="shared" si="54"/>
        <v>170</v>
      </c>
      <c r="C161" s="783">
        <v>1</v>
      </c>
      <c r="D161" s="784">
        <f>'Input Tally'!H67</f>
        <v>0</v>
      </c>
      <c r="E161" s="435">
        <f t="shared" si="55"/>
        <v>0</v>
      </c>
      <c r="F161" s="435">
        <f t="shared" si="56"/>
        <v>0</v>
      </c>
      <c r="G161" s="785"/>
      <c r="H161" s="783">
        <f t="shared" si="57"/>
        <v>210</v>
      </c>
      <c r="I161" s="783">
        <v>1</v>
      </c>
      <c r="J161" s="784">
        <f>'Input Tally'!B112</f>
        <v>0</v>
      </c>
      <c r="K161" s="435">
        <f t="shared" si="58"/>
        <v>0</v>
      </c>
      <c r="L161" s="435">
        <f t="shared" si="59"/>
        <v>0</v>
      </c>
      <c r="M161" s="783"/>
    </row>
    <row r="162" spans="2:15" ht="15">
      <c r="B162" s="436" t="s">
        <v>862</v>
      </c>
      <c r="C162" s="437"/>
      <c r="D162" s="731"/>
      <c r="E162" s="731"/>
      <c r="F162" s="732"/>
      <c r="G162" s="733"/>
      <c r="H162" s="436" t="s">
        <v>862</v>
      </c>
      <c r="I162" s="437"/>
      <c r="J162" s="731"/>
      <c r="K162" s="731"/>
      <c r="L162" s="732"/>
      <c r="M162" s="731"/>
    </row>
    <row r="163" spans="2:15" ht="15.65" thickBot="1">
      <c r="B163" s="438" t="s">
        <v>280</v>
      </c>
      <c r="C163" s="439"/>
      <c r="D163" s="734">
        <f>SUM(D152:D161)</f>
        <v>0</v>
      </c>
      <c r="E163" s="734">
        <f>(E161)</f>
        <v>0</v>
      </c>
      <c r="F163" s="735"/>
      <c r="G163" s="736"/>
      <c r="H163" s="438" t="s">
        <v>280</v>
      </c>
      <c r="I163" s="439"/>
      <c r="J163" s="734">
        <f>SUM(J152:J161)</f>
        <v>0</v>
      </c>
      <c r="K163" s="734">
        <f>(K161)</f>
        <v>0</v>
      </c>
      <c r="L163" s="735"/>
      <c r="M163" s="737"/>
    </row>
    <row r="164" spans="2:15" ht="15.25" thickTop="1">
      <c r="B164" s="443"/>
      <c r="C164" s="391"/>
      <c r="D164" s="391"/>
      <c r="E164" s="391"/>
      <c r="F164" s="391"/>
      <c r="G164" s="444"/>
      <c r="H164" s="391"/>
      <c r="I164" s="391"/>
      <c r="J164" s="391"/>
      <c r="K164" s="391"/>
      <c r="L164" s="391"/>
      <c r="M164" s="392"/>
      <c r="N164" s="390" t="s">
        <v>1329</v>
      </c>
      <c r="O164" s="390" t="str">
        <f>IF('Master Tally'!D176='Input Tally'!H79,"OK","ERROR")</f>
        <v>OK</v>
      </c>
    </row>
    <row r="165" spans="2:15">
      <c r="B165" s="782">
        <f>(B161+1)</f>
        <v>171</v>
      </c>
      <c r="C165" s="783">
        <v>1</v>
      </c>
      <c r="D165" s="784">
        <f>'Input Tally'!H69</f>
        <v>0</v>
      </c>
      <c r="E165" s="435">
        <f>IF(C165=1,E161+D165,E161)</f>
        <v>0</v>
      </c>
      <c r="F165" s="435">
        <f>IF(C161=1,F161-D161,F161)</f>
        <v>0</v>
      </c>
      <c r="G165" s="785"/>
      <c r="H165" s="783">
        <f>(H161+1)</f>
        <v>211</v>
      </c>
      <c r="I165" s="783">
        <v>1</v>
      </c>
      <c r="J165" s="784">
        <f>'Input Tally'!B114</f>
        <v>0</v>
      </c>
      <c r="K165" s="435">
        <f>IF(I165=1,K161+J165,K161)</f>
        <v>0</v>
      </c>
      <c r="L165" s="435">
        <f>IF(I161=1,L161-J161,L161)</f>
        <v>0</v>
      </c>
      <c r="M165" s="783"/>
    </row>
    <row r="166" spans="2:15">
      <c r="B166" s="782">
        <f t="shared" ref="B166:B174" si="60">(B165+1)</f>
        <v>172</v>
      </c>
      <c r="C166" s="783">
        <v>1</v>
      </c>
      <c r="D166" s="784">
        <f>'Input Tally'!H70</f>
        <v>0</v>
      </c>
      <c r="E166" s="435">
        <f t="shared" ref="E166:E174" si="61">IF(C166=1,E165+D166,E165)</f>
        <v>0</v>
      </c>
      <c r="F166" s="435">
        <f t="shared" ref="F166:F174" si="62">IF(C165=1,F165-D165,F165)</f>
        <v>0</v>
      </c>
      <c r="G166" s="785"/>
      <c r="H166" s="783">
        <f t="shared" ref="H166:H174" si="63">(H165+1)</f>
        <v>212</v>
      </c>
      <c r="I166" s="783">
        <v>1</v>
      </c>
      <c r="J166" s="784">
        <f>'Input Tally'!B115</f>
        <v>0</v>
      </c>
      <c r="K166" s="435">
        <f t="shared" ref="K166:K174" si="64">IF(I166=1,K165+J166,K165)</f>
        <v>0</v>
      </c>
      <c r="L166" s="435">
        <f t="shared" ref="L166:L174" si="65">IF(I165=1,L165-J165,L165)</f>
        <v>0</v>
      </c>
      <c r="M166" s="783"/>
      <c r="N166" s="390" t="s">
        <v>1330</v>
      </c>
      <c r="O166" s="390" t="str">
        <f>IF(J176='Input Tally'!B124,"OK","ERROR")</f>
        <v>OK</v>
      </c>
    </row>
    <row r="167" spans="2:15">
      <c r="B167" s="782">
        <f t="shared" si="60"/>
        <v>173</v>
      </c>
      <c r="C167" s="783">
        <v>1</v>
      </c>
      <c r="D167" s="784">
        <f>'Input Tally'!H71</f>
        <v>0</v>
      </c>
      <c r="E167" s="435">
        <f t="shared" si="61"/>
        <v>0</v>
      </c>
      <c r="F167" s="435">
        <f t="shared" si="62"/>
        <v>0</v>
      </c>
      <c r="G167" s="785"/>
      <c r="H167" s="783">
        <f t="shared" si="63"/>
        <v>213</v>
      </c>
      <c r="I167" s="783">
        <v>1</v>
      </c>
      <c r="J167" s="784">
        <f>'Input Tally'!B116</f>
        <v>0</v>
      </c>
      <c r="K167" s="435">
        <f t="shared" si="64"/>
        <v>0</v>
      </c>
      <c r="L167" s="435">
        <f t="shared" si="65"/>
        <v>0</v>
      </c>
      <c r="M167" s="783"/>
    </row>
    <row r="168" spans="2:15">
      <c r="B168" s="782">
        <f t="shared" si="60"/>
        <v>174</v>
      </c>
      <c r="C168" s="783">
        <v>1</v>
      </c>
      <c r="D168" s="784">
        <f>'Input Tally'!H72</f>
        <v>0</v>
      </c>
      <c r="E168" s="435">
        <f t="shared" si="61"/>
        <v>0</v>
      </c>
      <c r="F168" s="435">
        <f t="shared" si="62"/>
        <v>0</v>
      </c>
      <c r="G168" s="785"/>
      <c r="H168" s="783">
        <f t="shared" si="63"/>
        <v>214</v>
      </c>
      <c r="I168" s="783">
        <v>1</v>
      </c>
      <c r="J168" s="784">
        <f>'Input Tally'!B117</f>
        <v>0</v>
      </c>
      <c r="K168" s="435">
        <f t="shared" si="64"/>
        <v>0</v>
      </c>
      <c r="L168" s="435">
        <f t="shared" si="65"/>
        <v>0</v>
      </c>
      <c r="M168" s="783"/>
    </row>
    <row r="169" spans="2:15">
      <c r="B169" s="782">
        <f t="shared" si="60"/>
        <v>175</v>
      </c>
      <c r="C169" s="783">
        <v>1</v>
      </c>
      <c r="D169" s="784">
        <f>'Input Tally'!H73</f>
        <v>0</v>
      </c>
      <c r="E169" s="435">
        <f t="shared" si="61"/>
        <v>0</v>
      </c>
      <c r="F169" s="435">
        <f t="shared" si="62"/>
        <v>0</v>
      </c>
      <c r="G169" s="785"/>
      <c r="H169" s="783">
        <f t="shared" si="63"/>
        <v>215</v>
      </c>
      <c r="I169" s="783">
        <v>1</v>
      </c>
      <c r="J169" s="784">
        <f>'Input Tally'!B118</f>
        <v>0</v>
      </c>
      <c r="K169" s="435">
        <f t="shared" si="64"/>
        <v>0</v>
      </c>
      <c r="L169" s="435">
        <f t="shared" si="65"/>
        <v>0</v>
      </c>
      <c r="M169" s="783"/>
    </row>
    <row r="170" spans="2:15">
      <c r="B170" s="782">
        <f t="shared" si="60"/>
        <v>176</v>
      </c>
      <c r="C170" s="783">
        <v>1</v>
      </c>
      <c r="D170" s="784">
        <f>'Input Tally'!H74</f>
        <v>0</v>
      </c>
      <c r="E170" s="435">
        <f t="shared" si="61"/>
        <v>0</v>
      </c>
      <c r="F170" s="435">
        <f t="shared" si="62"/>
        <v>0</v>
      </c>
      <c r="G170" s="785"/>
      <c r="H170" s="783">
        <f t="shared" si="63"/>
        <v>216</v>
      </c>
      <c r="I170" s="783">
        <v>1</v>
      </c>
      <c r="J170" s="784">
        <f>'Input Tally'!B119</f>
        <v>0</v>
      </c>
      <c r="K170" s="435">
        <f t="shared" si="64"/>
        <v>0</v>
      </c>
      <c r="L170" s="435">
        <f t="shared" si="65"/>
        <v>0</v>
      </c>
      <c r="M170" s="783"/>
    </row>
    <row r="171" spans="2:15">
      <c r="B171" s="782">
        <f t="shared" si="60"/>
        <v>177</v>
      </c>
      <c r="C171" s="783">
        <v>1</v>
      </c>
      <c r="D171" s="784">
        <f>'Input Tally'!H75</f>
        <v>0</v>
      </c>
      <c r="E171" s="435">
        <f t="shared" si="61"/>
        <v>0</v>
      </c>
      <c r="F171" s="435">
        <f t="shared" si="62"/>
        <v>0</v>
      </c>
      <c r="G171" s="785"/>
      <c r="H171" s="783">
        <f t="shared" si="63"/>
        <v>217</v>
      </c>
      <c r="I171" s="783">
        <v>1</v>
      </c>
      <c r="J171" s="784">
        <f>'Input Tally'!B120</f>
        <v>0</v>
      </c>
      <c r="K171" s="435">
        <f t="shared" si="64"/>
        <v>0</v>
      </c>
      <c r="L171" s="435">
        <f t="shared" si="65"/>
        <v>0</v>
      </c>
      <c r="M171" s="783"/>
    </row>
    <row r="172" spans="2:15">
      <c r="B172" s="782">
        <f t="shared" si="60"/>
        <v>178</v>
      </c>
      <c r="C172" s="783">
        <v>1</v>
      </c>
      <c r="D172" s="784">
        <f>'Input Tally'!H76</f>
        <v>0</v>
      </c>
      <c r="E172" s="435">
        <f t="shared" si="61"/>
        <v>0</v>
      </c>
      <c r="F172" s="435">
        <f t="shared" si="62"/>
        <v>0</v>
      </c>
      <c r="G172" s="785"/>
      <c r="H172" s="783">
        <f t="shared" si="63"/>
        <v>218</v>
      </c>
      <c r="I172" s="783">
        <v>1</v>
      </c>
      <c r="J172" s="784">
        <f>'Input Tally'!B121</f>
        <v>0</v>
      </c>
      <c r="K172" s="435">
        <f t="shared" si="64"/>
        <v>0</v>
      </c>
      <c r="L172" s="435">
        <f t="shared" si="65"/>
        <v>0</v>
      </c>
      <c r="M172" s="783"/>
    </row>
    <row r="173" spans="2:15">
      <c r="B173" s="782">
        <f t="shared" si="60"/>
        <v>179</v>
      </c>
      <c r="C173" s="783">
        <v>1</v>
      </c>
      <c r="D173" s="784">
        <f>'Input Tally'!H77</f>
        <v>0</v>
      </c>
      <c r="E173" s="435">
        <f t="shared" si="61"/>
        <v>0</v>
      </c>
      <c r="F173" s="435">
        <f t="shared" si="62"/>
        <v>0</v>
      </c>
      <c r="G173" s="785"/>
      <c r="H173" s="783">
        <f t="shared" si="63"/>
        <v>219</v>
      </c>
      <c r="I173" s="783">
        <v>1</v>
      </c>
      <c r="J173" s="784">
        <f>'Input Tally'!B122</f>
        <v>0</v>
      </c>
      <c r="K173" s="435">
        <f t="shared" si="64"/>
        <v>0</v>
      </c>
      <c r="L173" s="435">
        <f t="shared" si="65"/>
        <v>0</v>
      </c>
      <c r="M173" s="783"/>
    </row>
    <row r="174" spans="2:15">
      <c r="B174" s="782">
        <f t="shared" si="60"/>
        <v>180</v>
      </c>
      <c r="C174" s="783">
        <v>1</v>
      </c>
      <c r="D174" s="784">
        <f>'Input Tally'!H78</f>
        <v>0</v>
      </c>
      <c r="E174" s="435">
        <f t="shared" si="61"/>
        <v>0</v>
      </c>
      <c r="F174" s="435">
        <f t="shared" si="62"/>
        <v>0</v>
      </c>
      <c r="G174" s="785"/>
      <c r="H174" s="783">
        <f t="shared" si="63"/>
        <v>220</v>
      </c>
      <c r="I174" s="783">
        <v>1</v>
      </c>
      <c r="J174" s="784">
        <f>'Input Tally'!B123</f>
        <v>0</v>
      </c>
      <c r="K174" s="435">
        <f t="shared" si="64"/>
        <v>0</v>
      </c>
      <c r="L174" s="435">
        <f t="shared" si="65"/>
        <v>0</v>
      </c>
      <c r="M174" s="783"/>
    </row>
    <row r="175" spans="2:15" ht="15">
      <c r="B175" s="436" t="s">
        <v>862</v>
      </c>
      <c r="C175" s="437"/>
      <c r="D175" s="731"/>
      <c r="E175" s="731"/>
      <c r="F175" s="732"/>
      <c r="G175" s="733"/>
      <c r="H175" s="436" t="s">
        <v>862</v>
      </c>
      <c r="I175" s="437"/>
      <c r="J175" s="731"/>
      <c r="K175" s="731"/>
      <c r="L175" s="732"/>
      <c r="M175" s="731"/>
    </row>
    <row r="176" spans="2:15" ht="15" customHeight="1" thickBot="1">
      <c r="B176" s="438" t="s">
        <v>280</v>
      </c>
      <c r="C176" s="439"/>
      <c r="D176" s="734">
        <f>SUM(D165:D174)</f>
        <v>0</v>
      </c>
      <c r="E176" s="734">
        <f>(E174)</f>
        <v>0</v>
      </c>
      <c r="F176" s="735"/>
      <c r="G176" s="736"/>
      <c r="H176" s="438" t="s">
        <v>280</v>
      </c>
      <c r="I176" s="439"/>
      <c r="J176" s="734">
        <f>SUM(J165:J174)</f>
        <v>0</v>
      </c>
      <c r="K176" s="734">
        <f>(K174)</f>
        <v>0</v>
      </c>
      <c r="L176" s="735"/>
      <c r="M176" s="737"/>
    </row>
    <row r="177" spans="1:15" ht="15.25" hidden="1" thickTop="1">
      <c r="A177" s="2273" t="s">
        <v>937</v>
      </c>
      <c r="B177" s="2273"/>
      <c r="C177" s="2273"/>
      <c r="D177" s="2273"/>
      <c r="E177" s="2273"/>
      <c r="F177" s="2273"/>
      <c r="G177" s="2273"/>
      <c r="H177" s="2273"/>
      <c r="I177" s="2273"/>
      <c r="J177" s="2273"/>
      <c r="K177" s="2273"/>
      <c r="L177" s="2273"/>
      <c r="M177" s="2273"/>
    </row>
    <row r="178" spans="1:15" ht="18.45" thickTop="1">
      <c r="B178" s="445">
        <f>B2</f>
        <v>0</v>
      </c>
      <c r="C178" s="446"/>
      <c r="D178" s="446"/>
      <c r="E178" s="446"/>
      <c r="F178" s="446"/>
      <c r="G178" s="446"/>
      <c r="H178" s="446"/>
      <c r="I178" s="446"/>
      <c r="J178" s="393" t="s">
        <v>833</v>
      </c>
      <c r="K178" s="394">
        <f>IF(D185&gt;0,4,0)</f>
        <v>0</v>
      </c>
      <c r="L178" s="395" t="s">
        <v>464</v>
      </c>
      <c r="M178" s="780">
        <f>IF(M237=5,M237,K178)</f>
        <v>0</v>
      </c>
      <c r="N178" s="390">
        <v>0</v>
      </c>
    </row>
    <row r="179" spans="1:15">
      <c r="B179" s="396"/>
      <c r="M179" s="450"/>
    </row>
    <row r="180" spans="1:15">
      <c r="B180" s="448" t="s">
        <v>834</v>
      </c>
      <c r="F180" s="2252" t="str">
        <f>IF(D185&gt;0,F4," ")</f>
        <v xml:space="preserve"> </v>
      </c>
      <c r="G180" s="2253"/>
      <c r="H180" s="2253"/>
      <c r="I180" s="2253"/>
      <c r="J180" s="2253"/>
      <c r="K180" s="2254"/>
      <c r="L180" s="403" t="s">
        <v>221</v>
      </c>
      <c r="M180" s="449" t="str">
        <f>IF(K178=4,M4," ")</f>
        <v xml:space="preserve"> </v>
      </c>
    </row>
    <row r="181" spans="1:15">
      <c r="B181" s="457"/>
      <c r="C181" s="458"/>
      <c r="D181" s="458"/>
      <c r="E181" s="458"/>
      <c r="F181" s="458"/>
      <c r="G181" s="458"/>
      <c r="H181" s="458"/>
      <c r="I181" s="458"/>
      <c r="J181" s="458"/>
      <c r="K181" s="458"/>
      <c r="L181" s="458"/>
      <c r="M181" s="459"/>
    </row>
    <row r="182" spans="1:15">
      <c r="B182" s="451"/>
      <c r="C182" s="426"/>
      <c r="D182" s="424" t="s">
        <v>852</v>
      </c>
      <c r="E182" s="424" t="s">
        <v>280</v>
      </c>
      <c r="F182" s="424" t="s">
        <v>853</v>
      </c>
      <c r="G182" s="425"/>
      <c r="H182" s="426"/>
      <c r="I182" s="426"/>
      <c r="J182" s="424" t="s">
        <v>852</v>
      </c>
      <c r="K182" s="424" t="s">
        <v>280</v>
      </c>
      <c r="L182" s="424" t="s">
        <v>853</v>
      </c>
      <c r="M182" s="426"/>
    </row>
    <row r="183" spans="1:15">
      <c r="B183" s="427" t="s">
        <v>854</v>
      </c>
      <c r="C183" s="428" t="s">
        <v>863</v>
      </c>
      <c r="D183" s="428" t="s">
        <v>856</v>
      </c>
      <c r="E183" s="428" t="s">
        <v>857</v>
      </c>
      <c r="F183" s="428" t="s">
        <v>858</v>
      </c>
      <c r="G183" s="429"/>
      <c r="H183" s="428" t="s">
        <v>854</v>
      </c>
      <c r="I183" s="428" t="s">
        <v>863</v>
      </c>
      <c r="J183" s="428" t="s">
        <v>856</v>
      </c>
      <c r="K183" s="428" t="s">
        <v>857</v>
      </c>
      <c r="L183" s="428" t="s">
        <v>858</v>
      </c>
      <c r="M183" s="401"/>
    </row>
    <row r="184" spans="1:15" ht="15.65" thickBot="1">
      <c r="B184" s="430" t="s">
        <v>859</v>
      </c>
      <c r="C184" s="455" t="s">
        <v>864</v>
      </c>
      <c r="D184" s="432" t="str">
        <f>D125</f>
        <v xml:space="preserve">m </v>
      </c>
      <c r="E184" s="432" t="str">
        <f>D184</f>
        <v xml:space="preserve">m </v>
      </c>
      <c r="F184" s="432" t="str">
        <f>E184</f>
        <v xml:space="preserve">m </v>
      </c>
      <c r="G184" s="456" t="s">
        <v>869</v>
      </c>
      <c r="H184" s="432" t="s">
        <v>859</v>
      </c>
      <c r="I184" s="455" t="s">
        <v>864</v>
      </c>
      <c r="J184" s="432" t="str">
        <f>F184</f>
        <v xml:space="preserve">m </v>
      </c>
      <c r="K184" s="432" t="str">
        <f>F184</f>
        <v xml:space="preserve">m </v>
      </c>
      <c r="L184" s="432" t="str">
        <f>F184</f>
        <v xml:space="preserve">m </v>
      </c>
      <c r="M184" s="432" t="s">
        <v>869</v>
      </c>
    </row>
    <row r="185" spans="1:15" ht="15.25" thickTop="1">
      <c r="B185" s="782">
        <f>(H174+1)</f>
        <v>221</v>
      </c>
      <c r="C185" s="783">
        <v>1</v>
      </c>
      <c r="D185" s="784">
        <f>'Input Tally'!D103</f>
        <v>0</v>
      </c>
      <c r="E185" s="435">
        <f>IF(C185=1,K174+D185,K174)</f>
        <v>0</v>
      </c>
      <c r="F185" s="435">
        <f>IF(I174=1,L174-J174,L174)</f>
        <v>0</v>
      </c>
      <c r="G185" s="785"/>
      <c r="H185" s="782">
        <f>(B233+1)</f>
        <v>261</v>
      </c>
      <c r="I185" s="783">
        <v>1</v>
      </c>
      <c r="J185" s="784">
        <f>'Input Tally'!H103</f>
        <v>0</v>
      </c>
      <c r="K185" s="435">
        <f>IF(I185=1,E233+J185,E233)</f>
        <v>0</v>
      </c>
      <c r="L185" s="435">
        <f>IF(C233=1,F233-D233,F233)</f>
        <v>0</v>
      </c>
      <c r="M185" s="783"/>
      <c r="N185" s="390" t="s">
        <v>1333</v>
      </c>
      <c r="O185" s="390" t="str">
        <f>IF(D196='Input Tally'!D113,"OK","ERROR")</f>
        <v>OK</v>
      </c>
    </row>
    <row r="186" spans="1:15">
      <c r="B186" s="782">
        <f t="shared" ref="B186:B194" si="66">(B185+1)</f>
        <v>222</v>
      </c>
      <c r="C186" s="783">
        <v>1</v>
      </c>
      <c r="D186" s="784">
        <f>'Input Tally'!D104</f>
        <v>0</v>
      </c>
      <c r="E186" s="435">
        <f t="shared" ref="E186:E194" si="67">IF(C186=1,E185+D186,E185)</f>
        <v>0</v>
      </c>
      <c r="F186" s="435">
        <f t="shared" ref="F186:F194" si="68">IF(C185=1,F185-D185,F185)</f>
        <v>0</v>
      </c>
      <c r="G186" s="785"/>
      <c r="H186" s="782">
        <f t="shared" ref="H186:H194" si="69">(H185+1)</f>
        <v>262</v>
      </c>
      <c r="I186" s="783">
        <v>1</v>
      </c>
      <c r="J186" s="784">
        <f>'Input Tally'!H104</f>
        <v>0</v>
      </c>
      <c r="K186" s="435">
        <f t="shared" ref="K186:K194" si="70">IF(I186=1,K185+J186,K185)</f>
        <v>0</v>
      </c>
      <c r="L186" s="435">
        <f t="shared" ref="L186:L194" si="71">IF(I185=1,L185-J185,L185)</f>
        <v>0</v>
      </c>
      <c r="M186" s="783"/>
    </row>
    <row r="187" spans="1:15">
      <c r="B187" s="782">
        <f t="shared" si="66"/>
        <v>223</v>
      </c>
      <c r="C187" s="783">
        <v>1</v>
      </c>
      <c r="D187" s="784">
        <f>'Input Tally'!D105</f>
        <v>0</v>
      </c>
      <c r="E187" s="435">
        <f t="shared" si="67"/>
        <v>0</v>
      </c>
      <c r="F187" s="435">
        <f t="shared" si="68"/>
        <v>0</v>
      </c>
      <c r="G187" s="785"/>
      <c r="H187" s="782">
        <f t="shared" si="69"/>
        <v>263</v>
      </c>
      <c r="I187" s="783">
        <v>1</v>
      </c>
      <c r="J187" s="784">
        <f>'Input Tally'!H105</f>
        <v>0</v>
      </c>
      <c r="K187" s="435">
        <f t="shared" si="70"/>
        <v>0</v>
      </c>
      <c r="L187" s="435">
        <f t="shared" si="71"/>
        <v>0</v>
      </c>
      <c r="M187" s="783"/>
      <c r="N187" s="390" t="s">
        <v>1334</v>
      </c>
      <c r="O187" s="390" t="str">
        <f>IF(J196='Input Tally'!H113,"OK","ERROR")</f>
        <v>OK</v>
      </c>
    </row>
    <row r="188" spans="1:15">
      <c r="B188" s="782">
        <f t="shared" si="66"/>
        <v>224</v>
      </c>
      <c r="C188" s="783">
        <v>1</v>
      </c>
      <c r="D188" s="784">
        <f>'Input Tally'!D106</f>
        <v>0</v>
      </c>
      <c r="E188" s="435">
        <f t="shared" si="67"/>
        <v>0</v>
      </c>
      <c r="F188" s="435">
        <f t="shared" si="68"/>
        <v>0</v>
      </c>
      <c r="G188" s="785"/>
      <c r="H188" s="782">
        <f t="shared" si="69"/>
        <v>264</v>
      </c>
      <c r="I188" s="783">
        <v>1</v>
      </c>
      <c r="J188" s="784">
        <f>'Input Tally'!H106</f>
        <v>0</v>
      </c>
      <c r="K188" s="435">
        <f t="shared" si="70"/>
        <v>0</v>
      </c>
      <c r="L188" s="435">
        <f t="shared" si="71"/>
        <v>0</v>
      </c>
      <c r="M188" s="783"/>
    </row>
    <row r="189" spans="1:15">
      <c r="B189" s="782">
        <f t="shared" si="66"/>
        <v>225</v>
      </c>
      <c r="C189" s="783">
        <v>1</v>
      </c>
      <c r="D189" s="784">
        <f>'Input Tally'!D107</f>
        <v>0</v>
      </c>
      <c r="E189" s="435">
        <f t="shared" si="67"/>
        <v>0</v>
      </c>
      <c r="F189" s="435">
        <f t="shared" si="68"/>
        <v>0</v>
      </c>
      <c r="G189" s="785"/>
      <c r="H189" s="782">
        <f t="shared" si="69"/>
        <v>265</v>
      </c>
      <c r="I189" s="783">
        <v>1</v>
      </c>
      <c r="J189" s="784">
        <f>'Input Tally'!H107</f>
        <v>0</v>
      </c>
      <c r="K189" s="435">
        <f t="shared" si="70"/>
        <v>0</v>
      </c>
      <c r="L189" s="435">
        <f t="shared" si="71"/>
        <v>0</v>
      </c>
      <c r="M189" s="783"/>
    </row>
    <row r="190" spans="1:15">
      <c r="B190" s="782">
        <f t="shared" si="66"/>
        <v>226</v>
      </c>
      <c r="C190" s="783">
        <v>1</v>
      </c>
      <c r="D190" s="784">
        <f>'Input Tally'!D108</f>
        <v>0</v>
      </c>
      <c r="E190" s="435">
        <f t="shared" si="67"/>
        <v>0</v>
      </c>
      <c r="F190" s="435">
        <f t="shared" si="68"/>
        <v>0</v>
      </c>
      <c r="G190" s="785"/>
      <c r="H190" s="782">
        <f t="shared" si="69"/>
        <v>266</v>
      </c>
      <c r="I190" s="783">
        <v>1</v>
      </c>
      <c r="J190" s="784">
        <f>'Input Tally'!H108</f>
        <v>0</v>
      </c>
      <c r="K190" s="435">
        <f t="shared" si="70"/>
        <v>0</v>
      </c>
      <c r="L190" s="435">
        <f t="shared" si="71"/>
        <v>0</v>
      </c>
      <c r="M190" s="783"/>
    </row>
    <row r="191" spans="1:15">
      <c r="B191" s="782">
        <f t="shared" si="66"/>
        <v>227</v>
      </c>
      <c r="C191" s="783">
        <v>1</v>
      </c>
      <c r="D191" s="784">
        <f>'Input Tally'!D109</f>
        <v>0</v>
      </c>
      <c r="E191" s="435">
        <f t="shared" si="67"/>
        <v>0</v>
      </c>
      <c r="F191" s="435">
        <f t="shared" si="68"/>
        <v>0</v>
      </c>
      <c r="G191" s="785"/>
      <c r="H191" s="782">
        <f t="shared" si="69"/>
        <v>267</v>
      </c>
      <c r="I191" s="783">
        <v>1</v>
      </c>
      <c r="J191" s="784">
        <f>'Input Tally'!H109</f>
        <v>0</v>
      </c>
      <c r="K191" s="435">
        <f t="shared" si="70"/>
        <v>0</v>
      </c>
      <c r="L191" s="435">
        <f t="shared" si="71"/>
        <v>0</v>
      </c>
      <c r="M191" s="783"/>
    </row>
    <row r="192" spans="1:15">
      <c r="B192" s="782">
        <f t="shared" si="66"/>
        <v>228</v>
      </c>
      <c r="C192" s="783">
        <v>1</v>
      </c>
      <c r="D192" s="784">
        <f>'Input Tally'!D110</f>
        <v>0</v>
      </c>
      <c r="E192" s="435">
        <f t="shared" si="67"/>
        <v>0</v>
      </c>
      <c r="F192" s="435">
        <f t="shared" si="68"/>
        <v>0</v>
      </c>
      <c r="G192" s="785"/>
      <c r="H192" s="782">
        <f t="shared" si="69"/>
        <v>268</v>
      </c>
      <c r="I192" s="783">
        <v>1</v>
      </c>
      <c r="J192" s="784">
        <f>'Input Tally'!H110</f>
        <v>0</v>
      </c>
      <c r="K192" s="435">
        <f t="shared" si="70"/>
        <v>0</v>
      </c>
      <c r="L192" s="435">
        <f t="shared" si="71"/>
        <v>0</v>
      </c>
      <c r="M192" s="783"/>
    </row>
    <row r="193" spans="2:15">
      <c r="B193" s="782">
        <f t="shared" si="66"/>
        <v>229</v>
      </c>
      <c r="C193" s="783">
        <v>1</v>
      </c>
      <c r="D193" s="784">
        <f>'Input Tally'!D111</f>
        <v>0</v>
      </c>
      <c r="E193" s="435">
        <f t="shared" si="67"/>
        <v>0</v>
      </c>
      <c r="F193" s="435">
        <f t="shared" si="68"/>
        <v>0</v>
      </c>
      <c r="G193" s="785"/>
      <c r="H193" s="782">
        <f t="shared" si="69"/>
        <v>269</v>
      </c>
      <c r="I193" s="783">
        <v>1</v>
      </c>
      <c r="J193" s="784">
        <f>'Input Tally'!H111</f>
        <v>0</v>
      </c>
      <c r="K193" s="435">
        <f t="shared" si="70"/>
        <v>0</v>
      </c>
      <c r="L193" s="435">
        <f t="shared" si="71"/>
        <v>0</v>
      </c>
      <c r="M193" s="783"/>
    </row>
    <row r="194" spans="2:15">
      <c r="B194" s="782">
        <f t="shared" si="66"/>
        <v>230</v>
      </c>
      <c r="C194" s="783">
        <v>1</v>
      </c>
      <c r="D194" s="784">
        <f>'Input Tally'!D112</f>
        <v>0</v>
      </c>
      <c r="E194" s="435">
        <f t="shared" si="67"/>
        <v>0</v>
      </c>
      <c r="F194" s="435">
        <f t="shared" si="68"/>
        <v>0</v>
      </c>
      <c r="G194" s="785"/>
      <c r="H194" s="782">
        <f t="shared" si="69"/>
        <v>270</v>
      </c>
      <c r="I194" s="783">
        <v>1</v>
      </c>
      <c r="J194" s="784">
        <f>'Input Tally'!H112</f>
        <v>0</v>
      </c>
      <c r="K194" s="435">
        <f t="shared" si="70"/>
        <v>0</v>
      </c>
      <c r="L194" s="435">
        <f t="shared" si="71"/>
        <v>0</v>
      </c>
      <c r="M194" s="783"/>
    </row>
    <row r="195" spans="2:15" ht="15">
      <c r="B195" s="436" t="s">
        <v>862</v>
      </c>
      <c r="C195" s="437"/>
      <c r="D195" s="731"/>
      <c r="E195" s="731"/>
      <c r="F195" s="732"/>
      <c r="G195" s="733"/>
      <c r="H195" s="436" t="s">
        <v>862</v>
      </c>
      <c r="I195" s="437"/>
      <c r="J195" s="731"/>
      <c r="K195" s="731"/>
      <c r="L195" s="732"/>
      <c r="M195" s="731"/>
    </row>
    <row r="196" spans="2:15" ht="15.65" thickBot="1">
      <c r="B196" s="438" t="s">
        <v>280</v>
      </c>
      <c r="C196" s="439"/>
      <c r="D196" s="734">
        <f>SUM(D185:D194)</f>
        <v>0</v>
      </c>
      <c r="E196" s="734">
        <f>(E194)</f>
        <v>0</v>
      </c>
      <c r="F196" s="735"/>
      <c r="G196" s="736"/>
      <c r="H196" s="438" t="s">
        <v>280</v>
      </c>
      <c r="I196" s="439"/>
      <c r="J196" s="734">
        <f>SUM(J185:J194)</f>
        <v>0</v>
      </c>
      <c r="K196" s="734">
        <f>(K194)</f>
        <v>0</v>
      </c>
      <c r="L196" s="735"/>
      <c r="M196" s="737"/>
    </row>
    <row r="197" spans="2:15" ht="15.25" thickTop="1">
      <c r="B197" s="457"/>
      <c r="C197" s="458"/>
      <c r="D197" s="458"/>
      <c r="E197" s="458"/>
      <c r="F197" s="458"/>
      <c r="G197" s="460"/>
      <c r="H197" s="457"/>
      <c r="I197" s="458"/>
      <c r="J197" s="458"/>
      <c r="K197" s="458"/>
      <c r="L197" s="458"/>
      <c r="M197" s="461"/>
    </row>
    <row r="198" spans="2:15">
      <c r="B198" s="782">
        <f>(B194+1)</f>
        <v>231</v>
      </c>
      <c r="C198" s="783">
        <v>1</v>
      </c>
      <c r="D198" s="784">
        <f>'Input Tally'!D114</f>
        <v>0</v>
      </c>
      <c r="E198" s="435">
        <f>IF(C198=1,E194+D198,E194)</f>
        <v>0</v>
      </c>
      <c r="F198" s="435">
        <f>IF(C194=1,F194-D194,F194)</f>
        <v>0</v>
      </c>
      <c r="G198" s="462"/>
      <c r="H198" s="782">
        <f>(H194+1)</f>
        <v>271</v>
      </c>
      <c r="I198" s="783">
        <v>1</v>
      </c>
      <c r="J198" s="784">
        <f>'Input Tally'!H114</f>
        <v>0</v>
      </c>
      <c r="K198" s="435">
        <f>IF(I198=1,K194+J198,K194)</f>
        <v>0</v>
      </c>
      <c r="L198" s="435">
        <f>IF(I194=1,L194-J194,L194)</f>
        <v>0</v>
      </c>
      <c r="M198" s="783"/>
      <c r="N198" s="390" t="s">
        <v>1335</v>
      </c>
      <c r="O198" s="390" t="str">
        <f>IF(D209='Input Tally'!D124,"OK","ERROR")</f>
        <v>OK</v>
      </c>
    </row>
    <row r="199" spans="2:15">
      <c r="B199" s="782">
        <f t="shared" ref="B199:B207" si="72">(B198+1)</f>
        <v>232</v>
      </c>
      <c r="C199" s="783">
        <v>1</v>
      </c>
      <c r="D199" s="784">
        <f>'Input Tally'!D115</f>
        <v>0</v>
      </c>
      <c r="E199" s="435">
        <f t="shared" ref="E199:E207" si="73">IF(C199=1,E198+D199,E198)</f>
        <v>0</v>
      </c>
      <c r="F199" s="435">
        <f t="shared" ref="F199:F207" si="74">IF(C198=1,F198-D198,F198)</f>
        <v>0</v>
      </c>
      <c r="G199" s="462"/>
      <c r="H199" s="782">
        <f t="shared" ref="H199:H207" si="75">(H198+1)</f>
        <v>272</v>
      </c>
      <c r="I199" s="783">
        <v>1</v>
      </c>
      <c r="J199" s="784">
        <f>'Input Tally'!H115</f>
        <v>0</v>
      </c>
      <c r="K199" s="435">
        <f t="shared" ref="K199:K207" si="76">IF(I199=1,K198+J199,K198)</f>
        <v>0</v>
      </c>
      <c r="L199" s="435">
        <f t="shared" ref="L199:L207" si="77">IF(I198=1,L198-J198,L198)</f>
        <v>0</v>
      </c>
      <c r="M199" s="783"/>
    </row>
    <row r="200" spans="2:15">
      <c r="B200" s="782">
        <f t="shared" si="72"/>
        <v>233</v>
      </c>
      <c r="C200" s="783">
        <v>1</v>
      </c>
      <c r="D200" s="784">
        <f>'Input Tally'!D116</f>
        <v>0</v>
      </c>
      <c r="E200" s="435">
        <f t="shared" si="73"/>
        <v>0</v>
      </c>
      <c r="F200" s="435">
        <f t="shared" si="74"/>
        <v>0</v>
      </c>
      <c r="G200" s="462"/>
      <c r="H200" s="782">
        <f t="shared" si="75"/>
        <v>273</v>
      </c>
      <c r="I200" s="783">
        <v>1</v>
      </c>
      <c r="J200" s="784">
        <f>'Input Tally'!H116</f>
        <v>0</v>
      </c>
      <c r="K200" s="435">
        <f t="shared" si="76"/>
        <v>0</v>
      </c>
      <c r="L200" s="435">
        <f t="shared" si="77"/>
        <v>0</v>
      </c>
      <c r="M200" s="783"/>
    </row>
    <row r="201" spans="2:15">
      <c r="B201" s="782">
        <f t="shared" si="72"/>
        <v>234</v>
      </c>
      <c r="C201" s="783">
        <v>1</v>
      </c>
      <c r="D201" s="784">
        <f>'Input Tally'!D117</f>
        <v>0</v>
      </c>
      <c r="E201" s="435">
        <f t="shared" si="73"/>
        <v>0</v>
      </c>
      <c r="F201" s="435">
        <f t="shared" si="74"/>
        <v>0</v>
      </c>
      <c r="G201" s="462"/>
      <c r="H201" s="782">
        <f t="shared" si="75"/>
        <v>274</v>
      </c>
      <c r="I201" s="783">
        <v>1</v>
      </c>
      <c r="J201" s="784">
        <f>'Input Tally'!H117</f>
        <v>0</v>
      </c>
      <c r="K201" s="435">
        <f t="shared" si="76"/>
        <v>0</v>
      </c>
      <c r="L201" s="435">
        <f t="shared" si="77"/>
        <v>0</v>
      </c>
      <c r="M201" s="783"/>
      <c r="N201" s="390" t="s">
        <v>1336</v>
      </c>
      <c r="O201" s="390" t="str">
        <f>IF(J209='Input Tally'!H124,"OK","ERROR")</f>
        <v>OK</v>
      </c>
    </row>
    <row r="202" spans="2:15">
      <c r="B202" s="782">
        <f t="shared" si="72"/>
        <v>235</v>
      </c>
      <c r="C202" s="783">
        <v>1</v>
      </c>
      <c r="D202" s="784">
        <f>'Input Tally'!D118</f>
        <v>0</v>
      </c>
      <c r="E202" s="435">
        <f t="shared" si="73"/>
        <v>0</v>
      </c>
      <c r="F202" s="435">
        <f t="shared" si="74"/>
        <v>0</v>
      </c>
      <c r="G202" s="462"/>
      <c r="H202" s="782">
        <f t="shared" si="75"/>
        <v>275</v>
      </c>
      <c r="I202" s="783">
        <v>1</v>
      </c>
      <c r="J202" s="784">
        <f>'Input Tally'!H118</f>
        <v>0</v>
      </c>
      <c r="K202" s="435">
        <f t="shared" si="76"/>
        <v>0</v>
      </c>
      <c r="L202" s="435">
        <f t="shared" si="77"/>
        <v>0</v>
      </c>
      <c r="M202" s="783"/>
    </row>
    <row r="203" spans="2:15">
      <c r="B203" s="782">
        <f t="shared" si="72"/>
        <v>236</v>
      </c>
      <c r="C203" s="783">
        <v>1</v>
      </c>
      <c r="D203" s="784">
        <f>'Input Tally'!D119</f>
        <v>0</v>
      </c>
      <c r="E203" s="435">
        <f t="shared" si="73"/>
        <v>0</v>
      </c>
      <c r="F203" s="435">
        <f t="shared" si="74"/>
        <v>0</v>
      </c>
      <c r="G203" s="462"/>
      <c r="H203" s="782">
        <f t="shared" si="75"/>
        <v>276</v>
      </c>
      <c r="I203" s="783">
        <v>1</v>
      </c>
      <c r="J203" s="784">
        <f>'Input Tally'!H119</f>
        <v>0</v>
      </c>
      <c r="K203" s="435">
        <f t="shared" si="76"/>
        <v>0</v>
      </c>
      <c r="L203" s="435">
        <f t="shared" si="77"/>
        <v>0</v>
      </c>
      <c r="M203" s="783"/>
    </row>
    <row r="204" spans="2:15">
      <c r="B204" s="782">
        <f t="shared" si="72"/>
        <v>237</v>
      </c>
      <c r="C204" s="783">
        <v>1</v>
      </c>
      <c r="D204" s="784">
        <f>'Input Tally'!D120</f>
        <v>0</v>
      </c>
      <c r="E204" s="435">
        <f t="shared" si="73"/>
        <v>0</v>
      </c>
      <c r="F204" s="435">
        <f t="shared" si="74"/>
        <v>0</v>
      </c>
      <c r="G204" s="462"/>
      <c r="H204" s="782">
        <f t="shared" si="75"/>
        <v>277</v>
      </c>
      <c r="I204" s="783">
        <v>1</v>
      </c>
      <c r="J204" s="784">
        <f>'Input Tally'!H120</f>
        <v>0</v>
      </c>
      <c r="K204" s="435">
        <f t="shared" si="76"/>
        <v>0</v>
      </c>
      <c r="L204" s="435">
        <f t="shared" si="77"/>
        <v>0</v>
      </c>
      <c r="M204" s="783"/>
    </row>
    <row r="205" spans="2:15">
      <c r="B205" s="782">
        <f t="shared" si="72"/>
        <v>238</v>
      </c>
      <c r="C205" s="783">
        <v>1</v>
      </c>
      <c r="D205" s="784">
        <f>'Input Tally'!D121</f>
        <v>0</v>
      </c>
      <c r="E205" s="435">
        <f t="shared" si="73"/>
        <v>0</v>
      </c>
      <c r="F205" s="435">
        <f t="shared" si="74"/>
        <v>0</v>
      </c>
      <c r="G205" s="462"/>
      <c r="H205" s="782">
        <f t="shared" si="75"/>
        <v>278</v>
      </c>
      <c r="I205" s="783">
        <v>1</v>
      </c>
      <c r="J205" s="784">
        <f>'Input Tally'!H121</f>
        <v>0</v>
      </c>
      <c r="K205" s="435">
        <f t="shared" si="76"/>
        <v>0</v>
      </c>
      <c r="L205" s="435">
        <f t="shared" si="77"/>
        <v>0</v>
      </c>
      <c r="M205" s="783"/>
    </row>
    <row r="206" spans="2:15">
      <c r="B206" s="782">
        <f t="shared" si="72"/>
        <v>239</v>
      </c>
      <c r="C206" s="783">
        <v>1</v>
      </c>
      <c r="D206" s="784">
        <f>'Input Tally'!D122</f>
        <v>0</v>
      </c>
      <c r="E206" s="435">
        <f t="shared" si="73"/>
        <v>0</v>
      </c>
      <c r="F206" s="435">
        <f t="shared" si="74"/>
        <v>0</v>
      </c>
      <c r="G206" s="462"/>
      <c r="H206" s="782">
        <f t="shared" si="75"/>
        <v>279</v>
      </c>
      <c r="I206" s="783">
        <v>1</v>
      </c>
      <c r="J206" s="784">
        <f>'Input Tally'!H122</f>
        <v>0</v>
      </c>
      <c r="K206" s="435">
        <f t="shared" si="76"/>
        <v>0</v>
      </c>
      <c r="L206" s="435">
        <f t="shared" si="77"/>
        <v>0</v>
      </c>
      <c r="M206" s="783"/>
    </row>
    <row r="207" spans="2:15">
      <c r="B207" s="782">
        <f t="shared" si="72"/>
        <v>240</v>
      </c>
      <c r="C207" s="783">
        <v>1</v>
      </c>
      <c r="D207" s="784">
        <f>'Input Tally'!D123</f>
        <v>0</v>
      </c>
      <c r="E207" s="435">
        <f t="shared" si="73"/>
        <v>0</v>
      </c>
      <c r="F207" s="435">
        <f t="shared" si="74"/>
        <v>0</v>
      </c>
      <c r="G207" s="462"/>
      <c r="H207" s="782">
        <f t="shared" si="75"/>
        <v>280</v>
      </c>
      <c r="I207" s="783">
        <v>1</v>
      </c>
      <c r="J207" s="784">
        <f>'Input Tally'!H123</f>
        <v>0</v>
      </c>
      <c r="K207" s="435">
        <f t="shared" si="76"/>
        <v>0</v>
      </c>
      <c r="L207" s="435">
        <f t="shared" si="77"/>
        <v>0</v>
      </c>
      <c r="M207" s="783"/>
    </row>
    <row r="208" spans="2:15" ht="15">
      <c r="B208" s="436" t="s">
        <v>862</v>
      </c>
      <c r="C208" s="437"/>
      <c r="D208" s="731"/>
      <c r="E208" s="731"/>
      <c r="F208" s="732"/>
      <c r="G208" s="733"/>
      <c r="H208" s="436" t="s">
        <v>862</v>
      </c>
      <c r="I208" s="437"/>
      <c r="J208" s="731"/>
      <c r="K208" s="731"/>
      <c r="L208" s="732"/>
      <c r="M208" s="731"/>
    </row>
    <row r="209" spans="2:15" ht="15.65" thickBot="1">
      <c r="B209" s="438" t="s">
        <v>280</v>
      </c>
      <c r="C209" s="439"/>
      <c r="D209" s="734">
        <f>SUM(D198:D207)</f>
        <v>0</v>
      </c>
      <c r="E209" s="734">
        <f>(E207)</f>
        <v>0</v>
      </c>
      <c r="F209" s="735"/>
      <c r="G209" s="736"/>
      <c r="H209" s="438" t="s">
        <v>280</v>
      </c>
      <c r="I209" s="439"/>
      <c r="J209" s="734">
        <f>SUM(J198:J207)</f>
        <v>0</v>
      </c>
      <c r="K209" s="734">
        <f>(K207)</f>
        <v>0</v>
      </c>
      <c r="L209" s="735"/>
      <c r="M209" s="737"/>
    </row>
    <row r="210" spans="2:15" ht="15.25" thickTop="1">
      <c r="B210" s="457"/>
      <c r="C210" s="458"/>
      <c r="D210" s="458"/>
      <c r="E210" s="458"/>
      <c r="F210" s="458"/>
      <c r="G210" s="460"/>
      <c r="H210" s="457"/>
      <c r="I210" s="458"/>
      <c r="J210" s="458"/>
      <c r="K210" s="458"/>
      <c r="L210" s="458"/>
      <c r="M210" s="461"/>
    </row>
    <row r="211" spans="2:15">
      <c r="B211" s="782">
        <f>(B207+1)</f>
        <v>241</v>
      </c>
      <c r="C211" s="783">
        <v>1</v>
      </c>
      <c r="D211" s="784">
        <f>'Input Tally'!F103</f>
        <v>0</v>
      </c>
      <c r="E211" s="435">
        <f>IF(C211=1,E207+D211,E207)</f>
        <v>0</v>
      </c>
      <c r="F211" s="435">
        <f>IF(C207=1,F207-D207,F207)</f>
        <v>0</v>
      </c>
      <c r="G211" s="785"/>
      <c r="H211" s="782">
        <f>(H207+1)</f>
        <v>281</v>
      </c>
      <c r="I211" s="783">
        <v>1</v>
      </c>
      <c r="J211" s="784">
        <f>'Input Tally'!J103</f>
        <v>0</v>
      </c>
      <c r="K211" s="435">
        <f>IF(I211=1,K207+J211,K207)</f>
        <v>0</v>
      </c>
      <c r="L211" s="435">
        <f>IF(I207=1,L207-J207,L207)</f>
        <v>0</v>
      </c>
      <c r="M211" s="783"/>
      <c r="N211" s="390" t="s">
        <v>1337</v>
      </c>
      <c r="O211" s="390" t="str">
        <f>IF(D222='Input Tally'!F113,"OK","ERROR")</f>
        <v>OK</v>
      </c>
    </row>
    <row r="212" spans="2:15">
      <c r="B212" s="782">
        <f t="shared" ref="B212:B220" si="78">(B211+1)</f>
        <v>242</v>
      </c>
      <c r="C212" s="783">
        <v>1</v>
      </c>
      <c r="D212" s="784">
        <f>'Input Tally'!F104</f>
        <v>0</v>
      </c>
      <c r="E212" s="435">
        <f t="shared" ref="E212:E220" si="79">IF(C212=1,E211+D212,E211)</f>
        <v>0</v>
      </c>
      <c r="F212" s="435">
        <f t="shared" ref="F212:F220" si="80">IF(C211=1,F211-D211,F211)</f>
        <v>0</v>
      </c>
      <c r="G212" s="785"/>
      <c r="H212" s="782">
        <f t="shared" ref="H212:H220" si="81">(H211+1)</f>
        <v>282</v>
      </c>
      <c r="I212" s="783">
        <v>1</v>
      </c>
      <c r="J212" s="784">
        <f>'Input Tally'!J104</f>
        <v>0</v>
      </c>
      <c r="K212" s="435">
        <f t="shared" ref="K212:K220" si="82">IF(I212=1,K211+J212,K211)</f>
        <v>0</v>
      </c>
      <c r="L212" s="435">
        <f t="shared" ref="L212:L220" si="83">IF(I211=1,L211-J211,L211)</f>
        <v>0</v>
      </c>
      <c r="M212" s="783"/>
    </row>
    <row r="213" spans="2:15">
      <c r="B213" s="782">
        <f t="shared" si="78"/>
        <v>243</v>
      </c>
      <c r="C213" s="783">
        <v>1</v>
      </c>
      <c r="D213" s="784">
        <f>'Input Tally'!F105</f>
        <v>0</v>
      </c>
      <c r="E213" s="435">
        <f t="shared" si="79"/>
        <v>0</v>
      </c>
      <c r="F213" s="435">
        <f t="shared" si="80"/>
        <v>0</v>
      </c>
      <c r="G213" s="785"/>
      <c r="H213" s="782">
        <f t="shared" si="81"/>
        <v>283</v>
      </c>
      <c r="I213" s="783">
        <v>1</v>
      </c>
      <c r="J213" s="784">
        <f>'Input Tally'!J105</f>
        <v>0</v>
      </c>
      <c r="K213" s="435">
        <f t="shared" si="82"/>
        <v>0</v>
      </c>
      <c r="L213" s="435">
        <f t="shared" si="83"/>
        <v>0</v>
      </c>
      <c r="M213" s="783"/>
    </row>
    <row r="214" spans="2:15">
      <c r="B214" s="782">
        <f t="shared" si="78"/>
        <v>244</v>
      </c>
      <c r="C214" s="783">
        <v>1</v>
      </c>
      <c r="D214" s="784">
        <f>'Input Tally'!F106</f>
        <v>0</v>
      </c>
      <c r="E214" s="435">
        <f t="shared" si="79"/>
        <v>0</v>
      </c>
      <c r="F214" s="435">
        <f t="shared" si="80"/>
        <v>0</v>
      </c>
      <c r="G214" s="785"/>
      <c r="H214" s="782">
        <f t="shared" si="81"/>
        <v>284</v>
      </c>
      <c r="I214" s="783">
        <v>1</v>
      </c>
      <c r="J214" s="784">
        <f>'Input Tally'!J106</f>
        <v>0</v>
      </c>
      <c r="K214" s="435">
        <f t="shared" si="82"/>
        <v>0</v>
      </c>
      <c r="L214" s="435">
        <f t="shared" si="83"/>
        <v>0</v>
      </c>
      <c r="M214" s="783"/>
      <c r="N214" s="390" t="s">
        <v>1338</v>
      </c>
      <c r="O214" s="390" t="str">
        <f>IF(J222='Input Tally'!J113,"OK","ERROR")</f>
        <v>OK</v>
      </c>
    </row>
    <row r="215" spans="2:15">
      <c r="B215" s="782">
        <f t="shared" si="78"/>
        <v>245</v>
      </c>
      <c r="C215" s="783">
        <v>1</v>
      </c>
      <c r="D215" s="784">
        <f>'Input Tally'!F107</f>
        <v>0</v>
      </c>
      <c r="E215" s="435">
        <f t="shared" si="79"/>
        <v>0</v>
      </c>
      <c r="F215" s="435">
        <f t="shared" si="80"/>
        <v>0</v>
      </c>
      <c r="G215" s="785"/>
      <c r="H215" s="782">
        <f t="shared" si="81"/>
        <v>285</v>
      </c>
      <c r="I215" s="783">
        <v>1</v>
      </c>
      <c r="J215" s="784">
        <f>'Input Tally'!J107</f>
        <v>0</v>
      </c>
      <c r="K215" s="435">
        <f t="shared" si="82"/>
        <v>0</v>
      </c>
      <c r="L215" s="435">
        <f t="shared" si="83"/>
        <v>0</v>
      </c>
      <c r="M215" s="783"/>
    </row>
    <row r="216" spans="2:15">
      <c r="B216" s="782">
        <f t="shared" si="78"/>
        <v>246</v>
      </c>
      <c r="C216" s="783">
        <v>1</v>
      </c>
      <c r="D216" s="784">
        <f>'Input Tally'!F108</f>
        <v>0</v>
      </c>
      <c r="E216" s="435">
        <f t="shared" si="79"/>
        <v>0</v>
      </c>
      <c r="F216" s="435">
        <f t="shared" si="80"/>
        <v>0</v>
      </c>
      <c r="G216" s="785"/>
      <c r="H216" s="782">
        <f t="shared" si="81"/>
        <v>286</v>
      </c>
      <c r="I216" s="783">
        <v>1</v>
      </c>
      <c r="J216" s="784">
        <f>'Input Tally'!J108</f>
        <v>0</v>
      </c>
      <c r="K216" s="435">
        <f t="shared" si="82"/>
        <v>0</v>
      </c>
      <c r="L216" s="435">
        <f t="shared" si="83"/>
        <v>0</v>
      </c>
      <c r="M216" s="783"/>
    </row>
    <row r="217" spans="2:15">
      <c r="B217" s="782">
        <f t="shared" si="78"/>
        <v>247</v>
      </c>
      <c r="C217" s="783">
        <v>1</v>
      </c>
      <c r="D217" s="784">
        <f>'Input Tally'!F109</f>
        <v>0</v>
      </c>
      <c r="E217" s="435">
        <f t="shared" si="79"/>
        <v>0</v>
      </c>
      <c r="F217" s="435">
        <f t="shared" si="80"/>
        <v>0</v>
      </c>
      <c r="G217" s="785"/>
      <c r="H217" s="782">
        <f t="shared" si="81"/>
        <v>287</v>
      </c>
      <c r="I217" s="783">
        <v>1</v>
      </c>
      <c r="J217" s="784">
        <f>'Input Tally'!J109</f>
        <v>0</v>
      </c>
      <c r="K217" s="435">
        <f t="shared" si="82"/>
        <v>0</v>
      </c>
      <c r="L217" s="435">
        <f t="shared" si="83"/>
        <v>0</v>
      </c>
      <c r="M217" s="783"/>
    </row>
    <row r="218" spans="2:15">
      <c r="B218" s="782">
        <f t="shared" si="78"/>
        <v>248</v>
      </c>
      <c r="C218" s="783">
        <v>1</v>
      </c>
      <c r="D218" s="784">
        <f>'Input Tally'!F110</f>
        <v>0</v>
      </c>
      <c r="E218" s="435">
        <f t="shared" si="79"/>
        <v>0</v>
      </c>
      <c r="F218" s="435">
        <f t="shared" si="80"/>
        <v>0</v>
      </c>
      <c r="G218" s="785"/>
      <c r="H218" s="782">
        <f t="shared" si="81"/>
        <v>288</v>
      </c>
      <c r="I218" s="783">
        <v>1</v>
      </c>
      <c r="J218" s="784">
        <f>'Input Tally'!J110</f>
        <v>0</v>
      </c>
      <c r="K218" s="435">
        <f t="shared" si="82"/>
        <v>0</v>
      </c>
      <c r="L218" s="435">
        <f t="shared" si="83"/>
        <v>0</v>
      </c>
      <c r="M218" s="783"/>
    </row>
    <row r="219" spans="2:15">
      <c r="B219" s="782">
        <f t="shared" si="78"/>
        <v>249</v>
      </c>
      <c r="C219" s="783">
        <v>1</v>
      </c>
      <c r="D219" s="784">
        <f>'Input Tally'!F111</f>
        <v>0</v>
      </c>
      <c r="E219" s="435">
        <f t="shared" si="79"/>
        <v>0</v>
      </c>
      <c r="F219" s="435">
        <f t="shared" si="80"/>
        <v>0</v>
      </c>
      <c r="G219" s="785"/>
      <c r="H219" s="782">
        <f t="shared" si="81"/>
        <v>289</v>
      </c>
      <c r="I219" s="783">
        <v>1</v>
      </c>
      <c r="J219" s="784">
        <f>'Input Tally'!J111</f>
        <v>0</v>
      </c>
      <c r="K219" s="435">
        <f t="shared" si="82"/>
        <v>0</v>
      </c>
      <c r="L219" s="435">
        <f t="shared" si="83"/>
        <v>0</v>
      </c>
      <c r="M219" s="783"/>
    </row>
    <row r="220" spans="2:15">
      <c r="B220" s="782">
        <f t="shared" si="78"/>
        <v>250</v>
      </c>
      <c r="C220" s="783">
        <v>1</v>
      </c>
      <c r="D220" s="784">
        <f>'Input Tally'!F112</f>
        <v>0</v>
      </c>
      <c r="E220" s="435">
        <f t="shared" si="79"/>
        <v>0</v>
      </c>
      <c r="F220" s="435">
        <f t="shared" si="80"/>
        <v>0</v>
      </c>
      <c r="G220" s="785"/>
      <c r="H220" s="782">
        <f t="shared" si="81"/>
        <v>290</v>
      </c>
      <c r="I220" s="783">
        <v>1</v>
      </c>
      <c r="J220" s="784">
        <f>'Input Tally'!J112</f>
        <v>0</v>
      </c>
      <c r="K220" s="435">
        <f t="shared" si="82"/>
        <v>0</v>
      </c>
      <c r="L220" s="435">
        <f t="shared" si="83"/>
        <v>0</v>
      </c>
      <c r="M220" s="783"/>
    </row>
    <row r="221" spans="2:15" ht="15">
      <c r="B221" s="436" t="s">
        <v>862</v>
      </c>
      <c r="C221" s="437"/>
      <c r="D221" s="731"/>
      <c r="E221" s="731"/>
      <c r="F221" s="732"/>
      <c r="G221" s="733"/>
      <c r="H221" s="436" t="s">
        <v>862</v>
      </c>
      <c r="I221" s="437"/>
      <c r="J221" s="731"/>
      <c r="K221" s="731"/>
      <c r="L221" s="732"/>
      <c r="M221" s="731"/>
    </row>
    <row r="222" spans="2:15" ht="15.65" thickBot="1">
      <c r="B222" s="438" t="s">
        <v>280</v>
      </c>
      <c r="C222" s="439"/>
      <c r="D222" s="734">
        <f>SUM(D211:D220)</f>
        <v>0</v>
      </c>
      <c r="E222" s="734">
        <f>(E220)</f>
        <v>0</v>
      </c>
      <c r="F222" s="735"/>
      <c r="G222" s="736"/>
      <c r="H222" s="438" t="s">
        <v>280</v>
      </c>
      <c r="I222" s="439"/>
      <c r="J222" s="734">
        <f>SUM(J211:J220)</f>
        <v>0</v>
      </c>
      <c r="K222" s="734">
        <f>(K220)</f>
        <v>0</v>
      </c>
      <c r="L222" s="735"/>
      <c r="M222" s="737"/>
    </row>
    <row r="223" spans="2:15" ht="15.25" thickTop="1">
      <c r="B223" s="457"/>
      <c r="C223" s="458"/>
      <c r="D223" s="458"/>
      <c r="E223" s="458"/>
      <c r="F223" s="458"/>
      <c r="G223" s="460"/>
      <c r="H223" s="457"/>
      <c r="I223" s="458"/>
      <c r="J223" s="458"/>
      <c r="K223" s="458"/>
      <c r="L223" s="458"/>
      <c r="M223" s="461"/>
    </row>
    <row r="224" spans="2:15">
      <c r="B224" s="782">
        <f>(B220+1)</f>
        <v>251</v>
      </c>
      <c r="C224" s="783">
        <v>1</v>
      </c>
      <c r="D224" s="784">
        <f>'Input Tally'!F114</f>
        <v>0</v>
      </c>
      <c r="E224" s="435">
        <f>IF(C224=1,E220+D224,E220)</f>
        <v>0</v>
      </c>
      <c r="F224" s="435">
        <f>IF(C220=1,F220-D220,F220)</f>
        <v>0</v>
      </c>
      <c r="G224" s="785"/>
      <c r="H224" s="782">
        <f>(H220+1)</f>
        <v>291</v>
      </c>
      <c r="I224" s="783">
        <v>1</v>
      </c>
      <c r="J224" s="784">
        <f>'Input Tally'!J114</f>
        <v>0</v>
      </c>
      <c r="K224" s="435">
        <f>IF(I224=1,K220+J224,K220)</f>
        <v>0</v>
      </c>
      <c r="L224" s="435">
        <f>IF(I220=1,L220-J220,L220)</f>
        <v>0</v>
      </c>
      <c r="M224" s="783"/>
      <c r="N224" s="390" t="s">
        <v>1339</v>
      </c>
      <c r="O224" s="390" t="str">
        <f>IF(D235='Input Tally'!F124,"OK","ERROR")</f>
        <v>OK</v>
      </c>
    </row>
    <row r="225" spans="1:15">
      <c r="B225" s="782">
        <f t="shared" ref="B225:B233" si="84">(B224+1)</f>
        <v>252</v>
      </c>
      <c r="C225" s="783">
        <v>1</v>
      </c>
      <c r="D225" s="784">
        <f>'Input Tally'!F115</f>
        <v>0</v>
      </c>
      <c r="E225" s="435">
        <f t="shared" ref="E225:E233" si="85">IF(C225=1,E224+D225,E224)</f>
        <v>0</v>
      </c>
      <c r="F225" s="435">
        <f t="shared" ref="F225:F233" si="86">IF(C224=1,F224-D224,F224)</f>
        <v>0</v>
      </c>
      <c r="G225" s="785"/>
      <c r="H225" s="782">
        <f t="shared" ref="H225:H233" si="87">(H224+1)</f>
        <v>292</v>
      </c>
      <c r="I225" s="783">
        <v>1</v>
      </c>
      <c r="J225" s="784">
        <f>'Input Tally'!J115</f>
        <v>0</v>
      </c>
      <c r="K225" s="435">
        <f t="shared" ref="K225:K233" si="88">IF(I225=1,K224+J225,K224)</f>
        <v>0</v>
      </c>
      <c r="L225" s="435">
        <f t="shared" ref="L225:L233" si="89">IF(I224=1,L224-J224,L224)</f>
        <v>0</v>
      </c>
      <c r="M225" s="783"/>
    </row>
    <row r="226" spans="1:15">
      <c r="B226" s="782">
        <f t="shared" si="84"/>
        <v>253</v>
      </c>
      <c r="C226" s="783">
        <v>1</v>
      </c>
      <c r="D226" s="784">
        <f>'Input Tally'!F116</f>
        <v>0</v>
      </c>
      <c r="E226" s="435">
        <f t="shared" si="85"/>
        <v>0</v>
      </c>
      <c r="F226" s="435">
        <f t="shared" si="86"/>
        <v>0</v>
      </c>
      <c r="G226" s="785"/>
      <c r="H226" s="782">
        <f t="shared" si="87"/>
        <v>293</v>
      </c>
      <c r="I226" s="783">
        <v>1</v>
      </c>
      <c r="J226" s="784">
        <f>'Input Tally'!J116</f>
        <v>0</v>
      </c>
      <c r="K226" s="435">
        <f t="shared" si="88"/>
        <v>0</v>
      </c>
      <c r="L226" s="435">
        <f t="shared" si="89"/>
        <v>0</v>
      </c>
      <c r="M226" s="783"/>
    </row>
    <row r="227" spans="1:15">
      <c r="B227" s="782">
        <f t="shared" si="84"/>
        <v>254</v>
      </c>
      <c r="C227" s="783">
        <v>1</v>
      </c>
      <c r="D227" s="784">
        <f>'Input Tally'!F117</f>
        <v>0</v>
      </c>
      <c r="E227" s="435">
        <f t="shared" si="85"/>
        <v>0</v>
      </c>
      <c r="F227" s="435">
        <f t="shared" si="86"/>
        <v>0</v>
      </c>
      <c r="G227" s="785"/>
      <c r="H227" s="782">
        <f t="shared" si="87"/>
        <v>294</v>
      </c>
      <c r="I227" s="783">
        <v>1</v>
      </c>
      <c r="J227" s="784">
        <f>'Input Tally'!J117</f>
        <v>0</v>
      </c>
      <c r="K227" s="435">
        <f t="shared" si="88"/>
        <v>0</v>
      </c>
      <c r="L227" s="435">
        <f t="shared" si="89"/>
        <v>0</v>
      </c>
      <c r="M227" s="783"/>
      <c r="N227" s="390" t="s">
        <v>1340</v>
      </c>
      <c r="O227" s="390" t="str">
        <f>IF(J235='Input Tally'!J124,"OK","ERROR")</f>
        <v>OK</v>
      </c>
    </row>
    <row r="228" spans="1:15">
      <c r="B228" s="782">
        <f t="shared" si="84"/>
        <v>255</v>
      </c>
      <c r="C228" s="783">
        <v>1</v>
      </c>
      <c r="D228" s="784">
        <f>'Input Tally'!F118</f>
        <v>0</v>
      </c>
      <c r="E228" s="435">
        <f t="shared" si="85"/>
        <v>0</v>
      </c>
      <c r="F228" s="435">
        <f t="shared" si="86"/>
        <v>0</v>
      </c>
      <c r="G228" s="785"/>
      <c r="H228" s="782">
        <f t="shared" si="87"/>
        <v>295</v>
      </c>
      <c r="I228" s="783">
        <v>1</v>
      </c>
      <c r="J228" s="784">
        <f>'Input Tally'!J118</f>
        <v>0</v>
      </c>
      <c r="K228" s="435">
        <f t="shared" si="88"/>
        <v>0</v>
      </c>
      <c r="L228" s="435">
        <f t="shared" si="89"/>
        <v>0</v>
      </c>
      <c r="M228" s="783"/>
    </row>
    <row r="229" spans="1:15">
      <c r="B229" s="782">
        <f t="shared" si="84"/>
        <v>256</v>
      </c>
      <c r="C229" s="783">
        <v>1</v>
      </c>
      <c r="D229" s="784">
        <f>'Input Tally'!F119</f>
        <v>0</v>
      </c>
      <c r="E229" s="435">
        <f t="shared" si="85"/>
        <v>0</v>
      </c>
      <c r="F229" s="435">
        <f t="shared" si="86"/>
        <v>0</v>
      </c>
      <c r="G229" s="785"/>
      <c r="H229" s="782">
        <f t="shared" si="87"/>
        <v>296</v>
      </c>
      <c r="I229" s="783">
        <v>1</v>
      </c>
      <c r="J229" s="784">
        <f>'Input Tally'!J119</f>
        <v>0</v>
      </c>
      <c r="K229" s="435">
        <f t="shared" si="88"/>
        <v>0</v>
      </c>
      <c r="L229" s="435">
        <f t="shared" si="89"/>
        <v>0</v>
      </c>
      <c r="M229" s="783"/>
    </row>
    <row r="230" spans="1:15">
      <c r="B230" s="782">
        <f t="shared" si="84"/>
        <v>257</v>
      </c>
      <c r="C230" s="783">
        <v>1</v>
      </c>
      <c r="D230" s="784">
        <f>'Input Tally'!F120</f>
        <v>0</v>
      </c>
      <c r="E230" s="435">
        <f t="shared" si="85"/>
        <v>0</v>
      </c>
      <c r="F230" s="435">
        <f t="shared" si="86"/>
        <v>0</v>
      </c>
      <c r="G230" s="785"/>
      <c r="H230" s="782">
        <f t="shared" si="87"/>
        <v>297</v>
      </c>
      <c r="I230" s="783">
        <v>1</v>
      </c>
      <c r="J230" s="784">
        <f>'Input Tally'!J120</f>
        <v>0</v>
      </c>
      <c r="K230" s="435">
        <f t="shared" si="88"/>
        <v>0</v>
      </c>
      <c r="L230" s="435">
        <f t="shared" si="89"/>
        <v>0</v>
      </c>
      <c r="M230" s="783"/>
    </row>
    <row r="231" spans="1:15">
      <c r="B231" s="782">
        <f t="shared" si="84"/>
        <v>258</v>
      </c>
      <c r="C231" s="783">
        <v>1</v>
      </c>
      <c r="D231" s="784">
        <f>'Input Tally'!F121</f>
        <v>0</v>
      </c>
      <c r="E231" s="435">
        <f t="shared" si="85"/>
        <v>0</v>
      </c>
      <c r="F231" s="435">
        <f t="shared" si="86"/>
        <v>0</v>
      </c>
      <c r="G231" s="785"/>
      <c r="H231" s="782">
        <f t="shared" si="87"/>
        <v>298</v>
      </c>
      <c r="I231" s="783">
        <v>1</v>
      </c>
      <c r="J231" s="784">
        <f>'Input Tally'!J121</f>
        <v>0</v>
      </c>
      <c r="K231" s="435">
        <f t="shared" si="88"/>
        <v>0</v>
      </c>
      <c r="L231" s="435">
        <f t="shared" si="89"/>
        <v>0</v>
      </c>
      <c r="M231" s="783"/>
    </row>
    <row r="232" spans="1:15">
      <c r="B232" s="782">
        <f t="shared" si="84"/>
        <v>259</v>
      </c>
      <c r="C232" s="783">
        <v>1</v>
      </c>
      <c r="D232" s="784">
        <f>'Input Tally'!F122</f>
        <v>0</v>
      </c>
      <c r="E232" s="435">
        <f t="shared" si="85"/>
        <v>0</v>
      </c>
      <c r="F232" s="435">
        <f t="shared" si="86"/>
        <v>0</v>
      </c>
      <c r="G232" s="785"/>
      <c r="H232" s="782">
        <f t="shared" si="87"/>
        <v>299</v>
      </c>
      <c r="I232" s="783">
        <v>1</v>
      </c>
      <c r="J232" s="784">
        <f>'Input Tally'!J122</f>
        <v>0</v>
      </c>
      <c r="K232" s="435">
        <f t="shared" si="88"/>
        <v>0</v>
      </c>
      <c r="L232" s="435">
        <f t="shared" si="89"/>
        <v>0</v>
      </c>
      <c r="M232" s="783"/>
    </row>
    <row r="233" spans="1:15">
      <c r="B233" s="782">
        <f t="shared" si="84"/>
        <v>260</v>
      </c>
      <c r="C233" s="783">
        <v>1</v>
      </c>
      <c r="D233" s="784">
        <f>'Input Tally'!F123</f>
        <v>0</v>
      </c>
      <c r="E233" s="435">
        <f t="shared" si="85"/>
        <v>0</v>
      </c>
      <c r="F233" s="435">
        <f t="shared" si="86"/>
        <v>0</v>
      </c>
      <c r="G233" s="785"/>
      <c r="H233" s="782">
        <f t="shared" si="87"/>
        <v>300</v>
      </c>
      <c r="I233" s="783">
        <v>1</v>
      </c>
      <c r="J233" s="784">
        <f>'Input Tally'!J123</f>
        <v>0</v>
      </c>
      <c r="K233" s="435">
        <f t="shared" si="88"/>
        <v>0</v>
      </c>
      <c r="L233" s="435">
        <f t="shared" si="89"/>
        <v>0</v>
      </c>
      <c r="M233" s="783"/>
    </row>
    <row r="234" spans="1:15" ht="15">
      <c r="B234" s="436" t="s">
        <v>862</v>
      </c>
      <c r="C234" s="437"/>
      <c r="D234" s="731"/>
      <c r="E234" s="731"/>
      <c r="F234" s="732"/>
      <c r="G234" s="733"/>
      <c r="H234" s="436" t="s">
        <v>862</v>
      </c>
      <c r="I234" s="437"/>
      <c r="J234" s="731"/>
      <c r="K234" s="731"/>
      <c r="L234" s="732"/>
      <c r="M234" s="731"/>
    </row>
    <row r="235" spans="1:15" ht="15.75" customHeight="1" thickBot="1">
      <c r="B235" s="438" t="s">
        <v>280</v>
      </c>
      <c r="C235" s="439"/>
      <c r="D235" s="734">
        <f>SUM(D224:D233)</f>
        <v>0</v>
      </c>
      <c r="E235" s="734">
        <f>(E233)</f>
        <v>0</v>
      </c>
      <c r="F235" s="735"/>
      <c r="G235" s="736"/>
      <c r="H235" s="438" t="s">
        <v>280</v>
      </c>
      <c r="I235" s="439"/>
      <c r="J235" s="734">
        <f>SUM(J224:J233)</f>
        <v>0</v>
      </c>
      <c r="K235" s="734">
        <f>(K233)</f>
        <v>0</v>
      </c>
      <c r="L235" s="735"/>
      <c r="M235" s="737"/>
    </row>
    <row r="236" spans="1:15" ht="15.25" hidden="1" thickTop="1">
      <c r="A236" s="2273" t="s">
        <v>938</v>
      </c>
      <c r="B236" s="2273"/>
      <c r="C236" s="2273"/>
      <c r="D236" s="2273"/>
      <c r="E236" s="2273"/>
      <c r="F236" s="2273"/>
      <c r="G236" s="2273"/>
      <c r="H236" s="2273"/>
      <c r="I236" s="2273"/>
      <c r="J236" s="2273"/>
      <c r="K236" s="2273"/>
      <c r="L236" s="2273"/>
      <c r="M236" s="2273"/>
    </row>
    <row r="237" spans="1:15" ht="18.45" thickTop="1">
      <c r="B237" s="445">
        <f>B2</f>
        <v>0</v>
      </c>
      <c r="C237" s="446"/>
      <c r="D237" s="446"/>
      <c r="E237" s="446"/>
      <c r="F237" s="446"/>
      <c r="G237" s="446"/>
      <c r="H237" s="446"/>
      <c r="I237" s="446"/>
      <c r="J237" s="393" t="s">
        <v>833</v>
      </c>
      <c r="K237" s="394">
        <f>IF(D244&gt;0,5,0)</f>
        <v>0</v>
      </c>
      <c r="L237" s="395" t="s">
        <v>464</v>
      </c>
      <c r="M237" s="780">
        <f>IF(K237=5,5,0)</f>
        <v>0</v>
      </c>
      <c r="N237" s="390">
        <v>0</v>
      </c>
    </row>
    <row r="238" spans="1:15">
      <c r="B238" s="396"/>
      <c r="M238" s="450"/>
    </row>
    <row r="239" spans="1:15">
      <c r="B239" s="448" t="s">
        <v>834</v>
      </c>
      <c r="F239" s="2252" t="str">
        <f>IF(D244&gt;0,F4," ")</f>
        <v xml:space="preserve"> </v>
      </c>
      <c r="G239" s="2253"/>
      <c r="H239" s="2253"/>
      <c r="I239" s="2253"/>
      <c r="J239" s="2253"/>
      <c r="K239" s="2254"/>
      <c r="L239" s="403" t="s">
        <v>221</v>
      </c>
      <c r="M239" s="449" t="str">
        <f>IF(K237=5,M4," ")</f>
        <v xml:space="preserve"> </v>
      </c>
    </row>
    <row r="240" spans="1:15">
      <c r="B240" s="457"/>
      <c r="C240" s="458"/>
      <c r="D240" s="458"/>
      <c r="E240" s="458"/>
      <c r="F240" s="458"/>
      <c r="G240" s="458"/>
      <c r="H240" s="458"/>
      <c r="I240" s="458"/>
      <c r="J240" s="458"/>
      <c r="K240" s="458"/>
      <c r="L240" s="458"/>
      <c r="M240" s="459"/>
    </row>
    <row r="241" spans="2:15">
      <c r="B241" s="451"/>
      <c r="C241" s="426"/>
      <c r="D241" s="424" t="s">
        <v>852</v>
      </c>
      <c r="E241" s="424" t="s">
        <v>280</v>
      </c>
      <c r="F241" s="424" t="s">
        <v>853</v>
      </c>
      <c r="G241" s="425"/>
      <c r="H241" s="426"/>
      <c r="I241" s="426"/>
      <c r="J241" s="424" t="s">
        <v>852</v>
      </c>
      <c r="K241" s="424" t="s">
        <v>280</v>
      </c>
      <c r="L241" s="424" t="s">
        <v>853</v>
      </c>
      <c r="M241" s="426"/>
    </row>
    <row r="242" spans="2:15">
      <c r="B242" s="427" t="s">
        <v>854</v>
      </c>
      <c r="C242" s="428" t="s">
        <v>863</v>
      </c>
      <c r="D242" s="428" t="s">
        <v>856</v>
      </c>
      <c r="E242" s="428" t="s">
        <v>857</v>
      </c>
      <c r="F242" s="428" t="s">
        <v>858</v>
      </c>
      <c r="G242" s="429"/>
      <c r="H242" s="428" t="s">
        <v>854</v>
      </c>
      <c r="I242" s="428" t="s">
        <v>863</v>
      </c>
      <c r="J242" s="428" t="s">
        <v>856</v>
      </c>
      <c r="K242" s="428" t="s">
        <v>857</v>
      </c>
      <c r="L242" s="428" t="s">
        <v>858</v>
      </c>
      <c r="M242" s="401"/>
    </row>
    <row r="243" spans="2:15" ht="15.65" thickBot="1">
      <c r="B243" s="430" t="s">
        <v>859</v>
      </c>
      <c r="C243" s="455" t="s">
        <v>864</v>
      </c>
      <c r="D243" s="432" t="str">
        <f>E243</f>
        <v xml:space="preserve">m </v>
      </c>
      <c r="E243" s="432" t="str">
        <f>F243</f>
        <v xml:space="preserve">m </v>
      </c>
      <c r="F243" s="432" t="str">
        <f>J243</f>
        <v xml:space="preserve">m </v>
      </c>
      <c r="G243" s="456" t="s">
        <v>869</v>
      </c>
      <c r="H243" s="432" t="s">
        <v>859</v>
      </c>
      <c r="I243" s="455" t="s">
        <v>864</v>
      </c>
      <c r="J243" s="432" t="str">
        <f>K243</f>
        <v xml:space="preserve">m </v>
      </c>
      <c r="K243" s="432" t="str">
        <f>L243</f>
        <v xml:space="preserve">m </v>
      </c>
      <c r="L243" s="432" t="str">
        <f>L184</f>
        <v xml:space="preserve">m </v>
      </c>
      <c r="M243" s="432" t="s">
        <v>869</v>
      </c>
    </row>
    <row r="244" spans="2:15" ht="15.25" thickTop="1">
      <c r="B244" s="782">
        <f>(H233+1)</f>
        <v>301</v>
      </c>
      <c r="C244" s="783">
        <v>1</v>
      </c>
      <c r="D244" s="784">
        <f>'Input Tally'!B148</f>
        <v>0</v>
      </c>
      <c r="E244" s="435">
        <f>IF(C244=1,K233+D244,K233)</f>
        <v>0</v>
      </c>
      <c r="F244" s="435">
        <f>IF(I233=1,L233-J233,L233)</f>
        <v>0</v>
      </c>
      <c r="G244" s="785"/>
      <c r="H244" s="782">
        <f>(B292+1)</f>
        <v>341</v>
      </c>
      <c r="I244" s="783">
        <v>1</v>
      </c>
      <c r="J244" s="784">
        <f>'Input Tally'!F148</f>
        <v>0</v>
      </c>
      <c r="K244" s="435">
        <f>IF(I244=1,E292+J244,E292)</f>
        <v>0</v>
      </c>
      <c r="L244" s="435">
        <f>IF(C292=1,F292-D292,F292)</f>
        <v>0</v>
      </c>
      <c r="M244" s="783"/>
      <c r="N244" s="390" t="s">
        <v>1341</v>
      </c>
      <c r="O244" s="390" t="str">
        <f>IF(D255='Input Tally'!B158,"OK","ERROR")</f>
        <v>OK</v>
      </c>
    </row>
    <row r="245" spans="2:15">
      <c r="B245" s="782">
        <f t="shared" ref="B245:B253" si="90">(B244+1)</f>
        <v>302</v>
      </c>
      <c r="C245" s="783">
        <v>1</v>
      </c>
      <c r="D245" s="784">
        <f>'Input Tally'!B149</f>
        <v>0</v>
      </c>
      <c r="E245" s="435">
        <f t="shared" ref="E245:E253" si="91">IF(C245=1,E244+D245,E244)</f>
        <v>0</v>
      </c>
      <c r="F245" s="435">
        <f t="shared" ref="F245:F253" si="92">IF(C244=1,F244-D244,F244)</f>
        <v>0</v>
      </c>
      <c r="G245" s="785"/>
      <c r="H245" s="782">
        <f t="shared" ref="H245:H253" si="93">(H244+1)</f>
        <v>342</v>
      </c>
      <c r="I245" s="783">
        <v>1</v>
      </c>
      <c r="J245" s="784">
        <f>'Input Tally'!F149</f>
        <v>0</v>
      </c>
      <c r="K245" s="435">
        <f t="shared" ref="K245:K253" si="94">IF(I245=1,K244+J245,K244)</f>
        <v>0</v>
      </c>
      <c r="L245" s="435">
        <f t="shared" ref="L245:L253" si="95">IF(I244=1,L244-J244,L244)</f>
        <v>0</v>
      </c>
      <c r="M245" s="783"/>
    </row>
    <row r="246" spans="2:15">
      <c r="B246" s="782">
        <f t="shared" si="90"/>
        <v>303</v>
      </c>
      <c r="C246" s="783">
        <v>1</v>
      </c>
      <c r="D246" s="784">
        <f>'Input Tally'!B150</f>
        <v>0</v>
      </c>
      <c r="E246" s="435">
        <f t="shared" si="91"/>
        <v>0</v>
      </c>
      <c r="F246" s="435">
        <f t="shared" si="92"/>
        <v>0</v>
      </c>
      <c r="G246" s="785"/>
      <c r="H246" s="782">
        <f t="shared" si="93"/>
        <v>343</v>
      </c>
      <c r="I246" s="783">
        <v>1</v>
      </c>
      <c r="J246" s="784">
        <f>'Input Tally'!F150</f>
        <v>0</v>
      </c>
      <c r="K246" s="435">
        <f t="shared" si="94"/>
        <v>0</v>
      </c>
      <c r="L246" s="435">
        <f t="shared" si="95"/>
        <v>0</v>
      </c>
      <c r="M246" s="783"/>
    </row>
    <row r="247" spans="2:15">
      <c r="B247" s="782">
        <f t="shared" si="90"/>
        <v>304</v>
      </c>
      <c r="C247" s="783">
        <v>1</v>
      </c>
      <c r="D247" s="784">
        <f>'Input Tally'!B151</f>
        <v>0</v>
      </c>
      <c r="E247" s="435">
        <f t="shared" si="91"/>
        <v>0</v>
      </c>
      <c r="F247" s="435">
        <f t="shared" si="92"/>
        <v>0</v>
      </c>
      <c r="G247" s="785"/>
      <c r="H247" s="782">
        <f t="shared" si="93"/>
        <v>344</v>
      </c>
      <c r="I247" s="783">
        <v>1</v>
      </c>
      <c r="J247" s="784">
        <f>'Input Tally'!F151</f>
        <v>0</v>
      </c>
      <c r="K247" s="435">
        <f t="shared" si="94"/>
        <v>0</v>
      </c>
      <c r="L247" s="435">
        <f t="shared" si="95"/>
        <v>0</v>
      </c>
      <c r="M247" s="783"/>
      <c r="N247" s="390" t="s">
        <v>1342</v>
      </c>
      <c r="O247" s="390" t="str">
        <f>IF(J255='Input Tally'!F158,"OK","ERROR")</f>
        <v>OK</v>
      </c>
    </row>
    <row r="248" spans="2:15">
      <c r="B248" s="782">
        <f t="shared" si="90"/>
        <v>305</v>
      </c>
      <c r="C248" s="783">
        <v>1</v>
      </c>
      <c r="D248" s="784">
        <f>'Input Tally'!B152</f>
        <v>0</v>
      </c>
      <c r="E248" s="435">
        <f t="shared" si="91"/>
        <v>0</v>
      </c>
      <c r="F248" s="435">
        <f t="shared" si="92"/>
        <v>0</v>
      </c>
      <c r="G248" s="785"/>
      <c r="H248" s="782">
        <f t="shared" si="93"/>
        <v>345</v>
      </c>
      <c r="I248" s="783">
        <v>1</v>
      </c>
      <c r="J248" s="784">
        <f>'Input Tally'!F152</f>
        <v>0</v>
      </c>
      <c r="K248" s="435">
        <f t="shared" si="94"/>
        <v>0</v>
      </c>
      <c r="L248" s="435">
        <f t="shared" si="95"/>
        <v>0</v>
      </c>
      <c r="M248" s="783"/>
    </row>
    <row r="249" spans="2:15">
      <c r="B249" s="782">
        <f t="shared" si="90"/>
        <v>306</v>
      </c>
      <c r="C249" s="783">
        <v>1</v>
      </c>
      <c r="D249" s="784">
        <f>'Input Tally'!B153</f>
        <v>0</v>
      </c>
      <c r="E249" s="435">
        <f t="shared" si="91"/>
        <v>0</v>
      </c>
      <c r="F249" s="435">
        <f t="shared" si="92"/>
        <v>0</v>
      </c>
      <c r="G249" s="785"/>
      <c r="H249" s="782">
        <f t="shared" si="93"/>
        <v>346</v>
      </c>
      <c r="I249" s="783">
        <v>1</v>
      </c>
      <c r="J249" s="784">
        <f>'Input Tally'!F153</f>
        <v>0</v>
      </c>
      <c r="K249" s="435">
        <f t="shared" si="94"/>
        <v>0</v>
      </c>
      <c r="L249" s="435">
        <f t="shared" si="95"/>
        <v>0</v>
      </c>
      <c r="M249" s="783"/>
    </row>
    <row r="250" spans="2:15">
      <c r="B250" s="782">
        <f t="shared" si="90"/>
        <v>307</v>
      </c>
      <c r="C250" s="783">
        <v>1</v>
      </c>
      <c r="D250" s="784">
        <f>'Input Tally'!B154</f>
        <v>0</v>
      </c>
      <c r="E250" s="435">
        <f t="shared" si="91"/>
        <v>0</v>
      </c>
      <c r="F250" s="435">
        <f t="shared" si="92"/>
        <v>0</v>
      </c>
      <c r="G250" s="785"/>
      <c r="H250" s="782">
        <f t="shared" si="93"/>
        <v>347</v>
      </c>
      <c r="I250" s="783">
        <v>1</v>
      </c>
      <c r="J250" s="784">
        <f>'Input Tally'!F154</f>
        <v>0</v>
      </c>
      <c r="K250" s="435">
        <f t="shared" si="94"/>
        <v>0</v>
      </c>
      <c r="L250" s="435">
        <f t="shared" si="95"/>
        <v>0</v>
      </c>
      <c r="M250" s="783"/>
    </row>
    <row r="251" spans="2:15">
      <c r="B251" s="782">
        <f t="shared" si="90"/>
        <v>308</v>
      </c>
      <c r="C251" s="783">
        <v>1</v>
      </c>
      <c r="D251" s="784">
        <f>'Input Tally'!B155</f>
        <v>0</v>
      </c>
      <c r="E251" s="435">
        <f t="shared" si="91"/>
        <v>0</v>
      </c>
      <c r="F251" s="435">
        <f t="shared" si="92"/>
        <v>0</v>
      </c>
      <c r="G251" s="785"/>
      <c r="H251" s="782">
        <f t="shared" si="93"/>
        <v>348</v>
      </c>
      <c r="I251" s="783">
        <v>1</v>
      </c>
      <c r="J251" s="784">
        <f>'Input Tally'!F155</f>
        <v>0</v>
      </c>
      <c r="K251" s="435">
        <f t="shared" si="94"/>
        <v>0</v>
      </c>
      <c r="L251" s="435">
        <f t="shared" si="95"/>
        <v>0</v>
      </c>
      <c r="M251" s="783"/>
    </row>
    <row r="252" spans="2:15">
      <c r="B252" s="782">
        <f t="shared" si="90"/>
        <v>309</v>
      </c>
      <c r="C252" s="783">
        <v>1</v>
      </c>
      <c r="D252" s="784">
        <f>'Input Tally'!B156</f>
        <v>0</v>
      </c>
      <c r="E252" s="435">
        <f t="shared" si="91"/>
        <v>0</v>
      </c>
      <c r="F252" s="435">
        <f t="shared" si="92"/>
        <v>0</v>
      </c>
      <c r="G252" s="785"/>
      <c r="H252" s="782">
        <f t="shared" si="93"/>
        <v>349</v>
      </c>
      <c r="I252" s="783">
        <v>1</v>
      </c>
      <c r="J252" s="784">
        <f>'Input Tally'!F156</f>
        <v>0</v>
      </c>
      <c r="K252" s="435">
        <f t="shared" si="94"/>
        <v>0</v>
      </c>
      <c r="L252" s="435">
        <f t="shared" si="95"/>
        <v>0</v>
      </c>
      <c r="M252" s="783"/>
    </row>
    <row r="253" spans="2:15">
      <c r="B253" s="782">
        <f t="shared" si="90"/>
        <v>310</v>
      </c>
      <c r="C253" s="783">
        <v>1</v>
      </c>
      <c r="D253" s="784">
        <f>'Input Tally'!B157</f>
        <v>0</v>
      </c>
      <c r="E253" s="435">
        <f t="shared" si="91"/>
        <v>0</v>
      </c>
      <c r="F253" s="435">
        <f t="shared" si="92"/>
        <v>0</v>
      </c>
      <c r="G253" s="785"/>
      <c r="H253" s="782">
        <f t="shared" si="93"/>
        <v>350</v>
      </c>
      <c r="I253" s="783">
        <v>1</v>
      </c>
      <c r="J253" s="784">
        <f>'Input Tally'!F157</f>
        <v>0</v>
      </c>
      <c r="K253" s="435">
        <f t="shared" si="94"/>
        <v>0</v>
      </c>
      <c r="L253" s="435">
        <f t="shared" si="95"/>
        <v>0</v>
      </c>
      <c r="M253" s="783"/>
    </row>
    <row r="254" spans="2:15" ht="15">
      <c r="B254" s="436" t="s">
        <v>862</v>
      </c>
      <c r="C254" s="437"/>
      <c r="D254" s="731"/>
      <c r="E254" s="731"/>
      <c r="F254" s="732"/>
      <c r="G254" s="733"/>
      <c r="H254" s="436" t="s">
        <v>862</v>
      </c>
      <c r="I254" s="437"/>
      <c r="J254" s="731"/>
      <c r="K254" s="731"/>
      <c r="L254" s="732"/>
      <c r="M254" s="731"/>
    </row>
    <row r="255" spans="2:15" ht="15.65" thickBot="1">
      <c r="B255" s="438" t="s">
        <v>280</v>
      </c>
      <c r="C255" s="439"/>
      <c r="D255" s="734">
        <f>SUM(D244:D253)</f>
        <v>0</v>
      </c>
      <c r="E255" s="734">
        <f>(E253)</f>
        <v>0</v>
      </c>
      <c r="F255" s="735"/>
      <c r="G255" s="736"/>
      <c r="H255" s="438" t="s">
        <v>280</v>
      </c>
      <c r="I255" s="439"/>
      <c r="J255" s="734">
        <f>SUM(J244:J253)</f>
        <v>0</v>
      </c>
      <c r="K255" s="734">
        <f>(K253)</f>
        <v>0</v>
      </c>
      <c r="L255" s="735"/>
      <c r="M255" s="737"/>
    </row>
    <row r="256" spans="2:15" ht="15.25" thickTop="1">
      <c r="B256" s="457"/>
      <c r="C256" s="458"/>
      <c r="D256" s="458"/>
      <c r="E256" s="458"/>
      <c r="F256" s="458"/>
      <c r="G256" s="460"/>
      <c r="H256" s="457"/>
      <c r="I256" s="458"/>
      <c r="J256" s="458"/>
      <c r="K256" s="458"/>
      <c r="L256" s="458"/>
      <c r="M256" s="461"/>
    </row>
    <row r="257" spans="2:15">
      <c r="B257" s="782">
        <f>(B253+1)</f>
        <v>311</v>
      </c>
      <c r="C257" s="783">
        <v>1</v>
      </c>
      <c r="D257" s="784">
        <f>'Input Tally'!B159</f>
        <v>0</v>
      </c>
      <c r="E257" s="435">
        <f>IF(C257=1,E253+D257,E253)</f>
        <v>0</v>
      </c>
      <c r="F257" s="435">
        <f>IF(C253=1,F253-D253,F253)</f>
        <v>0</v>
      </c>
      <c r="G257" s="462"/>
      <c r="H257" s="782">
        <f>(H253+1)</f>
        <v>351</v>
      </c>
      <c r="I257" s="783">
        <v>1</v>
      </c>
      <c r="J257" s="784">
        <f>'Input Tally'!F159</f>
        <v>0</v>
      </c>
      <c r="K257" s="435">
        <f>IF(I257=1,K253+J257,K253)</f>
        <v>0</v>
      </c>
      <c r="L257" s="435">
        <f>IF(I253=1,L253-J253,L253)</f>
        <v>0</v>
      </c>
      <c r="M257" s="783"/>
      <c r="N257" s="390" t="s">
        <v>1343</v>
      </c>
      <c r="O257" s="390" t="str">
        <f>IF(D268='Input Tally'!B169,"OK","ERROR")</f>
        <v>OK</v>
      </c>
    </row>
    <row r="258" spans="2:15">
      <c r="B258" s="782">
        <f t="shared" ref="B258:B266" si="96">(B257+1)</f>
        <v>312</v>
      </c>
      <c r="C258" s="783">
        <v>1</v>
      </c>
      <c r="D258" s="784">
        <f>'Input Tally'!B160</f>
        <v>0</v>
      </c>
      <c r="E258" s="435">
        <f t="shared" ref="E258:E266" si="97">IF(C258=1,E257+D258,E257)</f>
        <v>0</v>
      </c>
      <c r="F258" s="435">
        <f t="shared" ref="F258:F266" si="98">IF(C257=1,F257-D257,F257)</f>
        <v>0</v>
      </c>
      <c r="G258" s="462"/>
      <c r="H258" s="782">
        <f t="shared" ref="H258:H266" si="99">(H257+1)</f>
        <v>352</v>
      </c>
      <c r="I258" s="783">
        <v>1</v>
      </c>
      <c r="J258" s="784">
        <f>'Input Tally'!F160</f>
        <v>0</v>
      </c>
      <c r="K258" s="435">
        <f t="shared" ref="K258:K266" si="100">IF(I258=1,K257+J258,K257)</f>
        <v>0</v>
      </c>
      <c r="L258" s="435">
        <f t="shared" ref="L258:L266" si="101">IF(I257=1,L257-J257,L257)</f>
        <v>0</v>
      </c>
      <c r="M258" s="783"/>
    </row>
    <row r="259" spans="2:15">
      <c r="B259" s="782">
        <f t="shared" si="96"/>
        <v>313</v>
      </c>
      <c r="C259" s="783">
        <v>1</v>
      </c>
      <c r="D259" s="784">
        <f>'Input Tally'!B161</f>
        <v>0</v>
      </c>
      <c r="E259" s="435">
        <f t="shared" si="97"/>
        <v>0</v>
      </c>
      <c r="F259" s="435">
        <f t="shared" si="98"/>
        <v>0</v>
      </c>
      <c r="G259" s="462"/>
      <c r="H259" s="782">
        <f t="shared" si="99"/>
        <v>353</v>
      </c>
      <c r="I259" s="783">
        <v>1</v>
      </c>
      <c r="J259" s="784">
        <f>'Input Tally'!F161</f>
        <v>0</v>
      </c>
      <c r="K259" s="435">
        <f t="shared" si="100"/>
        <v>0</v>
      </c>
      <c r="L259" s="435">
        <f t="shared" si="101"/>
        <v>0</v>
      </c>
      <c r="M259" s="783"/>
    </row>
    <row r="260" spans="2:15">
      <c r="B260" s="782">
        <f t="shared" si="96"/>
        <v>314</v>
      </c>
      <c r="C260" s="783">
        <v>1</v>
      </c>
      <c r="D260" s="784">
        <f>'Input Tally'!B162</f>
        <v>0</v>
      </c>
      <c r="E260" s="435">
        <f t="shared" si="97"/>
        <v>0</v>
      </c>
      <c r="F260" s="435">
        <f t="shared" si="98"/>
        <v>0</v>
      </c>
      <c r="G260" s="462"/>
      <c r="H260" s="782">
        <f t="shared" si="99"/>
        <v>354</v>
      </c>
      <c r="I260" s="783">
        <v>1</v>
      </c>
      <c r="J260" s="784">
        <f>'Input Tally'!F162</f>
        <v>0</v>
      </c>
      <c r="K260" s="435">
        <f t="shared" si="100"/>
        <v>0</v>
      </c>
      <c r="L260" s="435">
        <f t="shared" si="101"/>
        <v>0</v>
      </c>
      <c r="M260" s="783"/>
      <c r="N260" s="390" t="s">
        <v>1344</v>
      </c>
      <c r="O260" s="390" t="str">
        <f>IF(J268='Input Tally'!F169,"OK","ERROR")</f>
        <v>OK</v>
      </c>
    </row>
    <row r="261" spans="2:15">
      <c r="B261" s="782">
        <f t="shared" si="96"/>
        <v>315</v>
      </c>
      <c r="C261" s="783">
        <v>1</v>
      </c>
      <c r="D261" s="784">
        <f>'Input Tally'!B163</f>
        <v>0</v>
      </c>
      <c r="E261" s="435">
        <f t="shared" si="97"/>
        <v>0</v>
      </c>
      <c r="F261" s="435">
        <f t="shared" si="98"/>
        <v>0</v>
      </c>
      <c r="G261" s="462"/>
      <c r="H261" s="782">
        <f t="shared" si="99"/>
        <v>355</v>
      </c>
      <c r="I261" s="783">
        <v>1</v>
      </c>
      <c r="J261" s="784">
        <f>'Input Tally'!F163</f>
        <v>0</v>
      </c>
      <c r="K261" s="435">
        <f t="shared" si="100"/>
        <v>0</v>
      </c>
      <c r="L261" s="435">
        <f t="shared" si="101"/>
        <v>0</v>
      </c>
      <c r="M261" s="783"/>
    </row>
    <row r="262" spans="2:15">
      <c r="B262" s="782">
        <f t="shared" si="96"/>
        <v>316</v>
      </c>
      <c r="C262" s="783">
        <v>1</v>
      </c>
      <c r="D262" s="784">
        <f>'Input Tally'!B164</f>
        <v>0</v>
      </c>
      <c r="E262" s="435">
        <f t="shared" si="97"/>
        <v>0</v>
      </c>
      <c r="F262" s="435">
        <f t="shared" si="98"/>
        <v>0</v>
      </c>
      <c r="G262" s="462"/>
      <c r="H262" s="782">
        <f t="shared" si="99"/>
        <v>356</v>
      </c>
      <c r="I262" s="783">
        <v>1</v>
      </c>
      <c r="J262" s="784">
        <f>'Input Tally'!F164</f>
        <v>0</v>
      </c>
      <c r="K262" s="435">
        <f t="shared" si="100"/>
        <v>0</v>
      </c>
      <c r="L262" s="435">
        <f t="shared" si="101"/>
        <v>0</v>
      </c>
      <c r="M262" s="783"/>
    </row>
    <row r="263" spans="2:15">
      <c r="B263" s="782">
        <f t="shared" si="96"/>
        <v>317</v>
      </c>
      <c r="C263" s="783">
        <v>1</v>
      </c>
      <c r="D263" s="784">
        <f>'Input Tally'!B165</f>
        <v>0</v>
      </c>
      <c r="E263" s="435">
        <f t="shared" si="97"/>
        <v>0</v>
      </c>
      <c r="F263" s="435">
        <f t="shared" si="98"/>
        <v>0</v>
      </c>
      <c r="G263" s="462"/>
      <c r="H263" s="782">
        <f t="shared" si="99"/>
        <v>357</v>
      </c>
      <c r="I263" s="783">
        <v>1</v>
      </c>
      <c r="J263" s="784">
        <f>'Input Tally'!F165</f>
        <v>0</v>
      </c>
      <c r="K263" s="435">
        <f t="shared" si="100"/>
        <v>0</v>
      </c>
      <c r="L263" s="435">
        <f t="shared" si="101"/>
        <v>0</v>
      </c>
      <c r="M263" s="783"/>
    </row>
    <row r="264" spans="2:15">
      <c r="B264" s="782">
        <f t="shared" si="96"/>
        <v>318</v>
      </c>
      <c r="C264" s="783">
        <v>1</v>
      </c>
      <c r="D264" s="784">
        <f>'Input Tally'!B166</f>
        <v>0</v>
      </c>
      <c r="E264" s="435">
        <f t="shared" si="97"/>
        <v>0</v>
      </c>
      <c r="F264" s="435">
        <f t="shared" si="98"/>
        <v>0</v>
      </c>
      <c r="G264" s="462"/>
      <c r="H264" s="782">
        <f t="shared" si="99"/>
        <v>358</v>
      </c>
      <c r="I264" s="783">
        <v>1</v>
      </c>
      <c r="J264" s="784">
        <f>'Input Tally'!F166</f>
        <v>0</v>
      </c>
      <c r="K264" s="435">
        <f t="shared" si="100"/>
        <v>0</v>
      </c>
      <c r="L264" s="435">
        <f t="shared" si="101"/>
        <v>0</v>
      </c>
      <c r="M264" s="783"/>
    </row>
    <row r="265" spans="2:15">
      <c r="B265" s="782">
        <f t="shared" si="96"/>
        <v>319</v>
      </c>
      <c r="C265" s="783">
        <v>1</v>
      </c>
      <c r="D265" s="784">
        <f>'Input Tally'!B167</f>
        <v>0</v>
      </c>
      <c r="E265" s="435">
        <f t="shared" si="97"/>
        <v>0</v>
      </c>
      <c r="F265" s="435">
        <f t="shared" si="98"/>
        <v>0</v>
      </c>
      <c r="G265" s="462"/>
      <c r="H265" s="782">
        <f t="shared" si="99"/>
        <v>359</v>
      </c>
      <c r="I265" s="783">
        <v>1</v>
      </c>
      <c r="J265" s="784">
        <f>'Input Tally'!F167</f>
        <v>0</v>
      </c>
      <c r="K265" s="435">
        <f t="shared" si="100"/>
        <v>0</v>
      </c>
      <c r="L265" s="435">
        <f t="shared" si="101"/>
        <v>0</v>
      </c>
      <c r="M265" s="783"/>
    </row>
    <row r="266" spans="2:15">
      <c r="B266" s="782">
        <f t="shared" si="96"/>
        <v>320</v>
      </c>
      <c r="C266" s="783">
        <v>1</v>
      </c>
      <c r="D266" s="784">
        <f>'Input Tally'!B168</f>
        <v>0</v>
      </c>
      <c r="E266" s="435">
        <f t="shared" si="97"/>
        <v>0</v>
      </c>
      <c r="F266" s="435">
        <f t="shared" si="98"/>
        <v>0</v>
      </c>
      <c r="G266" s="462"/>
      <c r="H266" s="782">
        <f t="shared" si="99"/>
        <v>360</v>
      </c>
      <c r="I266" s="783">
        <v>1</v>
      </c>
      <c r="J266" s="784">
        <f>'Input Tally'!F168</f>
        <v>0</v>
      </c>
      <c r="K266" s="435">
        <f t="shared" si="100"/>
        <v>0</v>
      </c>
      <c r="L266" s="435">
        <f t="shared" si="101"/>
        <v>0</v>
      </c>
      <c r="M266" s="783"/>
    </row>
    <row r="267" spans="2:15" ht="15">
      <c r="B267" s="436" t="s">
        <v>862</v>
      </c>
      <c r="C267" s="437"/>
      <c r="D267" s="731"/>
      <c r="E267" s="731"/>
      <c r="F267" s="732"/>
      <c r="G267" s="733"/>
      <c r="H267" s="436" t="s">
        <v>862</v>
      </c>
      <c r="I267" s="437"/>
      <c r="J267" s="731"/>
      <c r="K267" s="731"/>
      <c r="L267" s="732"/>
      <c r="M267" s="733"/>
    </row>
    <row r="268" spans="2:15" ht="15.65" thickBot="1">
      <c r="B268" s="438" t="s">
        <v>280</v>
      </c>
      <c r="C268" s="439"/>
      <c r="D268" s="734">
        <f>SUM(D257:D266)</f>
        <v>0</v>
      </c>
      <c r="E268" s="734">
        <f>(E266)</f>
        <v>0</v>
      </c>
      <c r="F268" s="735"/>
      <c r="G268" s="736"/>
      <c r="H268" s="438" t="s">
        <v>280</v>
      </c>
      <c r="I268" s="439"/>
      <c r="J268" s="734">
        <f>SUM(J257:J266)</f>
        <v>0</v>
      </c>
      <c r="K268" s="734">
        <f>(K266)</f>
        <v>0</v>
      </c>
      <c r="L268" s="735"/>
      <c r="M268" s="736"/>
    </row>
    <row r="269" spans="2:15" ht="15.25" thickTop="1">
      <c r="B269" s="457"/>
      <c r="C269" s="458"/>
      <c r="D269" s="458"/>
      <c r="E269" s="458"/>
      <c r="F269" s="458"/>
      <c r="G269" s="460"/>
      <c r="H269" s="457"/>
      <c r="I269" s="458"/>
      <c r="J269" s="458"/>
      <c r="K269" s="458"/>
      <c r="L269" s="458"/>
      <c r="M269" s="461"/>
    </row>
    <row r="270" spans="2:15">
      <c r="B270" s="782">
        <f>(B266+1)</f>
        <v>321</v>
      </c>
      <c r="C270" s="783">
        <v>1</v>
      </c>
      <c r="D270" s="784">
        <f>'Input Tally'!D148</f>
        <v>0</v>
      </c>
      <c r="E270" s="435">
        <f>IF(C270=1,E266+D270,E266)</f>
        <v>0</v>
      </c>
      <c r="F270" s="435">
        <f>IF(C266=1,F266-D266,F266)</f>
        <v>0</v>
      </c>
      <c r="G270" s="785"/>
      <c r="H270" s="782">
        <f>(H266+1)</f>
        <v>361</v>
      </c>
      <c r="I270" s="783">
        <v>1</v>
      </c>
      <c r="J270" s="784">
        <f>'Input Tally'!H148</f>
        <v>0</v>
      </c>
      <c r="K270" s="435">
        <f>IF(I270=1,K266+J270,K266)</f>
        <v>0</v>
      </c>
      <c r="L270" s="435">
        <f>IF(I266=1,L266-J266,L266)</f>
        <v>0</v>
      </c>
      <c r="M270" s="783"/>
      <c r="N270" s="390" t="s">
        <v>1345</v>
      </c>
      <c r="O270" s="390" t="str">
        <f>IF(D281='Input Tally'!D158,"OK","ERROR")</f>
        <v>OK</v>
      </c>
    </row>
    <row r="271" spans="2:15">
      <c r="B271" s="782">
        <f t="shared" ref="B271:B279" si="102">(B270+1)</f>
        <v>322</v>
      </c>
      <c r="C271" s="783">
        <v>1</v>
      </c>
      <c r="D271" s="784">
        <f>'Input Tally'!D149</f>
        <v>0</v>
      </c>
      <c r="E271" s="435">
        <f t="shared" ref="E271:E279" si="103">IF(C271=1,E270+D271,E270)</f>
        <v>0</v>
      </c>
      <c r="F271" s="435">
        <f t="shared" ref="F271:F279" si="104">IF(C270=1,F270-D270,F270)</f>
        <v>0</v>
      </c>
      <c r="G271" s="785"/>
      <c r="H271" s="782">
        <f t="shared" ref="H271:H279" si="105">(H270+1)</f>
        <v>362</v>
      </c>
      <c r="I271" s="783">
        <v>1</v>
      </c>
      <c r="J271" s="784">
        <f>'Input Tally'!H149</f>
        <v>0</v>
      </c>
      <c r="K271" s="435">
        <f t="shared" ref="K271:K279" si="106">IF(I271=1,K270+J271,K270)</f>
        <v>0</v>
      </c>
      <c r="L271" s="435">
        <f t="shared" ref="L271:L279" si="107">IF(I270=1,L270-J270,L270)</f>
        <v>0</v>
      </c>
      <c r="M271" s="783"/>
    </row>
    <row r="272" spans="2:15">
      <c r="B272" s="782">
        <f t="shared" si="102"/>
        <v>323</v>
      </c>
      <c r="C272" s="783">
        <v>1</v>
      </c>
      <c r="D272" s="784">
        <f>'Input Tally'!D150</f>
        <v>0</v>
      </c>
      <c r="E272" s="435">
        <f t="shared" si="103"/>
        <v>0</v>
      </c>
      <c r="F272" s="435">
        <f t="shared" si="104"/>
        <v>0</v>
      </c>
      <c r="G272" s="785"/>
      <c r="H272" s="782">
        <f t="shared" si="105"/>
        <v>363</v>
      </c>
      <c r="I272" s="783">
        <v>1</v>
      </c>
      <c r="J272" s="784">
        <f>'Input Tally'!H150</f>
        <v>0</v>
      </c>
      <c r="K272" s="435">
        <f t="shared" si="106"/>
        <v>0</v>
      </c>
      <c r="L272" s="435">
        <f t="shared" si="107"/>
        <v>0</v>
      </c>
      <c r="M272" s="783"/>
    </row>
    <row r="273" spans="2:15">
      <c r="B273" s="782">
        <f t="shared" si="102"/>
        <v>324</v>
      </c>
      <c r="C273" s="783">
        <v>1</v>
      </c>
      <c r="D273" s="784">
        <f>'Input Tally'!D151</f>
        <v>0</v>
      </c>
      <c r="E273" s="435">
        <f t="shared" si="103"/>
        <v>0</v>
      </c>
      <c r="F273" s="435">
        <f t="shared" si="104"/>
        <v>0</v>
      </c>
      <c r="G273" s="785"/>
      <c r="H273" s="782">
        <f t="shared" si="105"/>
        <v>364</v>
      </c>
      <c r="I273" s="783">
        <v>1</v>
      </c>
      <c r="J273" s="784">
        <f>'Input Tally'!H151</f>
        <v>0</v>
      </c>
      <c r="K273" s="435">
        <f t="shared" si="106"/>
        <v>0</v>
      </c>
      <c r="L273" s="435">
        <f t="shared" si="107"/>
        <v>0</v>
      </c>
      <c r="M273" s="783"/>
      <c r="N273" s="390" t="s">
        <v>1346</v>
      </c>
      <c r="O273" s="390" t="str">
        <f>IF(J281='Input Tally'!H158,"OK","ERROR")</f>
        <v>OK</v>
      </c>
    </row>
    <row r="274" spans="2:15">
      <c r="B274" s="782">
        <f t="shared" si="102"/>
        <v>325</v>
      </c>
      <c r="C274" s="783">
        <v>1</v>
      </c>
      <c r="D274" s="784">
        <f>'Input Tally'!D152</f>
        <v>0</v>
      </c>
      <c r="E274" s="435">
        <f t="shared" si="103"/>
        <v>0</v>
      </c>
      <c r="F274" s="435">
        <f t="shared" si="104"/>
        <v>0</v>
      </c>
      <c r="G274" s="785"/>
      <c r="H274" s="782">
        <f t="shared" si="105"/>
        <v>365</v>
      </c>
      <c r="I274" s="783">
        <v>1</v>
      </c>
      <c r="J274" s="784">
        <f>'Input Tally'!H152</f>
        <v>0</v>
      </c>
      <c r="K274" s="435">
        <f t="shared" si="106"/>
        <v>0</v>
      </c>
      <c r="L274" s="435">
        <f t="shared" si="107"/>
        <v>0</v>
      </c>
      <c r="M274" s="783"/>
    </row>
    <row r="275" spans="2:15">
      <c r="B275" s="782">
        <f t="shared" si="102"/>
        <v>326</v>
      </c>
      <c r="C275" s="783">
        <v>1</v>
      </c>
      <c r="D275" s="784">
        <f>'Input Tally'!D153</f>
        <v>0</v>
      </c>
      <c r="E275" s="435">
        <f t="shared" si="103"/>
        <v>0</v>
      </c>
      <c r="F275" s="435">
        <f t="shared" si="104"/>
        <v>0</v>
      </c>
      <c r="G275" s="785"/>
      <c r="H275" s="782">
        <f t="shared" si="105"/>
        <v>366</v>
      </c>
      <c r="I275" s="783">
        <v>1</v>
      </c>
      <c r="J275" s="784">
        <f>'Input Tally'!H153</f>
        <v>0</v>
      </c>
      <c r="K275" s="435">
        <f t="shared" si="106"/>
        <v>0</v>
      </c>
      <c r="L275" s="435">
        <f t="shared" si="107"/>
        <v>0</v>
      </c>
      <c r="M275" s="783"/>
    </row>
    <row r="276" spans="2:15">
      <c r="B276" s="782">
        <f t="shared" si="102"/>
        <v>327</v>
      </c>
      <c r="C276" s="783">
        <v>1</v>
      </c>
      <c r="D276" s="784">
        <f>'Input Tally'!D154</f>
        <v>0</v>
      </c>
      <c r="E276" s="435">
        <f t="shared" si="103"/>
        <v>0</v>
      </c>
      <c r="F276" s="435">
        <f t="shared" si="104"/>
        <v>0</v>
      </c>
      <c r="G276" s="785"/>
      <c r="H276" s="782">
        <f t="shared" si="105"/>
        <v>367</v>
      </c>
      <c r="I276" s="783">
        <v>1</v>
      </c>
      <c r="J276" s="784">
        <f>'Input Tally'!H154</f>
        <v>0</v>
      </c>
      <c r="K276" s="435">
        <f t="shared" si="106"/>
        <v>0</v>
      </c>
      <c r="L276" s="435">
        <f t="shared" si="107"/>
        <v>0</v>
      </c>
      <c r="M276" s="783"/>
    </row>
    <row r="277" spans="2:15">
      <c r="B277" s="782">
        <f t="shared" si="102"/>
        <v>328</v>
      </c>
      <c r="C277" s="783">
        <v>1</v>
      </c>
      <c r="D277" s="784">
        <f>'Input Tally'!D155</f>
        <v>0</v>
      </c>
      <c r="E277" s="435">
        <f t="shared" si="103"/>
        <v>0</v>
      </c>
      <c r="F277" s="435">
        <f t="shared" si="104"/>
        <v>0</v>
      </c>
      <c r="G277" s="785"/>
      <c r="H277" s="782">
        <f t="shared" si="105"/>
        <v>368</v>
      </c>
      <c r="I277" s="783">
        <v>1</v>
      </c>
      <c r="J277" s="784">
        <f>'Input Tally'!H155</f>
        <v>0</v>
      </c>
      <c r="K277" s="435">
        <f t="shared" si="106"/>
        <v>0</v>
      </c>
      <c r="L277" s="435">
        <f t="shared" si="107"/>
        <v>0</v>
      </c>
      <c r="M277" s="783"/>
    </row>
    <row r="278" spans="2:15">
      <c r="B278" s="782">
        <f t="shared" si="102"/>
        <v>329</v>
      </c>
      <c r="C278" s="783">
        <v>1</v>
      </c>
      <c r="D278" s="784">
        <f>'Input Tally'!D156</f>
        <v>0</v>
      </c>
      <c r="E278" s="435">
        <f t="shared" si="103"/>
        <v>0</v>
      </c>
      <c r="F278" s="435">
        <f t="shared" si="104"/>
        <v>0</v>
      </c>
      <c r="G278" s="785"/>
      <c r="H278" s="782">
        <f t="shared" si="105"/>
        <v>369</v>
      </c>
      <c r="I278" s="783">
        <v>1</v>
      </c>
      <c r="J278" s="784">
        <f>'Input Tally'!H156</f>
        <v>0</v>
      </c>
      <c r="K278" s="435">
        <f t="shared" si="106"/>
        <v>0</v>
      </c>
      <c r="L278" s="435">
        <f t="shared" si="107"/>
        <v>0</v>
      </c>
      <c r="M278" s="783"/>
    </row>
    <row r="279" spans="2:15">
      <c r="B279" s="782">
        <f t="shared" si="102"/>
        <v>330</v>
      </c>
      <c r="C279" s="783">
        <v>1</v>
      </c>
      <c r="D279" s="784">
        <f>'Input Tally'!D157</f>
        <v>0</v>
      </c>
      <c r="E279" s="435">
        <f t="shared" si="103"/>
        <v>0</v>
      </c>
      <c r="F279" s="435">
        <f t="shared" si="104"/>
        <v>0</v>
      </c>
      <c r="G279" s="785"/>
      <c r="H279" s="782">
        <f t="shared" si="105"/>
        <v>370</v>
      </c>
      <c r="I279" s="783">
        <v>1</v>
      </c>
      <c r="J279" s="784">
        <f>'Input Tally'!H157</f>
        <v>0</v>
      </c>
      <c r="K279" s="435">
        <f t="shared" si="106"/>
        <v>0</v>
      </c>
      <c r="L279" s="435">
        <f t="shared" si="107"/>
        <v>0</v>
      </c>
      <c r="M279" s="783"/>
    </row>
    <row r="280" spans="2:15" ht="15">
      <c r="B280" s="436" t="s">
        <v>862</v>
      </c>
      <c r="C280" s="437"/>
      <c r="D280" s="731"/>
      <c r="E280" s="731"/>
      <c r="F280" s="732"/>
      <c r="G280" s="733"/>
      <c r="H280" s="436" t="s">
        <v>862</v>
      </c>
      <c r="I280" s="437"/>
      <c r="J280" s="731"/>
      <c r="K280" s="731"/>
      <c r="L280" s="732"/>
      <c r="M280" s="731"/>
    </row>
    <row r="281" spans="2:15" ht="15.65" thickBot="1">
      <c r="B281" s="438" t="s">
        <v>280</v>
      </c>
      <c r="C281" s="439"/>
      <c r="D281" s="734">
        <f>SUM(D270:D279)</f>
        <v>0</v>
      </c>
      <c r="E281" s="734">
        <f>(E279)</f>
        <v>0</v>
      </c>
      <c r="F281" s="735"/>
      <c r="G281" s="736"/>
      <c r="H281" s="438" t="s">
        <v>280</v>
      </c>
      <c r="I281" s="439"/>
      <c r="J281" s="734">
        <f>SUM(J270:J279)</f>
        <v>0</v>
      </c>
      <c r="K281" s="734">
        <f>(K279)</f>
        <v>0</v>
      </c>
      <c r="L281" s="735"/>
      <c r="M281" s="737"/>
    </row>
    <row r="282" spans="2:15" ht="15.25" thickTop="1">
      <c r="B282" s="457"/>
      <c r="C282" s="458"/>
      <c r="D282" s="458"/>
      <c r="E282" s="458"/>
      <c r="F282" s="458"/>
      <c r="G282" s="460"/>
      <c r="H282" s="457"/>
      <c r="I282" s="458"/>
      <c r="J282" s="458"/>
      <c r="K282" s="458"/>
      <c r="L282" s="458"/>
      <c r="M282" s="461"/>
    </row>
    <row r="283" spans="2:15">
      <c r="B283" s="782">
        <f>(B279+1)</f>
        <v>331</v>
      </c>
      <c r="C283" s="783">
        <v>1</v>
      </c>
      <c r="D283" s="784">
        <f>'Input Tally'!D159</f>
        <v>0</v>
      </c>
      <c r="E283" s="435">
        <f>IF(C283=1,E279+D283,E279)</f>
        <v>0</v>
      </c>
      <c r="F283" s="435">
        <f>IF(C279=1,F279-D279,F279)</f>
        <v>0</v>
      </c>
      <c r="G283" s="785"/>
      <c r="H283" s="782">
        <f>(H279+1)</f>
        <v>371</v>
      </c>
      <c r="I283" s="783">
        <v>1</v>
      </c>
      <c r="J283" s="784">
        <f>'Input Tally'!H159</f>
        <v>0</v>
      </c>
      <c r="K283" s="435">
        <f>IF(I283=1,K279+J283,K279)</f>
        <v>0</v>
      </c>
      <c r="L283" s="435">
        <f>IF(I279=1,L279-J279,L279)</f>
        <v>0</v>
      </c>
      <c r="M283" s="783"/>
      <c r="N283" s="390" t="s">
        <v>1347</v>
      </c>
      <c r="O283" s="390" t="str">
        <f>IF(D294='Input Tally'!D169,"OK","ERROR")</f>
        <v>OK</v>
      </c>
    </row>
    <row r="284" spans="2:15">
      <c r="B284" s="782">
        <f t="shared" ref="B284:B292" si="108">(B283+1)</f>
        <v>332</v>
      </c>
      <c r="C284" s="783">
        <v>1</v>
      </c>
      <c r="D284" s="784">
        <f>'Input Tally'!D160</f>
        <v>0</v>
      </c>
      <c r="E284" s="435">
        <f t="shared" ref="E284:E292" si="109">IF(C284=1,E283+D284,E283)</f>
        <v>0</v>
      </c>
      <c r="F284" s="435">
        <f t="shared" ref="F284:F292" si="110">IF(C283=1,F283-D283,F283)</f>
        <v>0</v>
      </c>
      <c r="G284" s="785"/>
      <c r="H284" s="782">
        <f t="shared" ref="H284:H292" si="111">(H283+1)</f>
        <v>372</v>
      </c>
      <c r="I284" s="783">
        <v>1</v>
      </c>
      <c r="J284" s="784">
        <f>'Input Tally'!H160</f>
        <v>0</v>
      </c>
      <c r="K284" s="435">
        <f t="shared" ref="K284:K292" si="112">IF(I284=1,K283+J284,K283)</f>
        <v>0</v>
      </c>
      <c r="L284" s="435">
        <f t="shared" ref="L284:L292" si="113">IF(I283=1,L283-J283,L283)</f>
        <v>0</v>
      </c>
      <c r="M284" s="783"/>
    </row>
    <row r="285" spans="2:15">
      <c r="B285" s="782">
        <f t="shared" si="108"/>
        <v>333</v>
      </c>
      <c r="C285" s="783">
        <v>1</v>
      </c>
      <c r="D285" s="784">
        <f>'Input Tally'!D161</f>
        <v>0</v>
      </c>
      <c r="E285" s="435">
        <f t="shared" si="109"/>
        <v>0</v>
      </c>
      <c r="F285" s="435">
        <f t="shared" si="110"/>
        <v>0</v>
      </c>
      <c r="G285" s="785"/>
      <c r="H285" s="782">
        <f t="shared" si="111"/>
        <v>373</v>
      </c>
      <c r="I285" s="783">
        <v>1</v>
      </c>
      <c r="J285" s="784">
        <f>'Input Tally'!H161</f>
        <v>0</v>
      </c>
      <c r="K285" s="435">
        <f t="shared" si="112"/>
        <v>0</v>
      </c>
      <c r="L285" s="435">
        <f t="shared" si="113"/>
        <v>0</v>
      </c>
      <c r="M285" s="783"/>
    </row>
    <row r="286" spans="2:15">
      <c r="B286" s="782">
        <f t="shared" si="108"/>
        <v>334</v>
      </c>
      <c r="C286" s="783">
        <v>1</v>
      </c>
      <c r="D286" s="784">
        <f>'Input Tally'!D162</f>
        <v>0</v>
      </c>
      <c r="E286" s="435">
        <f t="shared" si="109"/>
        <v>0</v>
      </c>
      <c r="F286" s="435">
        <f t="shared" si="110"/>
        <v>0</v>
      </c>
      <c r="G286" s="785"/>
      <c r="H286" s="782">
        <f t="shared" si="111"/>
        <v>374</v>
      </c>
      <c r="I286" s="783">
        <v>1</v>
      </c>
      <c r="J286" s="784">
        <f>'Input Tally'!H162</f>
        <v>0</v>
      </c>
      <c r="K286" s="435">
        <f t="shared" si="112"/>
        <v>0</v>
      </c>
      <c r="L286" s="435">
        <f t="shared" si="113"/>
        <v>0</v>
      </c>
      <c r="M286" s="783"/>
      <c r="N286" s="390" t="s">
        <v>1348</v>
      </c>
      <c r="O286" s="390" t="str">
        <f>IF(J294='Input Tally'!H169,"OK","ERROR")</f>
        <v>OK</v>
      </c>
    </row>
    <row r="287" spans="2:15">
      <c r="B287" s="782">
        <f t="shared" si="108"/>
        <v>335</v>
      </c>
      <c r="C287" s="783">
        <v>1</v>
      </c>
      <c r="D287" s="784">
        <f>'Input Tally'!D163</f>
        <v>0</v>
      </c>
      <c r="E287" s="435">
        <f t="shared" si="109"/>
        <v>0</v>
      </c>
      <c r="F287" s="435">
        <f t="shared" si="110"/>
        <v>0</v>
      </c>
      <c r="G287" s="785"/>
      <c r="H287" s="782">
        <f t="shared" si="111"/>
        <v>375</v>
      </c>
      <c r="I287" s="783">
        <v>1</v>
      </c>
      <c r="J287" s="784">
        <f>'Input Tally'!H163</f>
        <v>0</v>
      </c>
      <c r="K287" s="435">
        <f t="shared" si="112"/>
        <v>0</v>
      </c>
      <c r="L287" s="435">
        <f t="shared" si="113"/>
        <v>0</v>
      </c>
      <c r="M287" s="783"/>
    </row>
    <row r="288" spans="2:15">
      <c r="B288" s="782">
        <f t="shared" si="108"/>
        <v>336</v>
      </c>
      <c r="C288" s="783">
        <v>1</v>
      </c>
      <c r="D288" s="784">
        <f>'Input Tally'!D164</f>
        <v>0</v>
      </c>
      <c r="E288" s="435">
        <f t="shared" si="109"/>
        <v>0</v>
      </c>
      <c r="F288" s="435">
        <f t="shared" si="110"/>
        <v>0</v>
      </c>
      <c r="G288" s="785"/>
      <c r="H288" s="782">
        <f t="shared" si="111"/>
        <v>376</v>
      </c>
      <c r="I288" s="783">
        <v>1</v>
      </c>
      <c r="J288" s="784">
        <f>'Input Tally'!H164</f>
        <v>0</v>
      </c>
      <c r="K288" s="435">
        <f t="shared" si="112"/>
        <v>0</v>
      </c>
      <c r="L288" s="435">
        <f t="shared" si="113"/>
        <v>0</v>
      </c>
      <c r="M288" s="783"/>
    </row>
    <row r="289" spans="2:13">
      <c r="B289" s="782">
        <f t="shared" si="108"/>
        <v>337</v>
      </c>
      <c r="C289" s="783">
        <v>1</v>
      </c>
      <c r="D289" s="784">
        <f>'Input Tally'!D165</f>
        <v>0</v>
      </c>
      <c r="E289" s="435">
        <f t="shared" si="109"/>
        <v>0</v>
      </c>
      <c r="F289" s="435">
        <f t="shared" si="110"/>
        <v>0</v>
      </c>
      <c r="G289" s="785"/>
      <c r="H289" s="782">
        <f t="shared" si="111"/>
        <v>377</v>
      </c>
      <c r="I289" s="783">
        <v>1</v>
      </c>
      <c r="J289" s="784">
        <f>'Input Tally'!H165</f>
        <v>0</v>
      </c>
      <c r="K289" s="435">
        <f t="shared" si="112"/>
        <v>0</v>
      </c>
      <c r="L289" s="435">
        <f t="shared" si="113"/>
        <v>0</v>
      </c>
      <c r="M289" s="783"/>
    </row>
    <row r="290" spans="2:13">
      <c r="B290" s="782">
        <f t="shared" si="108"/>
        <v>338</v>
      </c>
      <c r="C290" s="783">
        <v>1</v>
      </c>
      <c r="D290" s="784">
        <f>'Input Tally'!D166</f>
        <v>0</v>
      </c>
      <c r="E290" s="435">
        <f t="shared" si="109"/>
        <v>0</v>
      </c>
      <c r="F290" s="435">
        <f t="shared" si="110"/>
        <v>0</v>
      </c>
      <c r="G290" s="785"/>
      <c r="H290" s="782">
        <f t="shared" si="111"/>
        <v>378</v>
      </c>
      <c r="I290" s="783">
        <v>1</v>
      </c>
      <c r="J290" s="784">
        <f>'Input Tally'!H166</f>
        <v>0</v>
      </c>
      <c r="K290" s="435">
        <f t="shared" si="112"/>
        <v>0</v>
      </c>
      <c r="L290" s="435">
        <f t="shared" si="113"/>
        <v>0</v>
      </c>
      <c r="M290" s="783"/>
    </row>
    <row r="291" spans="2:13">
      <c r="B291" s="782">
        <f t="shared" si="108"/>
        <v>339</v>
      </c>
      <c r="C291" s="783">
        <v>1</v>
      </c>
      <c r="D291" s="784">
        <f>'Input Tally'!D167</f>
        <v>0</v>
      </c>
      <c r="E291" s="435">
        <f t="shared" si="109"/>
        <v>0</v>
      </c>
      <c r="F291" s="435">
        <f t="shared" si="110"/>
        <v>0</v>
      </c>
      <c r="G291" s="785"/>
      <c r="H291" s="782">
        <f t="shared" si="111"/>
        <v>379</v>
      </c>
      <c r="I291" s="783">
        <v>1</v>
      </c>
      <c r="J291" s="784">
        <f>'Input Tally'!H167</f>
        <v>0</v>
      </c>
      <c r="K291" s="435">
        <f t="shared" si="112"/>
        <v>0</v>
      </c>
      <c r="L291" s="435">
        <f t="shared" si="113"/>
        <v>0</v>
      </c>
      <c r="M291" s="783"/>
    </row>
    <row r="292" spans="2:13">
      <c r="B292" s="782">
        <f t="shared" si="108"/>
        <v>340</v>
      </c>
      <c r="C292" s="783">
        <v>1</v>
      </c>
      <c r="D292" s="784">
        <f>'Input Tally'!D168</f>
        <v>0</v>
      </c>
      <c r="E292" s="435">
        <f t="shared" si="109"/>
        <v>0</v>
      </c>
      <c r="F292" s="435">
        <f t="shared" si="110"/>
        <v>0</v>
      </c>
      <c r="G292" s="785"/>
      <c r="H292" s="782">
        <f t="shared" si="111"/>
        <v>380</v>
      </c>
      <c r="I292" s="783">
        <v>1</v>
      </c>
      <c r="J292" s="784">
        <f>'Input Tally'!H168</f>
        <v>0</v>
      </c>
      <c r="K292" s="435">
        <f t="shared" si="112"/>
        <v>0</v>
      </c>
      <c r="L292" s="435">
        <f t="shared" si="113"/>
        <v>0</v>
      </c>
      <c r="M292" s="783"/>
    </row>
    <row r="293" spans="2:13" ht="15">
      <c r="B293" s="436" t="s">
        <v>862</v>
      </c>
      <c r="C293" s="437"/>
      <c r="D293" s="731"/>
      <c r="E293" s="731"/>
      <c r="F293" s="732"/>
      <c r="G293" s="733"/>
      <c r="H293" s="436" t="s">
        <v>862</v>
      </c>
      <c r="I293" s="437"/>
      <c r="J293" s="731"/>
      <c r="K293" s="731"/>
      <c r="L293" s="732"/>
      <c r="M293" s="731"/>
    </row>
    <row r="294" spans="2:13" ht="15.75" customHeight="1" thickBot="1">
      <c r="B294" s="438" t="s">
        <v>280</v>
      </c>
      <c r="C294" s="439"/>
      <c r="D294" s="734">
        <f>SUM(D283:D292)</f>
        <v>0</v>
      </c>
      <c r="E294" s="734">
        <f>(E292)</f>
        <v>0</v>
      </c>
      <c r="F294" s="735"/>
      <c r="G294" s="736"/>
      <c r="H294" s="438" t="s">
        <v>280</v>
      </c>
      <c r="I294" s="439"/>
      <c r="J294" s="734">
        <f>SUM(J283:J292)</f>
        <v>0</v>
      </c>
      <c r="K294" s="734">
        <f>(K292)</f>
        <v>0</v>
      </c>
      <c r="L294" s="735"/>
      <c r="M294" s="737"/>
    </row>
    <row r="295" spans="2:13" ht="15.25" thickTop="1"/>
  </sheetData>
  <sheetProtection sheet="1" formatCells="0" formatColumns="0" formatRows="0" insertColumns="0" insertRows="0" deleteColumns="0" deleteRows="0" selectLockedCells="1"/>
  <protectedRanges>
    <protectedRange sqref="F22" name="Range8"/>
    <protectedRange sqref="G126:G135 M126:M135 G139:G148 M139:M148 G152:G161 M152:M161 G165:G174 M165:M174 G185:G194 M185:M194 G198:G207 M198:M207 G211:G220 M211:M220 G224:G233 M224:M233 G244:G253 M244:M253 M257:M266 G257:G266 G270:G279 M270:M279 G283:G292 M283:M292" name="Range4" securityDescriptor="O:WDG:WDD:(A;;CC;;;WD)"/>
    <protectedRange sqref="G22:G31 M22:M31 G35:G44 M35:M44 M48:M57 G48:G57 G67:G76 M67:M76 G80:G89 M80:M89 G92:G102 M92:M102 G106:G115 M106:M115" name="Range3" securityDescriptor="O:WDG:WDD:(A;;CC;;;WD)"/>
    <protectedRange sqref="C198:C207 I198:I207 C211:C220 I211:I220 C224:C233 I224:I233 C244:C253 I244:I253 C257:C266 C270:C279 I257:I266 I270:I279 C283:C292 I283:I292" name="Range2" securityDescriptor="O:WDG:WDD:(A;;CC;;;WD)"/>
    <protectedRange sqref="C22:C31 I22:I31 C35:C44 I35:I44 C48:C57 I48:I57 C67:C76 I67:I76 C80:C89 C93:C102 I80:I89 I93:I102 C106:C115 I106:I115 C126:C135 I126:I135 C139:C148 C152:C161 I139:I148 I152:I161 C165:C174 I165:I174 C185:C194 I185:I194 C198:C207 I198:I207 C211:C220 C224" name="Range1" securityDescriptor="O:WDG:WDD:(A;;CC;;;WD)"/>
    <protectedRange sqref="B11:M16" name="Range5" securityDescriptor="O:WDG:WDD:(A;;CC;;;WD)"/>
    <protectedRange sqref="G10:M10" name="Range6" securityDescriptor="O:WDG:WDD:(A;;CC;;;WD)"/>
    <protectedRange sqref="H17 K18" name="Range7" securityDescriptor="O:WDG:WDD:(A;;CC;;;WD)"/>
  </protectedRanges>
  <mergeCells count="37">
    <mergeCell ref="B9:C9"/>
    <mergeCell ref="L6:M6"/>
    <mergeCell ref="F6:J6"/>
    <mergeCell ref="B10:C10"/>
    <mergeCell ref="B11:C11"/>
    <mergeCell ref="H14:J14"/>
    <mergeCell ref="B14:C14"/>
    <mergeCell ref="N17:O18"/>
    <mergeCell ref="A236:M236"/>
    <mergeCell ref="B118:M118"/>
    <mergeCell ref="A177:M177"/>
    <mergeCell ref="H18:J18"/>
    <mergeCell ref="H17:J17"/>
    <mergeCell ref="B15:C15"/>
    <mergeCell ref="B16:C16"/>
    <mergeCell ref="H15:J15"/>
    <mergeCell ref="H16:J16"/>
    <mergeCell ref="F4:K4"/>
    <mergeCell ref="H12:J12"/>
    <mergeCell ref="K10:L10"/>
    <mergeCell ref="K11:L11"/>
    <mergeCell ref="K12:L12"/>
    <mergeCell ref="K13:L13"/>
    <mergeCell ref="K14:L14"/>
    <mergeCell ref="H10:J10"/>
    <mergeCell ref="H11:J11"/>
    <mergeCell ref="B12:C12"/>
    <mergeCell ref="B13:C13"/>
    <mergeCell ref="H13:J13"/>
    <mergeCell ref="F239:K239"/>
    <mergeCell ref="F180:K180"/>
    <mergeCell ref="F121:K121"/>
    <mergeCell ref="K17:L17"/>
    <mergeCell ref="K15:L15"/>
    <mergeCell ref="K16:L16"/>
    <mergeCell ref="F62:K62"/>
    <mergeCell ref="F17:G17"/>
  </mergeCells>
  <phoneticPr fontId="0" type="noConversion"/>
  <pageMargins left="0.5" right="0.5" top="0.5" bottom="0.55000000000000004" header="0.5" footer="0.5"/>
  <pageSetup scale="76" orientation="portrait" horizontalDpi="360" verticalDpi="360" r:id="rId1"/>
  <headerFooter alignWithMargins="0"/>
  <rowBreaks count="4" manualBreakCount="4">
    <brk id="59" max="65535" man="1"/>
    <brk id="118" max="65535" man="1"/>
    <brk id="177" max="65535" man="1"/>
    <brk id="236"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GOTOMENU5">
                <anchor moveWithCells="1">
                  <from>
                    <xdr:col>0</xdr:col>
                    <xdr:colOff>10886</xdr:colOff>
                    <xdr:row>0</xdr:row>
                    <xdr:rowOff>19050</xdr:rowOff>
                  </from>
                  <to>
                    <xdr:col>1</xdr:col>
                    <xdr:colOff>304800</xdr:colOff>
                    <xdr:row>1</xdr:row>
                    <xdr:rowOff>152400</xdr:rowOff>
                  </to>
                </anchor>
              </controlPr>
            </control>
          </mc:Choice>
        </mc:AlternateContent>
        <mc:AlternateContent xmlns:mc="http://schemas.openxmlformats.org/markup-compatibility/2006">
          <mc:Choice Requires="x14">
            <control shapeId="56322" r:id="rId5" name="Button 2">
              <controlPr defaultSize="0" print="0" autoFill="0" autoPict="0" macro="[0]!GoToDepthCalc">
                <anchor moveWithCells="1">
                  <from>
                    <xdr:col>13</xdr:col>
                    <xdr:colOff>19050</xdr:colOff>
                    <xdr:row>1</xdr:row>
                    <xdr:rowOff>10886</xdr:rowOff>
                  </from>
                  <to>
                    <xdr:col>14</xdr:col>
                    <xdr:colOff>171450</xdr:colOff>
                    <xdr:row>1</xdr:row>
                    <xdr:rowOff>217714</xdr:rowOff>
                  </to>
                </anchor>
              </controlPr>
            </control>
          </mc:Choice>
        </mc:AlternateContent>
        <mc:AlternateContent xmlns:mc="http://schemas.openxmlformats.org/markup-compatibility/2006">
          <mc:Choice Requires="x14">
            <control shapeId="56323" r:id="rId6" name="Button 3">
              <controlPr defaultSize="0" print="0" autoFill="0" autoPict="0" macro="[0]!GoToBarlonTally">
                <anchor moveWithCells="1">
                  <from>
                    <xdr:col>13</xdr:col>
                    <xdr:colOff>29936</xdr:colOff>
                    <xdr:row>2</xdr:row>
                    <xdr:rowOff>62593</xdr:rowOff>
                  </from>
                  <to>
                    <xdr:col>14</xdr:col>
                    <xdr:colOff>201386</xdr:colOff>
                    <xdr:row>3</xdr:row>
                    <xdr:rowOff>70757</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2725FC2A-4CC2-4CDF-9BE7-E6065FF69B29}">
          <x14:formula1>
            <xm:f>'Data Validation'!$C$4:$D$4</xm:f>
          </x14:formula1>
          <xm:sqref>J21 M9</xm:sqref>
        </x14:dataValidation>
        <x14:dataValidation type="list" allowBlank="1" showInputMessage="1" showErrorMessage="1" xr:uid="{18889202-45BC-47D6-B836-B9960DF8A0E6}">
          <x14:formula1>
            <xm:f>'Data Validation'!$C$9:$D$9</xm:f>
          </x14:formula1>
          <xm:sqref>B9:C9</xm:sqref>
        </x14:dataValidation>
        <x14:dataValidation type="list" allowBlank="1" showInputMessage="1" showErrorMessage="1" xr:uid="{5D91EFD9-11B2-4F41-ADCC-EE196A8703D6}">
          <x14:formula1>
            <xm:f>'Data Validation'!$C$10:$D$10</xm:f>
          </x14:formula1>
          <xm:sqref>D9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50B56-716E-4400-AE94-1E431FD9E6BA}">
  <sheetPr codeName="Sheet31"/>
  <dimension ref="A1:N180"/>
  <sheetViews>
    <sheetView showGridLines="0" showZeros="0" zoomScale="140" workbookViewId="0">
      <selection activeCell="C7" sqref="C7:E7"/>
    </sheetView>
  </sheetViews>
  <sheetFormatPr defaultRowHeight="12.9"/>
  <cols>
    <col min="1" max="1" width="4.69140625" customWidth="1"/>
    <col min="2" max="2" width="11.69140625" customWidth="1"/>
    <col min="3" max="3" width="4.69140625" customWidth="1"/>
    <col min="4" max="4" width="11.69140625" customWidth="1"/>
    <col min="5" max="5" width="4.69140625" customWidth="1"/>
    <col min="6" max="6" width="11.69140625" customWidth="1"/>
    <col min="7" max="7" width="4.69140625" customWidth="1"/>
    <col min="8" max="8" width="11.69140625" customWidth="1"/>
    <col min="9" max="9" width="4.69140625" customWidth="1"/>
    <col min="10" max="10" width="11.69140625" customWidth="1"/>
    <col min="11" max="11" width="0.265625" customWidth="1"/>
  </cols>
  <sheetData>
    <row r="1" spans="1:14">
      <c r="A1" s="42"/>
      <c r="B1" s="50"/>
      <c r="C1" s="2289" t="str">
        <f>CONCATENATE(Summary!A2," ",Summary!C6)</f>
        <v xml:space="preserve"> 0</v>
      </c>
      <c r="D1" s="2289"/>
      <c r="E1" s="2289"/>
      <c r="F1" s="2289"/>
      <c r="G1" s="2289"/>
      <c r="H1" s="2289"/>
      <c r="I1" s="50"/>
      <c r="J1" s="43"/>
    </row>
    <row r="2" spans="1:14">
      <c r="A2" s="44"/>
      <c r="C2" s="1819"/>
      <c r="D2" s="1819"/>
      <c r="E2" s="1819"/>
      <c r="F2" s="1819"/>
      <c r="G2" s="1819"/>
      <c r="H2" s="1819"/>
      <c r="J2" s="45"/>
    </row>
    <row r="3" spans="1:14">
      <c r="A3" s="44"/>
      <c r="C3" s="1819"/>
      <c r="D3" s="1819"/>
      <c r="E3" s="1819"/>
      <c r="F3" s="1819"/>
      <c r="G3" s="1819"/>
      <c r="H3" s="1819"/>
      <c r="J3" s="45"/>
    </row>
    <row r="4" spans="1:14" ht="13.1">
      <c r="A4" s="44"/>
      <c r="G4" t="s">
        <v>729</v>
      </c>
      <c r="H4" s="69">
        <f>IF(B13&gt;0,1,0)</f>
        <v>0</v>
      </c>
      <c r="I4" s="3" t="s">
        <v>730</v>
      </c>
      <c r="J4" s="134">
        <f>IF(J139=4,4,IF(J94=3,3,IF(J49=2,2,H4)))</f>
        <v>0</v>
      </c>
    </row>
    <row r="5" spans="1:14">
      <c r="A5" s="338" t="s">
        <v>168</v>
      </c>
      <c r="B5" s="335"/>
      <c r="C5" s="1871">
        <f>Summary!C6</f>
        <v>0</v>
      </c>
      <c r="D5" s="1871"/>
      <c r="E5" s="1871"/>
      <c r="F5" s="1871"/>
      <c r="G5" s="335" t="s">
        <v>237</v>
      </c>
      <c r="H5" s="519">
        <v>0</v>
      </c>
      <c r="I5" s="335"/>
      <c r="J5" s="339"/>
      <c r="M5" s="335"/>
      <c r="N5" s="335"/>
    </row>
    <row r="6" spans="1:14">
      <c r="A6" s="338" t="s">
        <v>696</v>
      </c>
      <c r="B6" s="335"/>
      <c r="C6" s="2292">
        <f>Summary!C14</f>
        <v>0</v>
      </c>
      <c r="D6" s="2292"/>
      <c r="E6" s="2292"/>
      <c r="F6" s="2290" t="s">
        <v>705</v>
      </c>
      <c r="G6" s="2290"/>
      <c r="H6" s="168">
        <f>Summary!C63</f>
        <v>0</v>
      </c>
      <c r="I6" s="335"/>
      <c r="J6" s="340"/>
      <c r="K6" s="335"/>
      <c r="L6" s="1591"/>
      <c r="M6" s="335"/>
      <c r="N6" s="335"/>
    </row>
    <row r="7" spans="1:14">
      <c r="A7" s="338" t="s">
        <v>697</v>
      </c>
      <c r="B7" s="335"/>
      <c r="C7" s="2291"/>
      <c r="D7" s="2291"/>
      <c r="E7" s="2291"/>
      <c r="F7" s="2290" t="s">
        <v>706</v>
      </c>
      <c r="G7" s="2290"/>
      <c r="H7" s="168"/>
      <c r="I7" s="335"/>
      <c r="J7" s="340"/>
      <c r="K7" s="335"/>
      <c r="L7" s="335" t="s">
        <v>1584</v>
      </c>
      <c r="M7" s="335"/>
      <c r="N7" s="335"/>
    </row>
    <row r="8" spans="1:14">
      <c r="A8" s="338" t="s">
        <v>698</v>
      </c>
      <c r="B8" s="335"/>
      <c r="C8" s="2291"/>
      <c r="D8" s="2291"/>
      <c r="E8" s="2291"/>
      <c r="F8" s="2290" t="s">
        <v>704</v>
      </c>
      <c r="G8" s="2290"/>
      <c r="H8" s="194">
        <f>Summary!H21</f>
        <v>0</v>
      </c>
      <c r="I8" s="335"/>
      <c r="J8" s="340"/>
      <c r="K8" s="335"/>
      <c r="L8" s="335" t="s">
        <v>1585</v>
      </c>
      <c r="M8" s="335"/>
      <c r="N8" s="335"/>
    </row>
    <row r="9" spans="1:14">
      <c r="A9" s="338" t="s">
        <v>699</v>
      </c>
      <c r="B9" s="1594">
        <v>0</v>
      </c>
      <c r="C9" s="335" t="s">
        <v>1582</v>
      </c>
      <c r="D9" s="342" t="s">
        <v>700</v>
      </c>
      <c r="E9" s="1595">
        <v>0</v>
      </c>
      <c r="F9" s="335" t="s">
        <v>1583</v>
      </c>
      <c r="G9" s="335" t="s">
        <v>701</v>
      </c>
      <c r="H9" s="1595">
        <v>0</v>
      </c>
      <c r="I9" s="335" t="s">
        <v>708</v>
      </c>
      <c r="J9" s="1596">
        <v>0</v>
      </c>
      <c r="K9" s="335"/>
      <c r="L9" s="336" t="s">
        <v>1586</v>
      </c>
      <c r="M9" s="335"/>
      <c r="N9" s="208"/>
    </row>
    <row r="10" spans="1:14" ht="13.1">
      <c r="A10" s="338"/>
      <c r="B10" s="125"/>
      <c r="D10" s="342" t="s">
        <v>702</v>
      </c>
      <c r="E10" s="1595">
        <v>0</v>
      </c>
      <c r="F10" s="342" t="s">
        <v>703</v>
      </c>
      <c r="G10" s="1500">
        <v>0</v>
      </c>
      <c r="H10" s="336"/>
      <c r="I10" s="335"/>
      <c r="J10" s="343"/>
      <c r="L10" s="37" t="s">
        <v>1587</v>
      </c>
      <c r="N10" s="69"/>
    </row>
    <row r="11" spans="1:14" ht="13.1">
      <c r="A11" s="338"/>
      <c r="B11" s="125"/>
      <c r="D11" s="124"/>
      <c r="E11" s="37"/>
      <c r="G11" s="335"/>
      <c r="H11" s="37"/>
      <c r="I11" s="335"/>
      <c r="J11" s="344"/>
      <c r="L11" s="37" t="s">
        <v>1588</v>
      </c>
      <c r="N11" s="69"/>
    </row>
    <row r="12" spans="1:14">
      <c r="A12" s="320" t="s">
        <v>707</v>
      </c>
      <c r="B12" s="130" t="s">
        <v>333</v>
      </c>
      <c r="C12" s="5" t="s">
        <v>707</v>
      </c>
      <c r="D12" s="130" t="str">
        <f>B12</f>
        <v>Length</v>
      </c>
      <c r="E12" s="5" t="s">
        <v>707</v>
      </c>
      <c r="F12" s="130" t="str">
        <f>D12</f>
        <v>Length</v>
      </c>
      <c r="G12" s="5" t="s">
        <v>707</v>
      </c>
      <c r="H12" s="130" t="str">
        <f>F12</f>
        <v>Length</v>
      </c>
      <c r="I12" s="5" t="s">
        <v>707</v>
      </c>
      <c r="J12" s="135" t="str">
        <f>H12</f>
        <v>Length</v>
      </c>
    </row>
    <row r="13" spans="1:14">
      <c r="A13" s="320">
        <v>1</v>
      </c>
      <c r="B13" s="1592">
        <v>0</v>
      </c>
      <c r="C13" s="5">
        <v>21</v>
      </c>
      <c r="D13" s="1592">
        <v>0</v>
      </c>
      <c r="E13" s="5">
        <v>41</v>
      </c>
      <c r="F13" s="1592">
        <v>0</v>
      </c>
      <c r="G13" s="5">
        <v>61</v>
      </c>
      <c r="H13" s="1592">
        <v>0</v>
      </c>
      <c r="I13" s="5">
        <v>81</v>
      </c>
      <c r="J13" s="1592">
        <v>0</v>
      </c>
    </row>
    <row r="14" spans="1:14">
      <c r="A14" s="320">
        <v>2</v>
      </c>
      <c r="B14" s="1592"/>
      <c r="C14" s="5">
        <v>22</v>
      </c>
      <c r="D14" s="1592"/>
      <c r="E14" s="5">
        <v>42</v>
      </c>
      <c r="F14" s="1592"/>
      <c r="G14" s="5">
        <v>62</v>
      </c>
      <c r="H14" s="1592"/>
      <c r="I14" s="5">
        <v>82</v>
      </c>
      <c r="J14" s="1592"/>
    </row>
    <row r="15" spans="1:14">
      <c r="A15" s="320">
        <v>3</v>
      </c>
      <c r="B15" s="1592"/>
      <c r="C15" s="5">
        <v>23</v>
      </c>
      <c r="D15" s="1592"/>
      <c r="E15" s="5">
        <v>43</v>
      </c>
      <c r="F15" s="1592"/>
      <c r="G15" s="5">
        <v>63</v>
      </c>
      <c r="H15" s="1592"/>
      <c r="I15" s="5">
        <v>83</v>
      </c>
      <c r="J15" s="1592"/>
    </row>
    <row r="16" spans="1:14">
      <c r="A16" s="320">
        <v>4</v>
      </c>
      <c r="B16" s="1592"/>
      <c r="C16" s="5">
        <v>24</v>
      </c>
      <c r="D16" s="1592"/>
      <c r="E16" s="5">
        <v>44</v>
      </c>
      <c r="F16" s="1592"/>
      <c r="G16" s="5">
        <v>64</v>
      </c>
      <c r="H16" s="1592"/>
      <c r="I16" s="5">
        <v>84</v>
      </c>
      <c r="J16" s="1592"/>
    </row>
    <row r="17" spans="1:10">
      <c r="A17" s="320">
        <v>5</v>
      </c>
      <c r="B17" s="1592"/>
      <c r="C17" s="5">
        <v>25</v>
      </c>
      <c r="D17" s="1592"/>
      <c r="E17" s="5">
        <v>45</v>
      </c>
      <c r="F17" s="1592"/>
      <c r="G17" s="5">
        <v>65</v>
      </c>
      <c r="H17" s="1592"/>
      <c r="I17" s="5">
        <v>85</v>
      </c>
      <c r="J17" s="1592"/>
    </row>
    <row r="18" spans="1:10">
      <c r="A18" s="320">
        <v>6</v>
      </c>
      <c r="B18" s="1592"/>
      <c r="C18" s="5">
        <v>26</v>
      </c>
      <c r="D18" s="1592"/>
      <c r="E18" s="5">
        <v>46</v>
      </c>
      <c r="F18" s="1592"/>
      <c r="G18" s="5">
        <v>66</v>
      </c>
      <c r="H18" s="1592"/>
      <c r="I18" s="5">
        <v>86</v>
      </c>
      <c r="J18" s="1592"/>
    </row>
    <row r="19" spans="1:10">
      <c r="A19" s="320">
        <v>7</v>
      </c>
      <c r="B19" s="1592"/>
      <c r="C19" s="5">
        <v>27</v>
      </c>
      <c r="D19" s="1592"/>
      <c r="E19" s="5">
        <v>47</v>
      </c>
      <c r="F19" s="1592"/>
      <c r="G19" s="5">
        <v>67</v>
      </c>
      <c r="H19" s="1592"/>
      <c r="I19" s="5">
        <v>87</v>
      </c>
      <c r="J19" s="1592"/>
    </row>
    <row r="20" spans="1:10">
      <c r="A20" s="320">
        <v>8</v>
      </c>
      <c r="B20" s="1592"/>
      <c r="C20" s="5">
        <v>28</v>
      </c>
      <c r="D20" s="1592"/>
      <c r="E20" s="5">
        <v>48</v>
      </c>
      <c r="F20" s="1592"/>
      <c r="G20" s="5">
        <v>68</v>
      </c>
      <c r="H20" s="1592"/>
      <c r="I20" s="5">
        <v>88</v>
      </c>
      <c r="J20" s="1592"/>
    </row>
    <row r="21" spans="1:10">
      <c r="A21" s="320">
        <v>9</v>
      </c>
      <c r="B21" s="1592"/>
      <c r="C21" s="5">
        <v>29</v>
      </c>
      <c r="D21" s="1592"/>
      <c r="E21" s="5">
        <v>49</v>
      </c>
      <c r="F21" s="1592"/>
      <c r="G21" s="5">
        <v>69</v>
      </c>
      <c r="H21" s="1592"/>
      <c r="I21" s="5">
        <v>89</v>
      </c>
      <c r="J21" s="1592"/>
    </row>
    <row r="22" spans="1:10" ht="13.5" thickBot="1">
      <c r="A22" s="349">
        <v>10</v>
      </c>
      <c r="B22" s="1593"/>
      <c r="C22" s="351">
        <v>30</v>
      </c>
      <c r="D22" s="1593"/>
      <c r="E22" s="351">
        <v>50</v>
      </c>
      <c r="F22" s="1593"/>
      <c r="G22" s="351">
        <v>70</v>
      </c>
      <c r="H22" s="1593"/>
      <c r="I22" s="351">
        <v>90</v>
      </c>
      <c r="J22" s="1593"/>
    </row>
    <row r="23" spans="1:10" ht="19.149999999999999" customHeight="1" thickBot="1">
      <c r="A23" s="357" t="s">
        <v>709</v>
      </c>
      <c r="B23" s="358">
        <f>SUM(B13:B22)</f>
        <v>0</v>
      </c>
      <c r="C23" s="359" t="s">
        <v>710</v>
      </c>
      <c r="D23" s="358">
        <f>SUM(D13:D22)</f>
        <v>0</v>
      </c>
      <c r="E23" s="359" t="s">
        <v>713</v>
      </c>
      <c r="F23" s="358">
        <f>SUM(F13:F22)</f>
        <v>0</v>
      </c>
      <c r="G23" s="359" t="s">
        <v>714</v>
      </c>
      <c r="H23" s="358">
        <f>SUM(H13:H22)</f>
        <v>0</v>
      </c>
      <c r="I23" s="359" t="s">
        <v>717</v>
      </c>
      <c r="J23" s="360">
        <f>SUM(J13:J22)</f>
        <v>0</v>
      </c>
    </row>
    <row r="24" spans="1:10">
      <c r="A24" s="353">
        <v>11</v>
      </c>
      <c r="B24" s="1592">
        <v>0</v>
      </c>
      <c r="C24" s="355">
        <v>31</v>
      </c>
      <c r="D24" s="1592">
        <v>0</v>
      </c>
      <c r="E24" s="355">
        <v>51</v>
      </c>
      <c r="F24" s="1592">
        <v>0</v>
      </c>
      <c r="G24" s="355">
        <v>71</v>
      </c>
      <c r="H24" s="1592">
        <v>0</v>
      </c>
      <c r="I24" s="355">
        <v>91</v>
      </c>
      <c r="J24" s="1592">
        <v>0</v>
      </c>
    </row>
    <row r="25" spans="1:10">
      <c r="A25" s="320">
        <v>12</v>
      </c>
      <c r="B25" s="1592"/>
      <c r="C25" s="5">
        <v>32</v>
      </c>
      <c r="D25" s="1592"/>
      <c r="E25" s="5">
        <v>52</v>
      </c>
      <c r="F25" s="1592"/>
      <c r="G25" s="5">
        <v>72</v>
      </c>
      <c r="H25" s="1592"/>
      <c r="I25" s="5">
        <v>92</v>
      </c>
      <c r="J25" s="1592"/>
    </row>
    <row r="26" spans="1:10">
      <c r="A26" s="320">
        <v>13</v>
      </c>
      <c r="B26" s="1592"/>
      <c r="C26" s="5">
        <v>33</v>
      </c>
      <c r="D26" s="1592"/>
      <c r="E26" s="5">
        <v>53</v>
      </c>
      <c r="F26" s="1592"/>
      <c r="G26" s="5">
        <v>73</v>
      </c>
      <c r="H26" s="1592"/>
      <c r="I26" s="5">
        <v>93</v>
      </c>
      <c r="J26" s="1592"/>
    </row>
    <row r="27" spans="1:10">
      <c r="A27" s="320">
        <v>14</v>
      </c>
      <c r="B27" s="1592"/>
      <c r="C27" s="5">
        <v>34</v>
      </c>
      <c r="D27" s="1592"/>
      <c r="E27" s="5">
        <v>54</v>
      </c>
      <c r="F27" s="1592"/>
      <c r="G27" s="5">
        <v>74</v>
      </c>
      <c r="H27" s="1592"/>
      <c r="I27" s="5">
        <v>94</v>
      </c>
      <c r="J27" s="1592"/>
    </row>
    <row r="28" spans="1:10">
      <c r="A28" s="320">
        <v>15</v>
      </c>
      <c r="B28" s="1592"/>
      <c r="C28" s="5">
        <v>35</v>
      </c>
      <c r="D28" s="1592"/>
      <c r="E28" s="5">
        <v>55</v>
      </c>
      <c r="F28" s="1592"/>
      <c r="G28" s="5">
        <v>75</v>
      </c>
      <c r="H28" s="1592"/>
      <c r="I28" s="5">
        <v>95</v>
      </c>
      <c r="J28" s="1592"/>
    </row>
    <row r="29" spans="1:10">
      <c r="A29" s="320">
        <v>16</v>
      </c>
      <c r="B29" s="1592"/>
      <c r="C29" s="5">
        <v>36</v>
      </c>
      <c r="D29" s="1592"/>
      <c r="E29" s="5">
        <v>56</v>
      </c>
      <c r="F29" s="1592"/>
      <c r="G29" s="5">
        <v>76</v>
      </c>
      <c r="H29" s="1592"/>
      <c r="I29" s="5">
        <v>96</v>
      </c>
      <c r="J29" s="1592"/>
    </row>
    <row r="30" spans="1:10">
      <c r="A30" s="320">
        <v>17</v>
      </c>
      <c r="B30" s="1592"/>
      <c r="C30" s="5">
        <v>37</v>
      </c>
      <c r="D30" s="1592"/>
      <c r="E30" s="5">
        <v>57</v>
      </c>
      <c r="F30" s="1592"/>
      <c r="G30" s="5">
        <v>77</v>
      </c>
      <c r="H30" s="1592"/>
      <c r="I30" s="5">
        <v>97</v>
      </c>
      <c r="J30" s="1592"/>
    </row>
    <row r="31" spans="1:10">
      <c r="A31" s="320">
        <v>18</v>
      </c>
      <c r="B31" s="1592"/>
      <c r="C31" s="5">
        <v>38</v>
      </c>
      <c r="D31" s="1592"/>
      <c r="E31" s="5">
        <v>58</v>
      </c>
      <c r="F31" s="1592"/>
      <c r="G31" s="5">
        <v>78</v>
      </c>
      <c r="H31" s="1592"/>
      <c r="I31" s="5">
        <v>98</v>
      </c>
      <c r="J31" s="1592"/>
    </row>
    <row r="32" spans="1:10">
      <c r="A32" s="320">
        <v>19</v>
      </c>
      <c r="B32" s="1592"/>
      <c r="C32" s="5">
        <v>39</v>
      </c>
      <c r="D32" s="1592"/>
      <c r="E32" s="5">
        <v>59</v>
      </c>
      <c r="F32" s="1592"/>
      <c r="G32" s="5">
        <v>79</v>
      </c>
      <c r="H32" s="1592"/>
      <c r="I32" s="5">
        <v>99</v>
      </c>
      <c r="J32" s="1592"/>
    </row>
    <row r="33" spans="1:10" ht="13.5" thickBot="1">
      <c r="A33" s="349">
        <v>20</v>
      </c>
      <c r="B33" s="1593"/>
      <c r="C33" s="351">
        <v>40</v>
      </c>
      <c r="D33" s="1593"/>
      <c r="E33" s="351">
        <v>60</v>
      </c>
      <c r="F33" s="1593"/>
      <c r="G33" s="351">
        <v>80</v>
      </c>
      <c r="H33" s="1593"/>
      <c r="I33" s="351">
        <v>100</v>
      </c>
      <c r="J33" s="1593"/>
    </row>
    <row r="34" spans="1:10" ht="19.149999999999999" customHeight="1" thickBot="1">
      <c r="A34" s="357" t="s">
        <v>709</v>
      </c>
      <c r="B34" s="358">
        <f>SUM(B24:B33)</f>
        <v>0</v>
      </c>
      <c r="C34" s="359" t="s">
        <v>711</v>
      </c>
      <c r="D34" s="358">
        <f>SUM(D24:D33)</f>
        <v>0</v>
      </c>
      <c r="E34" s="359" t="s">
        <v>712</v>
      </c>
      <c r="F34" s="358">
        <f>SUM(F24:F33)</f>
        <v>0</v>
      </c>
      <c r="G34" s="359" t="s">
        <v>715</v>
      </c>
      <c r="H34" s="358">
        <f>SUM(H24:H33)</f>
        <v>0</v>
      </c>
      <c r="I34" s="359" t="s">
        <v>716</v>
      </c>
      <c r="J34" s="360">
        <f>SUM(J24:J33)</f>
        <v>0</v>
      </c>
    </row>
    <row r="35" spans="1:10" ht="19.149999999999999" customHeight="1" thickBot="1">
      <c r="A35" s="357" t="s">
        <v>722</v>
      </c>
      <c r="B35" s="358">
        <f>B23+B34</f>
        <v>0</v>
      </c>
      <c r="C35" s="359" t="s">
        <v>718</v>
      </c>
      <c r="D35" s="358">
        <f>D23+D34</f>
        <v>0</v>
      </c>
      <c r="E35" s="359" t="s">
        <v>719</v>
      </c>
      <c r="F35" s="358">
        <f>F23+F34</f>
        <v>0</v>
      </c>
      <c r="G35" s="359" t="s">
        <v>720</v>
      </c>
      <c r="H35" s="358">
        <f>H23+H34</f>
        <v>0</v>
      </c>
      <c r="I35" s="359" t="s">
        <v>721</v>
      </c>
      <c r="J35" s="360">
        <f>J23+J34</f>
        <v>0</v>
      </c>
    </row>
    <row r="36" spans="1:10">
      <c r="A36" s="44"/>
      <c r="B36" s="347"/>
      <c r="C36" s="1742" t="s">
        <v>724</v>
      </c>
      <c r="D36" s="1742"/>
      <c r="E36" s="1742"/>
      <c r="J36" s="45"/>
    </row>
    <row r="37" spans="1:10">
      <c r="A37" s="346" t="s">
        <v>722</v>
      </c>
      <c r="B37" s="97">
        <f>B35</f>
        <v>0</v>
      </c>
      <c r="C37" s="337" t="s">
        <v>723</v>
      </c>
      <c r="D37" s="97">
        <f>B42</f>
        <v>0</v>
      </c>
      <c r="F37" s="195" t="s">
        <v>728</v>
      </c>
      <c r="G37" s="29"/>
      <c r="H37" s="29"/>
      <c r="I37" s="29"/>
      <c r="J37" s="189"/>
    </row>
    <row r="38" spans="1:10">
      <c r="A38" s="346" t="s">
        <v>718</v>
      </c>
      <c r="B38" s="97">
        <f>D35</f>
        <v>0</v>
      </c>
      <c r="C38" s="337" t="s">
        <v>725</v>
      </c>
      <c r="D38" s="97">
        <f>D83</f>
        <v>0</v>
      </c>
      <c r="F38" s="31"/>
      <c r="J38" s="45"/>
    </row>
    <row r="39" spans="1:10">
      <c r="A39" s="346" t="s">
        <v>719</v>
      </c>
      <c r="B39" s="97">
        <f>F35</f>
        <v>0</v>
      </c>
      <c r="C39" s="337" t="s">
        <v>726</v>
      </c>
      <c r="D39" s="97">
        <f>D129</f>
        <v>0</v>
      </c>
      <c r="F39" s="31"/>
      <c r="J39" s="45"/>
    </row>
    <row r="40" spans="1:10">
      <c r="A40" s="346" t="s">
        <v>720</v>
      </c>
      <c r="B40" s="97">
        <f>H35</f>
        <v>0</v>
      </c>
      <c r="C40" s="337" t="s">
        <v>727</v>
      </c>
      <c r="D40" s="97">
        <f>D85</f>
        <v>0</v>
      </c>
      <c r="F40" s="33"/>
      <c r="G40" s="19"/>
      <c r="H40" s="19"/>
      <c r="I40" s="19"/>
      <c r="J40" s="305"/>
    </row>
    <row r="41" spans="1:10">
      <c r="A41" s="346" t="s">
        <v>721</v>
      </c>
      <c r="B41" s="97">
        <f>J35</f>
        <v>0</v>
      </c>
      <c r="C41" s="337" t="s">
        <v>731</v>
      </c>
      <c r="D41" s="97">
        <f>SUM(D37:D40)</f>
        <v>0</v>
      </c>
      <c r="F41" s="195" t="s">
        <v>274</v>
      </c>
      <c r="G41" s="29"/>
      <c r="H41" s="29"/>
      <c r="I41" s="29"/>
      <c r="J41" s="189"/>
    </row>
    <row r="42" spans="1:10">
      <c r="A42" s="346" t="s">
        <v>723</v>
      </c>
      <c r="B42" s="97">
        <f>SUM(B37:B41)</f>
        <v>0</v>
      </c>
      <c r="F42" s="31"/>
      <c r="J42" s="45"/>
    </row>
    <row r="43" spans="1:10">
      <c r="A43" s="44"/>
      <c r="F43" s="31"/>
      <c r="J43" s="45"/>
    </row>
    <row r="44" spans="1:10">
      <c r="A44" s="44"/>
      <c r="F44" s="31"/>
      <c r="J44" s="45"/>
    </row>
    <row r="45" spans="1:10" ht="13.5" thickBot="1">
      <c r="A45" s="46"/>
      <c r="B45" s="21"/>
      <c r="C45" s="21"/>
      <c r="D45" s="21"/>
      <c r="E45" s="21"/>
      <c r="F45" s="348"/>
      <c r="G45" s="21"/>
      <c r="H45" s="21"/>
      <c r="I45" s="21"/>
      <c r="J45" s="47"/>
    </row>
    <row r="46" spans="1:10">
      <c r="A46" s="42"/>
      <c r="B46" s="50"/>
      <c r="C46" s="2289" t="str">
        <f>C1</f>
        <v xml:space="preserve"> 0</v>
      </c>
      <c r="D46" s="2289"/>
      <c r="E46" s="2289"/>
      <c r="F46" s="2289"/>
      <c r="G46" s="2289"/>
      <c r="H46" s="2289"/>
      <c r="I46" s="50"/>
      <c r="J46" s="43"/>
    </row>
    <row r="47" spans="1:10">
      <c r="A47" s="44"/>
      <c r="C47" s="1819"/>
      <c r="D47" s="1819"/>
      <c r="E47" s="1819"/>
      <c r="F47" s="1819"/>
      <c r="G47" s="1819"/>
      <c r="H47" s="1819"/>
      <c r="J47" s="45"/>
    </row>
    <row r="48" spans="1:10">
      <c r="A48" s="44"/>
      <c r="C48" s="1819"/>
      <c r="D48" s="1819"/>
      <c r="E48" s="1819"/>
      <c r="F48" s="1819"/>
      <c r="G48" s="1819"/>
      <c r="H48" s="1819"/>
      <c r="J48" s="45"/>
    </row>
    <row r="49" spans="1:14" ht="13.1">
      <c r="A49" s="44"/>
      <c r="G49" t="s">
        <v>729</v>
      </c>
      <c r="H49" s="69">
        <f>IF(B58&gt;0,2,0)</f>
        <v>0</v>
      </c>
      <c r="I49" s="3" t="s">
        <v>730</v>
      </c>
      <c r="J49" s="134">
        <f>IF(H49=0,0,IF(J139=4,4,IF(J94=3,3,IF(H49=2,2))))</f>
        <v>0</v>
      </c>
    </row>
    <row r="50" spans="1:14">
      <c r="A50" s="338" t="s">
        <v>168</v>
      </c>
      <c r="B50" s="335"/>
      <c r="C50" s="168">
        <f>C5</f>
        <v>0</v>
      </c>
      <c r="D50" s="168"/>
      <c r="E50" s="168"/>
      <c r="F50" s="342"/>
      <c r="G50" s="335" t="s">
        <v>237</v>
      </c>
      <c r="H50" s="520">
        <f>H5</f>
        <v>0</v>
      </c>
      <c r="I50" s="168"/>
      <c r="J50" s="384"/>
      <c r="M50" s="335"/>
      <c r="N50" s="335"/>
    </row>
    <row r="51" spans="1:14">
      <c r="A51" s="338" t="s">
        <v>696</v>
      </c>
      <c r="B51" s="335"/>
      <c r="C51" s="168">
        <f>C6</f>
        <v>0</v>
      </c>
      <c r="D51" s="168"/>
      <c r="E51" s="168"/>
      <c r="F51" s="2290" t="s">
        <v>705</v>
      </c>
      <c r="G51" s="2290"/>
      <c r="H51" s="385">
        <f>H6</f>
        <v>0</v>
      </c>
      <c r="I51" s="168"/>
      <c r="J51" s="384"/>
      <c r="K51" s="335"/>
      <c r="L51" s="335"/>
      <c r="M51" s="335"/>
      <c r="N51" s="335"/>
    </row>
    <row r="52" spans="1:14">
      <c r="A52" s="338" t="s">
        <v>697</v>
      </c>
      <c r="B52" s="335"/>
      <c r="C52" s="168">
        <f>C7</f>
        <v>0</v>
      </c>
      <c r="D52" s="168"/>
      <c r="E52" s="168"/>
      <c r="F52" s="2290" t="s">
        <v>706</v>
      </c>
      <c r="G52" s="2290"/>
      <c r="H52" s="168">
        <f>H7</f>
        <v>0</v>
      </c>
      <c r="I52" s="168"/>
      <c r="J52" s="187"/>
      <c r="K52" s="335"/>
      <c r="L52" s="335"/>
      <c r="M52" s="335"/>
      <c r="N52" s="335"/>
    </row>
    <row r="53" spans="1:14">
      <c r="A53" s="338" t="s">
        <v>698</v>
      </c>
      <c r="B53" s="335"/>
      <c r="C53" s="168">
        <f>C8</f>
        <v>0</v>
      </c>
      <c r="D53" s="168"/>
      <c r="E53" s="168"/>
      <c r="F53" s="2290" t="s">
        <v>704</v>
      </c>
      <c r="G53" s="2290"/>
      <c r="H53" s="194">
        <f>H8</f>
        <v>0</v>
      </c>
      <c r="I53" s="168"/>
      <c r="J53" s="187"/>
      <c r="K53" s="335"/>
      <c r="L53" s="335"/>
      <c r="M53" s="335"/>
      <c r="N53" s="335"/>
    </row>
    <row r="54" spans="1:14">
      <c r="A54" s="338" t="s">
        <v>699</v>
      </c>
      <c r="B54" s="341">
        <f>B9</f>
        <v>0</v>
      </c>
      <c r="C54" s="335" t="str">
        <f>C9</f>
        <v>Inches</v>
      </c>
      <c r="D54" s="342" t="s">
        <v>700</v>
      </c>
      <c r="E54" s="336">
        <f>E9</f>
        <v>0</v>
      </c>
      <c r="F54" s="381" t="str">
        <f>F9</f>
        <v>#/ft</v>
      </c>
      <c r="G54" s="335" t="s">
        <v>701</v>
      </c>
      <c r="H54" s="194">
        <f>H9</f>
        <v>0</v>
      </c>
      <c r="I54" s="335" t="s">
        <v>708</v>
      </c>
      <c r="J54" s="382">
        <f>J9</f>
        <v>0</v>
      </c>
      <c r="K54" s="335"/>
      <c r="L54" s="336"/>
      <c r="M54" s="335"/>
      <c r="N54" s="208"/>
    </row>
    <row r="55" spans="1:14" ht="13.1">
      <c r="A55" s="338"/>
      <c r="B55" s="125"/>
      <c r="D55" s="342" t="s">
        <v>702</v>
      </c>
      <c r="E55" s="336">
        <f>E10</f>
        <v>0</v>
      </c>
      <c r="F55" s="342" t="s">
        <v>703</v>
      </c>
      <c r="G55" s="194">
        <f>G10</f>
        <v>0</v>
      </c>
      <c r="H55" s="208"/>
      <c r="I55" s="335"/>
      <c r="J55" s="343"/>
      <c r="L55" s="37"/>
      <c r="N55" s="69"/>
    </row>
    <row r="56" spans="1:14" ht="13.1">
      <c r="A56" s="338"/>
      <c r="B56" s="125"/>
      <c r="D56" s="124"/>
      <c r="E56" s="37"/>
      <c r="G56" s="335"/>
      <c r="H56" s="37"/>
      <c r="I56" s="335"/>
      <c r="J56" s="344"/>
      <c r="L56" s="37"/>
      <c r="N56" s="69"/>
    </row>
    <row r="57" spans="1:14">
      <c r="A57" s="320" t="s">
        <v>707</v>
      </c>
      <c r="B57" s="130" t="str">
        <f>B12</f>
        <v>Length</v>
      </c>
      <c r="C57" s="5" t="s">
        <v>707</v>
      </c>
      <c r="D57" s="130" t="str">
        <f>B57</f>
        <v>Length</v>
      </c>
      <c r="E57" s="5" t="s">
        <v>707</v>
      </c>
      <c r="F57" s="130" t="str">
        <f>D57</f>
        <v>Length</v>
      </c>
      <c r="G57" s="5" t="s">
        <v>707</v>
      </c>
      <c r="H57" s="130" t="str">
        <f>F57</f>
        <v>Length</v>
      </c>
      <c r="I57" s="5" t="s">
        <v>707</v>
      </c>
      <c r="J57" s="135" t="str">
        <f>H57</f>
        <v>Length</v>
      </c>
    </row>
    <row r="58" spans="1:14">
      <c r="A58" s="320">
        <f>IF(H49=2,101,1)</f>
        <v>1</v>
      </c>
      <c r="B58" s="1592">
        <v>0</v>
      </c>
      <c r="C58" s="320">
        <f>A78+1</f>
        <v>21</v>
      </c>
      <c r="D58" s="1592">
        <v>0</v>
      </c>
      <c r="E58" s="320">
        <f>C78+1</f>
        <v>41</v>
      </c>
      <c r="F58" s="1592">
        <v>0</v>
      </c>
      <c r="G58" s="320">
        <f>E78+1</f>
        <v>61</v>
      </c>
      <c r="H58" s="1592">
        <v>0</v>
      </c>
      <c r="I58" s="320">
        <f>G78+1</f>
        <v>81</v>
      </c>
      <c r="J58" s="1592">
        <v>0</v>
      </c>
    </row>
    <row r="59" spans="1:14">
      <c r="A59" s="320">
        <f t="shared" ref="A59:A67" si="0">A58+1</f>
        <v>2</v>
      </c>
      <c r="B59" s="1592"/>
      <c r="C59" s="320">
        <f t="shared" ref="C59:C67" si="1">C58+1</f>
        <v>22</v>
      </c>
      <c r="D59" s="1592"/>
      <c r="E59" s="320">
        <f t="shared" ref="E59:E67" si="2">E58+1</f>
        <v>42</v>
      </c>
      <c r="F59" s="1592"/>
      <c r="G59" s="320">
        <f t="shared" ref="G59:G67" si="3">G58+1</f>
        <v>62</v>
      </c>
      <c r="H59" s="1592"/>
      <c r="I59" s="320">
        <f t="shared" ref="I59:I67" si="4">I58+1</f>
        <v>82</v>
      </c>
      <c r="J59" s="1592"/>
    </row>
    <row r="60" spans="1:14">
      <c r="A60" s="320">
        <f t="shared" si="0"/>
        <v>3</v>
      </c>
      <c r="B60" s="1592"/>
      <c r="C60" s="320">
        <f t="shared" si="1"/>
        <v>23</v>
      </c>
      <c r="D60" s="1592"/>
      <c r="E60" s="320">
        <f t="shared" si="2"/>
        <v>43</v>
      </c>
      <c r="F60" s="1592"/>
      <c r="G60" s="320">
        <f t="shared" si="3"/>
        <v>63</v>
      </c>
      <c r="H60" s="1592"/>
      <c r="I60" s="320">
        <f t="shared" si="4"/>
        <v>83</v>
      </c>
      <c r="J60" s="1592"/>
    </row>
    <row r="61" spans="1:14">
      <c r="A61" s="320">
        <f t="shared" si="0"/>
        <v>4</v>
      </c>
      <c r="B61" s="1592"/>
      <c r="C61" s="320">
        <f t="shared" si="1"/>
        <v>24</v>
      </c>
      <c r="D61" s="1592"/>
      <c r="E61" s="320">
        <f t="shared" si="2"/>
        <v>44</v>
      </c>
      <c r="F61" s="1592"/>
      <c r="G61" s="320">
        <f t="shared" si="3"/>
        <v>64</v>
      </c>
      <c r="H61" s="1592"/>
      <c r="I61" s="320">
        <f t="shared" si="4"/>
        <v>84</v>
      </c>
      <c r="J61" s="1592"/>
    </row>
    <row r="62" spans="1:14">
      <c r="A62" s="320">
        <f t="shared" si="0"/>
        <v>5</v>
      </c>
      <c r="B62" s="1592"/>
      <c r="C62" s="320">
        <f t="shared" si="1"/>
        <v>25</v>
      </c>
      <c r="D62" s="1592"/>
      <c r="E62" s="320">
        <f t="shared" si="2"/>
        <v>45</v>
      </c>
      <c r="F62" s="1592"/>
      <c r="G62" s="320">
        <f t="shared" si="3"/>
        <v>65</v>
      </c>
      <c r="H62" s="1592"/>
      <c r="I62" s="320">
        <f t="shared" si="4"/>
        <v>85</v>
      </c>
      <c r="J62" s="1592"/>
    </row>
    <row r="63" spans="1:14">
      <c r="A63" s="320">
        <f t="shared" si="0"/>
        <v>6</v>
      </c>
      <c r="B63" s="1592"/>
      <c r="C63" s="320">
        <f t="shared" si="1"/>
        <v>26</v>
      </c>
      <c r="D63" s="1592"/>
      <c r="E63" s="320">
        <f t="shared" si="2"/>
        <v>46</v>
      </c>
      <c r="F63" s="1592"/>
      <c r="G63" s="320">
        <f t="shared" si="3"/>
        <v>66</v>
      </c>
      <c r="H63" s="1592"/>
      <c r="I63" s="320">
        <f t="shared" si="4"/>
        <v>86</v>
      </c>
      <c r="J63" s="1592"/>
    </row>
    <row r="64" spans="1:14">
      <c r="A64" s="320">
        <f t="shared" si="0"/>
        <v>7</v>
      </c>
      <c r="B64" s="1592"/>
      <c r="C64" s="320">
        <f t="shared" si="1"/>
        <v>27</v>
      </c>
      <c r="D64" s="1592"/>
      <c r="E64" s="320">
        <f t="shared" si="2"/>
        <v>47</v>
      </c>
      <c r="F64" s="1592"/>
      <c r="G64" s="320">
        <f t="shared" si="3"/>
        <v>67</v>
      </c>
      <c r="H64" s="1592"/>
      <c r="I64" s="320">
        <f t="shared" si="4"/>
        <v>87</v>
      </c>
      <c r="J64" s="1592"/>
    </row>
    <row r="65" spans="1:10">
      <c r="A65" s="320">
        <f t="shared" si="0"/>
        <v>8</v>
      </c>
      <c r="B65" s="1592"/>
      <c r="C65" s="320">
        <f t="shared" si="1"/>
        <v>28</v>
      </c>
      <c r="D65" s="1592"/>
      <c r="E65" s="320">
        <f t="shared" si="2"/>
        <v>48</v>
      </c>
      <c r="F65" s="1592"/>
      <c r="G65" s="320">
        <f t="shared" si="3"/>
        <v>68</v>
      </c>
      <c r="H65" s="1592"/>
      <c r="I65" s="320">
        <f t="shared" si="4"/>
        <v>88</v>
      </c>
      <c r="J65" s="1592"/>
    </row>
    <row r="66" spans="1:10">
      <c r="A66" s="320">
        <f t="shared" si="0"/>
        <v>9</v>
      </c>
      <c r="B66" s="1592"/>
      <c r="C66" s="320">
        <f t="shared" si="1"/>
        <v>29</v>
      </c>
      <c r="D66" s="1592"/>
      <c r="E66" s="320">
        <f t="shared" si="2"/>
        <v>49</v>
      </c>
      <c r="F66" s="1592"/>
      <c r="G66" s="320">
        <f t="shared" si="3"/>
        <v>69</v>
      </c>
      <c r="H66" s="1592"/>
      <c r="I66" s="320">
        <f t="shared" si="4"/>
        <v>89</v>
      </c>
      <c r="J66" s="1592"/>
    </row>
    <row r="67" spans="1:10" ht="13.5" thickBot="1">
      <c r="A67" s="320">
        <f t="shared" si="0"/>
        <v>10</v>
      </c>
      <c r="B67" s="1593"/>
      <c r="C67" s="320">
        <f t="shared" si="1"/>
        <v>30</v>
      </c>
      <c r="D67" s="1593"/>
      <c r="E67" s="320">
        <f t="shared" si="2"/>
        <v>50</v>
      </c>
      <c r="F67" s="1593"/>
      <c r="G67" s="320">
        <f t="shared" si="3"/>
        <v>70</v>
      </c>
      <c r="H67" s="1593"/>
      <c r="I67" s="320">
        <f t="shared" si="4"/>
        <v>90</v>
      </c>
      <c r="J67" s="1593"/>
    </row>
    <row r="68" spans="1:10" ht="19.149999999999999" customHeight="1" thickBot="1">
      <c r="A68" s="357" t="s">
        <v>709</v>
      </c>
      <c r="B68" s="358">
        <f>SUM(B58:B67)</f>
        <v>0</v>
      </c>
      <c r="C68" s="359" t="s">
        <v>710</v>
      </c>
      <c r="D68" s="358">
        <f>SUM(D58:D67)</f>
        <v>0</v>
      </c>
      <c r="E68" s="359" t="s">
        <v>713</v>
      </c>
      <c r="F68" s="358">
        <f>SUM(F58:F67)</f>
        <v>0</v>
      </c>
      <c r="G68" s="359" t="s">
        <v>714</v>
      </c>
      <c r="H68" s="358">
        <f>SUM(H58:H67)</f>
        <v>0</v>
      </c>
      <c r="I68" s="359" t="s">
        <v>717</v>
      </c>
      <c r="J68" s="360">
        <f>SUM(J58:J67)</f>
        <v>0</v>
      </c>
    </row>
    <row r="69" spans="1:10">
      <c r="A69" s="353">
        <f>A67+1</f>
        <v>11</v>
      </c>
      <c r="B69" s="1592">
        <v>0</v>
      </c>
      <c r="C69" s="353">
        <f>C67+1</f>
        <v>31</v>
      </c>
      <c r="D69" s="1592">
        <v>0</v>
      </c>
      <c r="E69" s="353">
        <f>E67+1</f>
        <v>51</v>
      </c>
      <c r="F69" s="1592">
        <v>0</v>
      </c>
      <c r="G69" s="353">
        <f>G67+1</f>
        <v>71</v>
      </c>
      <c r="H69" s="1592">
        <v>0</v>
      </c>
      <c r="I69" s="353">
        <f>I67+1</f>
        <v>91</v>
      </c>
      <c r="J69" s="1592">
        <v>0</v>
      </c>
    </row>
    <row r="70" spans="1:10">
      <c r="A70" s="320">
        <f t="shared" ref="A70:A78" si="5">A69+1</f>
        <v>12</v>
      </c>
      <c r="B70" s="1592"/>
      <c r="C70" s="320">
        <f t="shared" ref="C70:C78" si="6">C69+1</f>
        <v>32</v>
      </c>
      <c r="D70" s="1592"/>
      <c r="E70" s="320">
        <f t="shared" ref="E70:E78" si="7">E69+1</f>
        <v>52</v>
      </c>
      <c r="F70" s="1592"/>
      <c r="G70" s="320">
        <f t="shared" ref="G70:G78" si="8">G69+1</f>
        <v>72</v>
      </c>
      <c r="H70" s="1592"/>
      <c r="I70" s="320">
        <f t="shared" ref="I70:I78" si="9">I69+1</f>
        <v>92</v>
      </c>
      <c r="J70" s="1592"/>
    </row>
    <row r="71" spans="1:10">
      <c r="A71" s="320">
        <f t="shared" si="5"/>
        <v>13</v>
      </c>
      <c r="B71" s="1592"/>
      <c r="C71" s="320">
        <f t="shared" si="6"/>
        <v>33</v>
      </c>
      <c r="D71" s="1592"/>
      <c r="E71" s="320">
        <f t="shared" si="7"/>
        <v>53</v>
      </c>
      <c r="F71" s="1592"/>
      <c r="G71" s="320">
        <f t="shared" si="8"/>
        <v>73</v>
      </c>
      <c r="H71" s="1592"/>
      <c r="I71" s="320">
        <f t="shared" si="9"/>
        <v>93</v>
      </c>
      <c r="J71" s="1592"/>
    </row>
    <row r="72" spans="1:10">
      <c r="A72" s="320">
        <f t="shared" si="5"/>
        <v>14</v>
      </c>
      <c r="B72" s="1592"/>
      <c r="C72" s="320">
        <f t="shared" si="6"/>
        <v>34</v>
      </c>
      <c r="D72" s="1592"/>
      <c r="E72" s="320">
        <f t="shared" si="7"/>
        <v>54</v>
      </c>
      <c r="F72" s="1592"/>
      <c r="G72" s="320">
        <f t="shared" si="8"/>
        <v>74</v>
      </c>
      <c r="H72" s="1592"/>
      <c r="I72" s="320">
        <f t="shared" si="9"/>
        <v>94</v>
      </c>
      <c r="J72" s="1592"/>
    </row>
    <row r="73" spans="1:10">
      <c r="A73" s="320">
        <f t="shared" si="5"/>
        <v>15</v>
      </c>
      <c r="B73" s="1592"/>
      <c r="C73" s="320">
        <f t="shared" si="6"/>
        <v>35</v>
      </c>
      <c r="D73" s="1592"/>
      <c r="E73" s="320">
        <f t="shared" si="7"/>
        <v>55</v>
      </c>
      <c r="F73" s="1592"/>
      <c r="G73" s="320">
        <f t="shared" si="8"/>
        <v>75</v>
      </c>
      <c r="H73" s="1592"/>
      <c r="I73" s="320">
        <f t="shared" si="9"/>
        <v>95</v>
      </c>
      <c r="J73" s="1592"/>
    </row>
    <row r="74" spans="1:10">
      <c r="A74" s="320">
        <f t="shared" si="5"/>
        <v>16</v>
      </c>
      <c r="B74" s="1592"/>
      <c r="C74" s="320">
        <f t="shared" si="6"/>
        <v>36</v>
      </c>
      <c r="D74" s="1592"/>
      <c r="E74" s="320">
        <f t="shared" si="7"/>
        <v>56</v>
      </c>
      <c r="F74" s="1592"/>
      <c r="G74" s="320">
        <f t="shared" si="8"/>
        <v>76</v>
      </c>
      <c r="H74" s="1592"/>
      <c r="I74" s="320">
        <f t="shared" si="9"/>
        <v>96</v>
      </c>
      <c r="J74" s="1592"/>
    </row>
    <row r="75" spans="1:10">
      <c r="A75" s="320">
        <f t="shared" si="5"/>
        <v>17</v>
      </c>
      <c r="B75" s="1592"/>
      <c r="C75" s="320">
        <f t="shared" si="6"/>
        <v>37</v>
      </c>
      <c r="D75" s="1592"/>
      <c r="E75" s="320">
        <f t="shared" si="7"/>
        <v>57</v>
      </c>
      <c r="F75" s="1592"/>
      <c r="G75" s="320">
        <f t="shared" si="8"/>
        <v>77</v>
      </c>
      <c r="H75" s="1592"/>
      <c r="I75" s="320">
        <f t="shared" si="9"/>
        <v>97</v>
      </c>
      <c r="J75" s="1592"/>
    </row>
    <row r="76" spans="1:10">
      <c r="A76" s="320">
        <f t="shared" si="5"/>
        <v>18</v>
      </c>
      <c r="B76" s="1592"/>
      <c r="C76" s="320">
        <f t="shared" si="6"/>
        <v>38</v>
      </c>
      <c r="D76" s="1592"/>
      <c r="E76" s="320">
        <f t="shared" si="7"/>
        <v>58</v>
      </c>
      <c r="F76" s="1592"/>
      <c r="G76" s="320">
        <f t="shared" si="8"/>
        <v>78</v>
      </c>
      <c r="H76" s="1592"/>
      <c r="I76" s="320">
        <f t="shared" si="9"/>
        <v>98</v>
      </c>
      <c r="J76" s="1592"/>
    </row>
    <row r="77" spans="1:10">
      <c r="A77" s="320">
        <f t="shared" si="5"/>
        <v>19</v>
      </c>
      <c r="B77" s="1592"/>
      <c r="C77" s="320">
        <f t="shared" si="6"/>
        <v>39</v>
      </c>
      <c r="D77" s="1592"/>
      <c r="E77" s="320">
        <f t="shared" si="7"/>
        <v>59</v>
      </c>
      <c r="F77" s="1592"/>
      <c r="G77" s="320">
        <f t="shared" si="8"/>
        <v>79</v>
      </c>
      <c r="H77" s="1592"/>
      <c r="I77" s="320">
        <f t="shared" si="9"/>
        <v>99</v>
      </c>
      <c r="J77" s="1592"/>
    </row>
    <row r="78" spans="1:10" ht="13.5" thickBot="1">
      <c r="A78" s="320">
        <f t="shared" si="5"/>
        <v>20</v>
      </c>
      <c r="B78" s="1593"/>
      <c r="C78" s="320">
        <f t="shared" si="6"/>
        <v>40</v>
      </c>
      <c r="D78" s="1593"/>
      <c r="E78" s="320">
        <f t="shared" si="7"/>
        <v>60</v>
      </c>
      <c r="F78" s="1593"/>
      <c r="G78" s="320">
        <f t="shared" si="8"/>
        <v>80</v>
      </c>
      <c r="H78" s="1593"/>
      <c r="I78" s="320">
        <f t="shared" si="9"/>
        <v>100</v>
      </c>
      <c r="J78" s="1593"/>
    </row>
    <row r="79" spans="1:10" ht="19.149999999999999" customHeight="1" thickBot="1">
      <c r="A79" s="357" t="s">
        <v>709</v>
      </c>
      <c r="B79" s="358">
        <f>SUM(B69:B78)</f>
        <v>0</v>
      </c>
      <c r="C79" s="359" t="s">
        <v>711</v>
      </c>
      <c r="D79" s="358">
        <f>SUM(D69:D78)</f>
        <v>0</v>
      </c>
      <c r="E79" s="359" t="s">
        <v>712</v>
      </c>
      <c r="F79" s="358">
        <f>SUM(F69:F78)</f>
        <v>0</v>
      </c>
      <c r="G79" s="359" t="s">
        <v>715</v>
      </c>
      <c r="H79" s="358">
        <f>SUM(H69:H78)</f>
        <v>0</v>
      </c>
      <c r="I79" s="359" t="s">
        <v>716</v>
      </c>
      <c r="J79" s="360">
        <f>SUM(J69:J78)</f>
        <v>0</v>
      </c>
    </row>
    <row r="80" spans="1:10" ht="19.149999999999999" customHeight="1" thickBot="1">
      <c r="A80" s="357" t="s">
        <v>722</v>
      </c>
      <c r="B80" s="358">
        <f>B68+B79</f>
        <v>0</v>
      </c>
      <c r="C80" s="359" t="s">
        <v>718</v>
      </c>
      <c r="D80" s="358">
        <f>D68+D79</f>
        <v>0</v>
      </c>
      <c r="E80" s="359" t="s">
        <v>719</v>
      </c>
      <c r="F80" s="358">
        <f>F68+F79</f>
        <v>0</v>
      </c>
      <c r="G80" s="359" t="s">
        <v>720</v>
      </c>
      <c r="H80" s="358">
        <f>H68+H79</f>
        <v>0</v>
      </c>
      <c r="I80" s="359" t="s">
        <v>721</v>
      </c>
      <c r="J80" s="360">
        <f>J68+J79</f>
        <v>0</v>
      </c>
    </row>
    <row r="81" spans="1:14">
      <c r="A81" s="44"/>
      <c r="B81" s="347"/>
      <c r="C81" s="1742" t="s">
        <v>724</v>
      </c>
      <c r="D81" s="1742"/>
      <c r="E81" s="1742"/>
      <c r="J81" s="45"/>
    </row>
    <row r="82" spans="1:14">
      <c r="A82" s="346" t="s">
        <v>722</v>
      </c>
      <c r="B82" s="97">
        <f>B80</f>
        <v>0</v>
      </c>
      <c r="C82" s="337" t="s">
        <v>723</v>
      </c>
      <c r="D82" s="97">
        <f>D37</f>
        <v>0</v>
      </c>
      <c r="F82" s="195" t="s">
        <v>728</v>
      </c>
      <c r="G82" s="29"/>
      <c r="H82" s="29"/>
      <c r="I82" s="29"/>
      <c r="J82" s="189"/>
    </row>
    <row r="83" spans="1:14">
      <c r="A83" s="346" t="s">
        <v>718</v>
      </c>
      <c r="B83" s="97">
        <f>D80</f>
        <v>0</v>
      </c>
      <c r="C83" s="337" t="s">
        <v>725</v>
      </c>
      <c r="D83" s="97">
        <f>B87</f>
        <v>0</v>
      </c>
      <c r="F83" s="31"/>
      <c r="J83" s="45"/>
    </row>
    <row r="84" spans="1:14">
      <c r="A84" s="346" t="s">
        <v>719</v>
      </c>
      <c r="B84" s="97">
        <f>F80</f>
        <v>0</v>
      </c>
      <c r="C84" s="337" t="s">
        <v>726</v>
      </c>
      <c r="D84" s="97">
        <f>D129</f>
        <v>0</v>
      </c>
      <c r="F84" s="31"/>
      <c r="J84" s="45"/>
    </row>
    <row r="85" spans="1:14">
      <c r="A85" s="346" t="s">
        <v>720</v>
      </c>
      <c r="B85" s="97">
        <f>H80</f>
        <v>0</v>
      </c>
      <c r="C85" s="337" t="s">
        <v>727</v>
      </c>
      <c r="D85" s="97">
        <f>D130</f>
        <v>0</v>
      </c>
      <c r="F85" s="33"/>
      <c r="G85" s="19"/>
      <c r="H85" s="19"/>
      <c r="I85" s="19"/>
      <c r="J85" s="305"/>
    </row>
    <row r="86" spans="1:14">
      <c r="A86" s="346" t="s">
        <v>721</v>
      </c>
      <c r="B86" s="97">
        <f>J80</f>
        <v>0</v>
      </c>
      <c r="C86" s="337" t="s">
        <v>731</v>
      </c>
      <c r="D86" s="97">
        <f>SUM(D82:D85)</f>
        <v>0</v>
      </c>
      <c r="F86" s="195" t="s">
        <v>274</v>
      </c>
      <c r="G86" s="29"/>
      <c r="H86" s="29"/>
      <c r="I86" s="29"/>
      <c r="J86" s="189"/>
    </row>
    <row r="87" spans="1:14">
      <c r="A87" s="346" t="s">
        <v>723</v>
      </c>
      <c r="B87" s="97">
        <f>SUM(B82:B86)</f>
        <v>0</v>
      </c>
      <c r="F87" s="31"/>
      <c r="J87" s="45"/>
    </row>
    <row r="88" spans="1:14">
      <c r="A88" s="44"/>
      <c r="F88" s="31"/>
      <c r="J88" s="45"/>
    </row>
    <row r="89" spans="1:14">
      <c r="A89" s="44"/>
      <c r="F89" s="31"/>
      <c r="J89" s="45"/>
    </row>
    <row r="90" spans="1:14" ht="13.5" thickBot="1">
      <c r="A90" s="46"/>
      <c r="B90" s="21"/>
      <c r="C90" s="21"/>
      <c r="D90" s="21"/>
      <c r="E90" s="21"/>
      <c r="F90" s="348"/>
      <c r="G90" s="21"/>
      <c r="H90" s="21"/>
      <c r="I90" s="21"/>
      <c r="J90" s="47"/>
    </row>
    <row r="91" spans="1:14">
      <c r="A91" s="42"/>
      <c r="B91" s="50"/>
      <c r="C91" s="2289" t="str">
        <f>C46</f>
        <v xml:space="preserve"> 0</v>
      </c>
      <c r="D91" s="2289"/>
      <c r="E91" s="2289"/>
      <c r="F91" s="2289"/>
      <c r="G91" s="2289"/>
      <c r="H91" s="2289"/>
      <c r="I91" s="50"/>
      <c r="J91" s="43"/>
    </row>
    <row r="92" spans="1:14">
      <c r="A92" s="44"/>
      <c r="C92" s="1819"/>
      <c r="D92" s="1819"/>
      <c r="E92" s="1819"/>
      <c r="F92" s="1819"/>
      <c r="G92" s="1819"/>
      <c r="H92" s="1819"/>
      <c r="J92" s="45"/>
    </row>
    <row r="93" spans="1:14">
      <c r="A93" s="44"/>
      <c r="C93" s="1819"/>
      <c r="D93" s="1819"/>
      <c r="E93" s="1819"/>
      <c r="F93" s="1819"/>
      <c r="G93" s="1819"/>
      <c r="H93" s="1819"/>
      <c r="J93" s="45"/>
    </row>
    <row r="94" spans="1:14" ht="13.1">
      <c r="A94" s="44"/>
      <c r="G94" t="s">
        <v>729</v>
      </c>
      <c r="H94" s="69">
        <f>IF(B103&gt;0,3,0)</f>
        <v>0</v>
      </c>
      <c r="I94" s="3" t="s">
        <v>730</v>
      </c>
      <c r="J94" s="134">
        <f>IF(J139=4,4,H94)</f>
        <v>0</v>
      </c>
    </row>
    <row r="95" spans="1:14">
      <c r="A95" s="338" t="s">
        <v>168</v>
      </c>
      <c r="B95" s="335"/>
      <c r="C95" s="168">
        <f>C50</f>
        <v>0</v>
      </c>
      <c r="D95" s="168"/>
      <c r="E95" s="168"/>
      <c r="F95" s="335"/>
      <c r="G95" s="335" t="s">
        <v>237</v>
      </c>
      <c r="H95" s="519">
        <f>H50</f>
        <v>0</v>
      </c>
      <c r="I95" s="168"/>
      <c r="J95" s="384"/>
      <c r="M95" s="335"/>
      <c r="N95" s="335"/>
    </row>
    <row r="96" spans="1:14">
      <c r="A96" s="338" t="s">
        <v>696</v>
      </c>
      <c r="B96" s="335"/>
      <c r="C96" s="168">
        <f>C51</f>
        <v>0</v>
      </c>
      <c r="D96" s="168"/>
      <c r="E96" s="168"/>
      <c r="F96" s="2290" t="s">
        <v>705</v>
      </c>
      <c r="G96" s="2290"/>
      <c r="H96" s="383">
        <f>H51</f>
        <v>0</v>
      </c>
      <c r="I96" s="168"/>
      <c r="J96" s="187"/>
      <c r="K96" s="335"/>
      <c r="L96" s="335"/>
      <c r="M96" s="335"/>
      <c r="N96" s="335"/>
    </row>
    <row r="97" spans="1:14">
      <c r="A97" s="338" t="s">
        <v>697</v>
      </c>
      <c r="B97" s="335"/>
      <c r="C97" s="168">
        <f>C52</f>
        <v>0</v>
      </c>
      <c r="D97" s="168"/>
      <c r="E97" s="168"/>
      <c r="F97" s="2290" t="s">
        <v>706</v>
      </c>
      <c r="G97" s="2290"/>
      <c r="H97" s="168">
        <f>H52</f>
        <v>0</v>
      </c>
      <c r="I97" s="168"/>
      <c r="J97" s="187"/>
      <c r="K97" s="335"/>
      <c r="L97" s="335"/>
      <c r="M97" s="335"/>
      <c r="N97" s="335"/>
    </row>
    <row r="98" spans="1:14">
      <c r="A98" s="338" t="s">
        <v>698</v>
      </c>
      <c r="B98" s="335"/>
      <c r="C98" s="168">
        <f>C53</f>
        <v>0</v>
      </c>
      <c r="D98" s="168"/>
      <c r="E98" s="168"/>
      <c r="F98" s="2290" t="s">
        <v>704</v>
      </c>
      <c r="G98" s="2290"/>
      <c r="H98" s="168">
        <f>H53</f>
        <v>0</v>
      </c>
      <c r="I98" s="168"/>
      <c r="J98" s="187"/>
      <c r="K98" s="335"/>
      <c r="L98" s="335"/>
      <c r="M98" s="335"/>
      <c r="N98" s="335"/>
    </row>
    <row r="99" spans="1:14">
      <c r="A99" s="338" t="s">
        <v>699</v>
      </c>
      <c r="B99" s="341">
        <f>B54</f>
        <v>0</v>
      </c>
      <c r="C99" s="335" t="str">
        <f>C54</f>
        <v>Inches</v>
      </c>
      <c r="D99" s="342" t="s">
        <v>700</v>
      </c>
      <c r="E99" s="336">
        <f>E54</f>
        <v>0</v>
      </c>
      <c r="F99" s="381" t="str">
        <f>F54</f>
        <v>#/ft</v>
      </c>
      <c r="G99" s="335" t="s">
        <v>701</v>
      </c>
      <c r="H99" s="194">
        <f>H54</f>
        <v>0</v>
      </c>
      <c r="I99" s="335" t="s">
        <v>708</v>
      </c>
      <c r="J99" s="382">
        <f>J54</f>
        <v>0</v>
      </c>
      <c r="K99" s="335"/>
      <c r="L99" s="336"/>
      <c r="M99" s="335"/>
      <c r="N99" s="208"/>
    </row>
    <row r="100" spans="1:14" ht="13.1">
      <c r="A100" s="338"/>
      <c r="B100" s="125"/>
      <c r="D100" s="342" t="s">
        <v>702</v>
      </c>
      <c r="E100" s="336">
        <f>E55</f>
        <v>0</v>
      </c>
      <c r="F100" s="342" t="s">
        <v>703</v>
      </c>
      <c r="G100" s="194">
        <f>G55</f>
        <v>0</v>
      </c>
      <c r="H100" s="208"/>
      <c r="I100" s="335"/>
      <c r="J100" s="343"/>
      <c r="L100" s="37"/>
      <c r="N100" s="69"/>
    </row>
    <row r="101" spans="1:14" ht="13.1">
      <c r="A101" s="338"/>
      <c r="B101" s="125"/>
      <c r="D101" s="124"/>
      <c r="E101" s="37"/>
      <c r="G101" s="335"/>
      <c r="H101" s="37"/>
      <c r="I101" s="335"/>
      <c r="J101" s="344"/>
      <c r="L101" s="37"/>
      <c r="N101" s="69"/>
    </row>
    <row r="102" spans="1:14">
      <c r="A102" s="320" t="s">
        <v>707</v>
      </c>
      <c r="B102" s="130" t="str">
        <f>D102</f>
        <v>Length</v>
      </c>
      <c r="C102" s="5" t="s">
        <v>707</v>
      </c>
      <c r="D102" s="130" t="str">
        <f>F102</f>
        <v>Length</v>
      </c>
      <c r="E102" s="5" t="s">
        <v>707</v>
      </c>
      <c r="F102" s="130" t="str">
        <f>H102</f>
        <v>Length</v>
      </c>
      <c r="G102" s="5" t="s">
        <v>707</v>
      </c>
      <c r="H102" s="130" t="str">
        <f>J102</f>
        <v>Length</v>
      </c>
      <c r="I102" s="5" t="s">
        <v>707</v>
      </c>
      <c r="J102" s="135" t="str">
        <f>J57</f>
        <v>Length</v>
      </c>
    </row>
    <row r="103" spans="1:14">
      <c r="A103" s="320">
        <f>IF(H94=3,201,1)</f>
        <v>1</v>
      </c>
      <c r="B103" s="1592">
        <v>0</v>
      </c>
      <c r="C103" s="320">
        <f>A123+1</f>
        <v>21</v>
      </c>
      <c r="D103" s="1592">
        <v>0</v>
      </c>
      <c r="E103" s="320">
        <f>C123+1</f>
        <v>41</v>
      </c>
      <c r="F103" s="1592">
        <v>0</v>
      </c>
      <c r="G103" s="320">
        <f>E123+1</f>
        <v>61</v>
      </c>
      <c r="H103" s="1592">
        <v>0</v>
      </c>
      <c r="I103" s="320">
        <f>G123+1</f>
        <v>81</v>
      </c>
      <c r="J103" s="1592">
        <v>0</v>
      </c>
    </row>
    <row r="104" spans="1:14">
      <c r="A104" s="320">
        <f t="shared" ref="A104:A112" si="10">A103+1</f>
        <v>2</v>
      </c>
      <c r="B104" s="1592"/>
      <c r="C104" s="320">
        <f t="shared" ref="C104:C112" si="11">C103+1</f>
        <v>22</v>
      </c>
      <c r="D104" s="1592"/>
      <c r="E104" s="320">
        <f t="shared" ref="E104:E112" si="12">E103+1</f>
        <v>42</v>
      </c>
      <c r="F104" s="1592"/>
      <c r="G104" s="320">
        <f t="shared" ref="G104:G112" si="13">G103+1</f>
        <v>62</v>
      </c>
      <c r="H104" s="1592"/>
      <c r="I104" s="320">
        <f t="shared" ref="I104:I112" si="14">I103+1</f>
        <v>82</v>
      </c>
      <c r="J104" s="1592"/>
    </row>
    <row r="105" spans="1:14">
      <c r="A105" s="320">
        <f t="shared" si="10"/>
        <v>3</v>
      </c>
      <c r="B105" s="1592"/>
      <c r="C105" s="320">
        <f t="shared" si="11"/>
        <v>23</v>
      </c>
      <c r="D105" s="1592"/>
      <c r="E105" s="320">
        <f t="shared" si="12"/>
        <v>43</v>
      </c>
      <c r="F105" s="1592"/>
      <c r="G105" s="320">
        <f t="shared" si="13"/>
        <v>63</v>
      </c>
      <c r="H105" s="1592"/>
      <c r="I105" s="320">
        <f t="shared" si="14"/>
        <v>83</v>
      </c>
      <c r="J105" s="1592"/>
    </row>
    <row r="106" spans="1:14">
      <c r="A106" s="320">
        <f t="shared" si="10"/>
        <v>4</v>
      </c>
      <c r="B106" s="1592"/>
      <c r="C106" s="320">
        <f t="shared" si="11"/>
        <v>24</v>
      </c>
      <c r="D106" s="1592"/>
      <c r="E106" s="320">
        <f t="shared" si="12"/>
        <v>44</v>
      </c>
      <c r="F106" s="1592"/>
      <c r="G106" s="320">
        <f t="shared" si="13"/>
        <v>64</v>
      </c>
      <c r="H106" s="1592"/>
      <c r="I106" s="320">
        <f t="shared" si="14"/>
        <v>84</v>
      </c>
      <c r="J106" s="1592"/>
    </row>
    <row r="107" spans="1:14">
      <c r="A107" s="320">
        <f t="shared" si="10"/>
        <v>5</v>
      </c>
      <c r="B107" s="1592"/>
      <c r="C107" s="320">
        <f t="shared" si="11"/>
        <v>25</v>
      </c>
      <c r="D107" s="1592"/>
      <c r="E107" s="320">
        <f t="shared" si="12"/>
        <v>45</v>
      </c>
      <c r="F107" s="1592"/>
      <c r="G107" s="320">
        <f t="shared" si="13"/>
        <v>65</v>
      </c>
      <c r="H107" s="1592"/>
      <c r="I107" s="320">
        <f t="shared" si="14"/>
        <v>85</v>
      </c>
      <c r="J107" s="1592"/>
    </row>
    <row r="108" spans="1:14">
      <c r="A108" s="320">
        <f t="shared" si="10"/>
        <v>6</v>
      </c>
      <c r="B108" s="1592"/>
      <c r="C108" s="320">
        <f t="shared" si="11"/>
        <v>26</v>
      </c>
      <c r="D108" s="1592"/>
      <c r="E108" s="320">
        <f t="shared" si="12"/>
        <v>46</v>
      </c>
      <c r="F108" s="1592"/>
      <c r="G108" s="320">
        <f t="shared" si="13"/>
        <v>66</v>
      </c>
      <c r="H108" s="1592"/>
      <c r="I108" s="320">
        <f t="shared" si="14"/>
        <v>86</v>
      </c>
      <c r="J108" s="1592"/>
    </row>
    <row r="109" spans="1:14">
      <c r="A109" s="320">
        <f t="shared" si="10"/>
        <v>7</v>
      </c>
      <c r="B109" s="1592"/>
      <c r="C109" s="320">
        <f t="shared" si="11"/>
        <v>27</v>
      </c>
      <c r="D109" s="1592"/>
      <c r="E109" s="320">
        <f t="shared" si="12"/>
        <v>47</v>
      </c>
      <c r="F109" s="1592"/>
      <c r="G109" s="320">
        <f t="shared" si="13"/>
        <v>67</v>
      </c>
      <c r="H109" s="1592"/>
      <c r="I109" s="320">
        <f t="shared" si="14"/>
        <v>87</v>
      </c>
      <c r="J109" s="1592"/>
    </row>
    <row r="110" spans="1:14">
      <c r="A110" s="320">
        <f t="shared" si="10"/>
        <v>8</v>
      </c>
      <c r="B110" s="1592"/>
      <c r="C110" s="320">
        <f t="shared" si="11"/>
        <v>28</v>
      </c>
      <c r="D110" s="1592"/>
      <c r="E110" s="320">
        <f t="shared" si="12"/>
        <v>48</v>
      </c>
      <c r="F110" s="1592"/>
      <c r="G110" s="320">
        <f t="shared" si="13"/>
        <v>68</v>
      </c>
      <c r="H110" s="1592"/>
      <c r="I110" s="320">
        <f t="shared" si="14"/>
        <v>88</v>
      </c>
      <c r="J110" s="1592"/>
    </row>
    <row r="111" spans="1:14">
      <c r="A111" s="320">
        <f t="shared" si="10"/>
        <v>9</v>
      </c>
      <c r="B111" s="1592"/>
      <c r="C111" s="320">
        <f t="shared" si="11"/>
        <v>29</v>
      </c>
      <c r="D111" s="1592"/>
      <c r="E111" s="320">
        <f t="shared" si="12"/>
        <v>49</v>
      </c>
      <c r="F111" s="1592"/>
      <c r="G111" s="320">
        <f t="shared" si="13"/>
        <v>69</v>
      </c>
      <c r="H111" s="1592"/>
      <c r="I111" s="320">
        <f t="shared" si="14"/>
        <v>89</v>
      </c>
      <c r="J111" s="1592"/>
    </row>
    <row r="112" spans="1:14" ht="13.5" thickBot="1">
      <c r="A112" s="320">
        <f t="shared" si="10"/>
        <v>10</v>
      </c>
      <c r="B112" s="1593"/>
      <c r="C112" s="320">
        <f t="shared" si="11"/>
        <v>30</v>
      </c>
      <c r="D112" s="1593"/>
      <c r="E112" s="320">
        <f t="shared" si="12"/>
        <v>50</v>
      </c>
      <c r="F112" s="1593"/>
      <c r="G112" s="320">
        <f t="shared" si="13"/>
        <v>70</v>
      </c>
      <c r="H112" s="1593"/>
      <c r="I112" s="320">
        <f t="shared" si="14"/>
        <v>90</v>
      </c>
      <c r="J112" s="1593"/>
    </row>
    <row r="113" spans="1:10" ht="19.149999999999999" customHeight="1" thickBot="1">
      <c r="A113" s="357" t="s">
        <v>709</v>
      </c>
      <c r="B113" s="358">
        <f>SUM(B103:B112)</f>
        <v>0</v>
      </c>
      <c r="C113" s="359" t="s">
        <v>710</v>
      </c>
      <c r="D113" s="358">
        <f>SUM(D103:D112)</f>
        <v>0</v>
      </c>
      <c r="E113" s="359" t="s">
        <v>713</v>
      </c>
      <c r="F113" s="358">
        <f>SUM(F103:F112)</f>
        <v>0</v>
      </c>
      <c r="G113" s="359" t="s">
        <v>714</v>
      </c>
      <c r="H113" s="358">
        <f>SUM(H103:H112)</f>
        <v>0</v>
      </c>
      <c r="I113" s="359" t="s">
        <v>717</v>
      </c>
      <c r="J113" s="360">
        <f>SUM(J103:J112)</f>
        <v>0</v>
      </c>
    </row>
    <row r="114" spans="1:10">
      <c r="A114" s="353">
        <f>A112+1</f>
        <v>11</v>
      </c>
      <c r="B114" s="1592">
        <v>0</v>
      </c>
      <c r="C114" s="353">
        <f>C112+1</f>
        <v>31</v>
      </c>
      <c r="D114" s="1592">
        <v>0</v>
      </c>
      <c r="E114" s="353">
        <f>E112+1</f>
        <v>51</v>
      </c>
      <c r="F114" s="1592">
        <v>0</v>
      </c>
      <c r="G114" s="353">
        <f>G112+1</f>
        <v>71</v>
      </c>
      <c r="H114" s="1592">
        <v>0</v>
      </c>
      <c r="I114" s="353">
        <f>I112+1</f>
        <v>91</v>
      </c>
      <c r="J114" s="1592">
        <v>0</v>
      </c>
    </row>
    <row r="115" spans="1:10">
      <c r="A115" s="320">
        <f t="shared" ref="A115:A123" si="15">A114+1</f>
        <v>12</v>
      </c>
      <c r="B115" s="1592"/>
      <c r="C115" s="320">
        <f t="shared" ref="C115:C123" si="16">C114+1</f>
        <v>32</v>
      </c>
      <c r="D115" s="1592"/>
      <c r="E115" s="320">
        <f t="shared" ref="E115:E123" si="17">E114+1</f>
        <v>52</v>
      </c>
      <c r="F115" s="1592"/>
      <c r="G115" s="320">
        <f t="shared" ref="G115:G123" si="18">G114+1</f>
        <v>72</v>
      </c>
      <c r="H115" s="1592"/>
      <c r="I115" s="320">
        <f t="shared" ref="I115:I123" si="19">I114+1</f>
        <v>92</v>
      </c>
      <c r="J115" s="1592"/>
    </row>
    <row r="116" spans="1:10">
      <c r="A116" s="320">
        <f t="shared" si="15"/>
        <v>13</v>
      </c>
      <c r="B116" s="1592"/>
      <c r="C116" s="320">
        <f t="shared" si="16"/>
        <v>33</v>
      </c>
      <c r="D116" s="1592"/>
      <c r="E116" s="320">
        <f t="shared" si="17"/>
        <v>53</v>
      </c>
      <c r="F116" s="1592"/>
      <c r="G116" s="320">
        <f t="shared" si="18"/>
        <v>73</v>
      </c>
      <c r="H116" s="1592"/>
      <c r="I116" s="320">
        <f t="shared" si="19"/>
        <v>93</v>
      </c>
      <c r="J116" s="1592"/>
    </row>
    <row r="117" spans="1:10">
      <c r="A117" s="320">
        <f t="shared" si="15"/>
        <v>14</v>
      </c>
      <c r="B117" s="1592"/>
      <c r="C117" s="320">
        <f t="shared" si="16"/>
        <v>34</v>
      </c>
      <c r="D117" s="1592"/>
      <c r="E117" s="320">
        <f t="shared" si="17"/>
        <v>54</v>
      </c>
      <c r="F117" s="1592"/>
      <c r="G117" s="320">
        <f t="shared" si="18"/>
        <v>74</v>
      </c>
      <c r="H117" s="1592"/>
      <c r="I117" s="320">
        <f t="shared" si="19"/>
        <v>94</v>
      </c>
      <c r="J117" s="1592"/>
    </row>
    <row r="118" spans="1:10">
      <c r="A118" s="320">
        <f t="shared" si="15"/>
        <v>15</v>
      </c>
      <c r="B118" s="1592"/>
      <c r="C118" s="320">
        <f t="shared" si="16"/>
        <v>35</v>
      </c>
      <c r="D118" s="1592"/>
      <c r="E118" s="320">
        <f t="shared" si="17"/>
        <v>55</v>
      </c>
      <c r="F118" s="1592"/>
      <c r="G118" s="320">
        <f t="shared" si="18"/>
        <v>75</v>
      </c>
      <c r="H118" s="1592"/>
      <c r="I118" s="320">
        <f t="shared" si="19"/>
        <v>95</v>
      </c>
      <c r="J118" s="1592"/>
    </row>
    <row r="119" spans="1:10">
      <c r="A119" s="320">
        <f t="shared" si="15"/>
        <v>16</v>
      </c>
      <c r="B119" s="1592"/>
      <c r="C119" s="320">
        <f t="shared" si="16"/>
        <v>36</v>
      </c>
      <c r="D119" s="1592"/>
      <c r="E119" s="320">
        <f t="shared" si="17"/>
        <v>56</v>
      </c>
      <c r="F119" s="1592"/>
      <c r="G119" s="320">
        <f t="shared" si="18"/>
        <v>76</v>
      </c>
      <c r="H119" s="1592"/>
      <c r="I119" s="320">
        <f t="shared" si="19"/>
        <v>96</v>
      </c>
      <c r="J119" s="1592"/>
    </row>
    <row r="120" spans="1:10">
      <c r="A120" s="320">
        <f t="shared" si="15"/>
        <v>17</v>
      </c>
      <c r="B120" s="1592"/>
      <c r="C120" s="320">
        <f t="shared" si="16"/>
        <v>37</v>
      </c>
      <c r="D120" s="1592"/>
      <c r="E120" s="320">
        <f t="shared" si="17"/>
        <v>57</v>
      </c>
      <c r="F120" s="1592"/>
      <c r="G120" s="320">
        <f t="shared" si="18"/>
        <v>77</v>
      </c>
      <c r="H120" s="1592"/>
      <c r="I120" s="320">
        <f t="shared" si="19"/>
        <v>97</v>
      </c>
      <c r="J120" s="1592"/>
    </row>
    <row r="121" spans="1:10">
      <c r="A121" s="320">
        <f t="shared" si="15"/>
        <v>18</v>
      </c>
      <c r="B121" s="1592"/>
      <c r="C121" s="320">
        <f t="shared" si="16"/>
        <v>38</v>
      </c>
      <c r="D121" s="1592"/>
      <c r="E121" s="320">
        <f t="shared" si="17"/>
        <v>58</v>
      </c>
      <c r="F121" s="1592"/>
      <c r="G121" s="320">
        <f t="shared" si="18"/>
        <v>78</v>
      </c>
      <c r="H121" s="1592"/>
      <c r="I121" s="320">
        <f t="shared" si="19"/>
        <v>98</v>
      </c>
      <c r="J121" s="1592"/>
    </row>
    <row r="122" spans="1:10">
      <c r="A122" s="320">
        <f t="shared" si="15"/>
        <v>19</v>
      </c>
      <c r="B122" s="1592"/>
      <c r="C122" s="320">
        <f t="shared" si="16"/>
        <v>39</v>
      </c>
      <c r="D122" s="1592"/>
      <c r="E122" s="320">
        <f t="shared" si="17"/>
        <v>59</v>
      </c>
      <c r="F122" s="1592"/>
      <c r="G122" s="320">
        <f t="shared" si="18"/>
        <v>79</v>
      </c>
      <c r="H122" s="1592"/>
      <c r="I122" s="320">
        <f t="shared" si="19"/>
        <v>99</v>
      </c>
      <c r="J122" s="1592"/>
    </row>
    <row r="123" spans="1:10" ht="13.5" thickBot="1">
      <c r="A123" s="320">
        <f t="shared" si="15"/>
        <v>20</v>
      </c>
      <c r="B123" s="1593"/>
      <c r="C123" s="320">
        <f t="shared" si="16"/>
        <v>40</v>
      </c>
      <c r="D123" s="1593"/>
      <c r="E123" s="320">
        <f t="shared" si="17"/>
        <v>60</v>
      </c>
      <c r="F123" s="1593"/>
      <c r="G123" s="320">
        <f t="shared" si="18"/>
        <v>80</v>
      </c>
      <c r="H123" s="1593"/>
      <c r="I123" s="320">
        <f t="shared" si="19"/>
        <v>100</v>
      </c>
      <c r="J123" s="1593"/>
    </row>
    <row r="124" spans="1:10" ht="19.149999999999999" customHeight="1" thickBot="1">
      <c r="A124" s="357" t="s">
        <v>709</v>
      </c>
      <c r="B124" s="358">
        <f>SUM(B114:B123)</f>
        <v>0</v>
      </c>
      <c r="C124" s="359" t="s">
        <v>711</v>
      </c>
      <c r="D124" s="358">
        <f>SUM(D114:D123)</f>
        <v>0</v>
      </c>
      <c r="E124" s="359" t="s">
        <v>712</v>
      </c>
      <c r="F124" s="358">
        <f>SUM(F114:F123)</f>
        <v>0</v>
      </c>
      <c r="G124" s="359" t="s">
        <v>715</v>
      </c>
      <c r="H124" s="358">
        <f>SUM(H114:H123)</f>
        <v>0</v>
      </c>
      <c r="I124" s="359" t="s">
        <v>716</v>
      </c>
      <c r="J124" s="360">
        <f>SUM(J114:J123)</f>
        <v>0</v>
      </c>
    </row>
    <row r="125" spans="1:10" ht="19.149999999999999" customHeight="1" thickBot="1">
      <c r="A125" s="357" t="s">
        <v>722</v>
      </c>
      <c r="B125" s="358">
        <f>B113+B124</f>
        <v>0</v>
      </c>
      <c r="C125" s="359" t="s">
        <v>718</v>
      </c>
      <c r="D125" s="358">
        <f>D113+D124</f>
        <v>0</v>
      </c>
      <c r="E125" s="359" t="s">
        <v>719</v>
      </c>
      <c r="F125" s="358">
        <f>F113+F124</f>
        <v>0</v>
      </c>
      <c r="G125" s="359" t="s">
        <v>720</v>
      </c>
      <c r="H125" s="358">
        <f>H113+H124</f>
        <v>0</v>
      </c>
      <c r="I125" s="359" t="s">
        <v>721</v>
      </c>
      <c r="J125" s="360">
        <f>J113+J124</f>
        <v>0</v>
      </c>
    </row>
    <row r="126" spans="1:10">
      <c r="A126" s="44"/>
      <c r="B126" s="347"/>
      <c r="C126" s="1742" t="s">
        <v>724</v>
      </c>
      <c r="D126" s="1742"/>
      <c r="E126" s="1742"/>
      <c r="J126" s="45"/>
    </row>
    <row r="127" spans="1:10">
      <c r="A127" s="346" t="s">
        <v>722</v>
      </c>
      <c r="B127" s="97">
        <f>B125</f>
        <v>0</v>
      </c>
      <c r="C127" s="337" t="s">
        <v>723</v>
      </c>
      <c r="D127" s="97">
        <f>D82</f>
        <v>0</v>
      </c>
      <c r="F127" s="195" t="s">
        <v>728</v>
      </c>
      <c r="G127" s="29"/>
      <c r="H127" s="29"/>
      <c r="I127" s="29"/>
      <c r="J127" s="189"/>
    </row>
    <row r="128" spans="1:10">
      <c r="A128" s="346" t="s">
        <v>718</v>
      </c>
      <c r="B128" s="97">
        <f>D125</f>
        <v>0</v>
      </c>
      <c r="C128" s="337" t="s">
        <v>725</v>
      </c>
      <c r="D128" s="97">
        <f>D83</f>
        <v>0</v>
      </c>
      <c r="F128" s="31"/>
      <c r="J128" s="45"/>
    </row>
    <row r="129" spans="1:14">
      <c r="A129" s="346" t="s">
        <v>719</v>
      </c>
      <c r="B129" s="97">
        <f>F125</f>
        <v>0</v>
      </c>
      <c r="C129" s="337" t="s">
        <v>726</v>
      </c>
      <c r="D129" s="97">
        <f>B132</f>
        <v>0</v>
      </c>
      <c r="F129" s="31"/>
      <c r="J129" s="45"/>
    </row>
    <row r="130" spans="1:14">
      <c r="A130" s="346" t="s">
        <v>720</v>
      </c>
      <c r="B130" s="97">
        <f>H125</f>
        <v>0</v>
      </c>
      <c r="C130" s="337" t="s">
        <v>727</v>
      </c>
      <c r="D130" s="97">
        <f>D175</f>
        <v>0</v>
      </c>
      <c r="F130" s="33"/>
      <c r="G130" s="19"/>
      <c r="H130" s="19"/>
      <c r="I130" s="19"/>
      <c r="J130" s="305"/>
    </row>
    <row r="131" spans="1:14">
      <c r="A131" s="346" t="s">
        <v>721</v>
      </c>
      <c r="B131" s="97">
        <f>J125</f>
        <v>0</v>
      </c>
      <c r="C131" s="337" t="s">
        <v>731</v>
      </c>
      <c r="D131" s="97">
        <f>SUM(D127:D130)</f>
        <v>0</v>
      </c>
      <c r="F131" s="195" t="s">
        <v>274</v>
      </c>
      <c r="G131" s="29"/>
      <c r="H131" s="29"/>
      <c r="I131" s="29"/>
      <c r="J131" s="189"/>
    </row>
    <row r="132" spans="1:14">
      <c r="A132" s="346" t="s">
        <v>723</v>
      </c>
      <c r="B132" s="97">
        <f>SUM(B127:B131)</f>
        <v>0</v>
      </c>
      <c r="F132" s="31"/>
      <c r="J132" s="45"/>
    </row>
    <row r="133" spans="1:14">
      <c r="A133" s="44"/>
      <c r="F133" s="31"/>
      <c r="J133" s="45"/>
    </row>
    <row r="134" spans="1:14">
      <c r="A134" s="44"/>
      <c r="F134" s="31"/>
      <c r="J134" s="45"/>
    </row>
    <row r="135" spans="1:14" ht="13.5" thickBot="1">
      <c r="A135" s="46"/>
      <c r="B135" s="21"/>
      <c r="C135" s="21"/>
      <c r="D135" s="21"/>
      <c r="E135" s="21"/>
      <c r="F135" s="348"/>
      <c r="G135" s="21"/>
      <c r="H135" s="21"/>
      <c r="I135" s="21"/>
      <c r="J135" s="47"/>
    </row>
    <row r="136" spans="1:14">
      <c r="A136" s="42"/>
      <c r="B136" s="50"/>
      <c r="C136" s="2289" t="str">
        <f>C91</f>
        <v xml:space="preserve"> 0</v>
      </c>
      <c r="D136" s="2289"/>
      <c r="E136" s="2289"/>
      <c r="F136" s="2289"/>
      <c r="G136" s="2289"/>
      <c r="H136" s="2289"/>
      <c r="I136" s="50"/>
      <c r="J136" s="43"/>
    </row>
    <row r="137" spans="1:14">
      <c r="A137" s="44"/>
      <c r="C137" s="1819"/>
      <c r="D137" s="1819"/>
      <c r="E137" s="1819"/>
      <c r="F137" s="1819"/>
      <c r="G137" s="1819"/>
      <c r="H137" s="1819"/>
      <c r="J137" s="45"/>
    </row>
    <row r="138" spans="1:14">
      <c r="A138" s="44"/>
      <c r="C138" s="1819"/>
      <c r="D138" s="1819"/>
      <c r="E138" s="1819"/>
      <c r="F138" s="1819"/>
      <c r="G138" s="1819"/>
      <c r="H138" s="1819"/>
      <c r="J138" s="45"/>
    </row>
    <row r="139" spans="1:14" ht="13.1">
      <c r="A139" s="44"/>
      <c r="G139" t="s">
        <v>729</v>
      </c>
      <c r="H139" s="69">
        <f>IF(B148&gt;0,4,0)</f>
        <v>0</v>
      </c>
      <c r="I139" s="3" t="s">
        <v>730</v>
      </c>
      <c r="J139" s="134">
        <f>H139</f>
        <v>0</v>
      </c>
    </row>
    <row r="140" spans="1:14">
      <c r="A140" s="338" t="s">
        <v>168</v>
      </c>
      <c r="B140" s="335"/>
      <c r="C140" s="168">
        <f>C95</f>
        <v>0</v>
      </c>
      <c r="D140" s="168"/>
      <c r="E140" s="168"/>
      <c r="F140" s="335"/>
      <c r="G140" s="335" t="s">
        <v>237</v>
      </c>
      <c r="H140" s="519">
        <f>H95</f>
        <v>0</v>
      </c>
      <c r="I140" s="335"/>
      <c r="J140" s="339"/>
      <c r="M140" s="335"/>
      <c r="N140" s="335"/>
    </row>
    <row r="141" spans="1:14">
      <c r="A141" s="338" t="s">
        <v>696</v>
      </c>
      <c r="B141" s="335"/>
      <c r="C141" s="168">
        <f>C96</f>
        <v>0</v>
      </c>
      <c r="D141" s="168"/>
      <c r="E141" s="168"/>
      <c r="F141" s="2290" t="s">
        <v>705</v>
      </c>
      <c r="G141" s="2290"/>
      <c r="H141" s="168">
        <f>H96</f>
        <v>0</v>
      </c>
      <c r="I141" s="168"/>
      <c r="J141" s="187"/>
      <c r="K141" s="335"/>
      <c r="L141" s="335"/>
      <c r="M141" s="335"/>
      <c r="N141" s="335"/>
    </row>
    <row r="142" spans="1:14">
      <c r="A142" s="338" t="s">
        <v>697</v>
      </c>
      <c r="B142" s="335"/>
      <c r="C142" s="168">
        <f>C97</f>
        <v>0</v>
      </c>
      <c r="D142" s="168"/>
      <c r="E142" s="168"/>
      <c r="F142" s="2290" t="s">
        <v>706</v>
      </c>
      <c r="G142" s="2290"/>
      <c r="H142" s="168">
        <f>H97</f>
        <v>0</v>
      </c>
      <c r="I142" s="168"/>
      <c r="J142" s="187"/>
      <c r="K142" s="335"/>
      <c r="L142" s="335"/>
      <c r="M142" s="335"/>
      <c r="N142" s="335"/>
    </row>
    <row r="143" spans="1:14">
      <c r="A143" s="338" t="s">
        <v>698</v>
      </c>
      <c r="B143" s="335"/>
      <c r="C143" s="168">
        <f>C98</f>
        <v>0</v>
      </c>
      <c r="D143" s="168"/>
      <c r="E143" s="168"/>
      <c r="F143" s="2290" t="s">
        <v>704</v>
      </c>
      <c r="G143" s="2290"/>
      <c r="H143" s="168">
        <f>H98</f>
        <v>0</v>
      </c>
      <c r="I143" s="168"/>
      <c r="J143" s="187"/>
      <c r="K143" s="335"/>
      <c r="L143" s="335"/>
      <c r="M143" s="335"/>
      <c r="N143" s="335"/>
    </row>
    <row r="144" spans="1:14">
      <c r="A144" s="338" t="s">
        <v>699</v>
      </c>
      <c r="B144" s="341">
        <f>B99</f>
        <v>0</v>
      </c>
      <c r="C144" s="335" t="str">
        <f>C99</f>
        <v>Inches</v>
      </c>
      <c r="D144" s="342" t="s">
        <v>700</v>
      </c>
      <c r="E144" s="336">
        <f>E99</f>
        <v>0</v>
      </c>
      <c r="F144" s="381" t="str">
        <f>F99</f>
        <v>#/ft</v>
      </c>
      <c r="G144" s="335" t="s">
        <v>701</v>
      </c>
      <c r="H144" s="194">
        <f>H99</f>
        <v>0</v>
      </c>
      <c r="I144" s="335" t="s">
        <v>708</v>
      </c>
      <c r="J144" s="382">
        <f>J99</f>
        <v>0</v>
      </c>
      <c r="K144" s="335"/>
      <c r="L144" s="336"/>
      <c r="M144" s="335"/>
      <c r="N144" s="208"/>
    </row>
    <row r="145" spans="1:14" ht="13.1">
      <c r="A145" s="338"/>
      <c r="B145" s="125"/>
      <c r="D145" s="342" t="s">
        <v>702</v>
      </c>
      <c r="E145" s="336">
        <f>E100</f>
        <v>0</v>
      </c>
      <c r="F145" s="342" t="s">
        <v>703</v>
      </c>
      <c r="G145" s="194">
        <f>G100</f>
        <v>0</v>
      </c>
      <c r="H145" s="208"/>
      <c r="I145" s="335"/>
      <c r="J145" s="343"/>
      <c r="L145" s="37"/>
      <c r="N145" s="69"/>
    </row>
    <row r="146" spans="1:14" ht="13.1">
      <c r="A146" s="338"/>
      <c r="B146" s="125"/>
      <c r="D146" s="124"/>
      <c r="E146" s="37"/>
      <c r="G146" s="335"/>
      <c r="H146" s="37"/>
      <c r="I146" s="335"/>
      <c r="J146" s="344"/>
      <c r="L146" s="37"/>
      <c r="N146" s="69"/>
    </row>
    <row r="147" spans="1:14">
      <c r="A147" s="320" t="s">
        <v>707</v>
      </c>
      <c r="B147" s="130" t="str">
        <f>B102</f>
        <v>Length</v>
      </c>
      <c r="C147" s="5" t="s">
        <v>707</v>
      </c>
      <c r="D147" s="130" t="str">
        <f>B147</f>
        <v>Length</v>
      </c>
      <c r="E147" s="5" t="s">
        <v>707</v>
      </c>
      <c r="F147" s="130" t="str">
        <f>D147</f>
        <v>Length</v>
      </c>
      <c r="G147" s="5" t="s">
        <v>707</v>
      </c>
      <c r="H147" s="130" t="str">
        <f>F147</f>
        <v>Length</v>
      </c>
      <c r="I147" s="5" t="s">
        <v>707</v>
      </c>
      <c r="J147" s="135" t="str">
        <f>H147</f>
        <v>Length</v>
      </c>
    </row>
    <row r="148" spans="1:14">
      <c r="A148" s="320">
        <f>IF(H139=4,301,1)</f>
        <v>1</v>
      </c>
      <c r="B148" s="1592">
        <v>0</v>
      </c>
      <c r="C148" s="320">
        <f>A168+1</f>
        <v>21</v>
      </c>
      <c r="D148" s="1592">
        <v>0</v>
      </c>
      <c r="E148" s="320">
        <f>C168+1</f>
        <v>41</v>
      </c>
      <c r="F148" s="1592">
        <v>0</v>
      </c>
      <c r="G148" s="320">
        <f>E168+1</f>
        <v>61</v>
      </c>
      <c r="H148" s="1592">
        <v>0</v>
      </c>
      <c r="I148" s="320">
        <f>G168+1</f>
        <v>81</v>
      </c>
      <c r="J148" s="1592">
        <v>0</v>
      </c>
    </row>
    <row r="149" spans="1:14">
      <c r="A149" s="320">
        <f t="shared" ref="A149:A157" si="20">A148+1</f>
        <v>2</v>
      </c>
      <c r="B149" s="1592"/>
      <c r="C149" s="320">
        <f t="shared" ref="C149:C157" si="21">C148+1</f>
        <v>22</v>
      </c>
      <c r="D149" s="1592"/>
      <c r="E149" s="320">
        <f t="shared" ref="E149:E157" si="22">E148+1</f>
        <v>42</v>
      </c>
      <c r="F149" s="1592"/>
      <c r="G149" s="320">
        <f t="shared" ref="G149:G157" si="23">G148+1</f>
        <v>62</v>
      </c>
      <c r="H149" s="1592"/>
      <c r="I149" s="320">
        <f t="shared" ref="I149:I157" si="24">I148+1</f>
        <v>82</v>
      </c>
      <c r="J149" s="1592"/>
    </row>
    <row r="150" spans="1:14">
      <c r="A150" s="320">
        <f t="shared" si="20"/>
        <v>3</v>
      </c>
      <c r="B150" s="1592"/>
      <c r="C150" s="320">
        <f t="shared" si="21"/>
        <v>23</v>
      </c>
      <c r="D150" s="1592"/>
      <c r="E150" s="320">
        <f t="shared" si="22"/>
        <v>43</v>
      </c>
      <c r="F150" s="1592"/>
      <c r="G150" s="320">
        <f t="shared" si="23"/>
        <v>63</v>
      </c>
      <c r="H150" s="1592"/>
      <c r="I150" s="320">
        <f t="shared" si="24"/>
        <v>83</v>
      </c>
      <c r="J150" s="1592"/>
    </row>
    <row r="151" spans="1:14">
      <c r="A151" s="320">
        <f t="shared" si="20"/>
        <v>4</v>
      </c>
      <c r="B151" s="1592"/>
      <c r="C151" s="320">
        <f t="shared" si="21"/>
        <v>24</v>
      </c>
      <c r="D151" s="1592"/>
      <c r="E151" s="320">
        <f t="shared" si="22"/>
        <v>44</v>
      </c>
      <c r="F151" s="1592"/>
      <c r="G151" s="320">
        <f t="shared" si="23"/>
        <v>64</v>
      </c>
      <c r="H151" s="1592"/>
      <c r="I151" s="320">
        <f t="shared" si="24"/>
        <v>84</v>
      </c>
      <c r="J151" s="1592"/>
    </row>
    <row r="152" spans="1:14">
      <c r="A152" s="320">
        <f t="shared" si="20"/>
        <v>5</v>
      </c>
      <c r="B152" s="1592"/>
      <c r="C152" s="320">
        <f t="shared" si="21"/>
        <v>25</v>
      </c>
      <c r="D152" s="1592"/>
      <c r="E152" s="320">
        <f t="shared" si="22"/>
        <v>45</v>
      </c>
      <c r="F152" s="1592"/>
      <c r="G152" s="320">
        <f t="shared" si="23"/>
        <v>65</v>
      </c>
      <c r="H152" s="1592"/>
      <c r="I152" s="320">
        <f t="shared" si="24"/>
        <v>85</v>
      </c>
      <c r="J152" s="1592"/>
    </row>
    <row r="153" spans="1:14">
      <c r="A153" s="320">
        <f t="shared" si="20"/>
        <v>6</v>
      </c>
      <c r="B153" s="1592"/>
      <c r="C153" s="320">
        <f t="shared" si="21"/>
        <v>26</v>
      </c>
      <c r="D153" s="1592"/>
      <c r="E153" s="320">
        <f t="shared" si="22"/>
        <v>46</v>
      </c>
      <c r="F153" s="1592"/>
      <c r="G153" s="320">
        <f t="shared" si="23"/>
        <v>66</v>
      </c>
      <c r="H153" s="1592"/>
      <c r="I153" s="320">
        <f t="shared" si="24"/>
        <v>86</v>
      </c>
      <c r="J153" s="1592"/>
    </row>
    <row r="154" spans="1:14">
      <c r="A154" s="320">
        <f t="shared" si="20"/>
        <v>7</v>
      </c>
      <c r="B154" s="1592"/>
      <c r="C154" s="320">
        <f t="shared" si="21"/>
        <v>27</v>
      </c>
      <c r="D154" s="1592"/>
      <c r="E154" s="320">
        <f t="shared" si="22"/>
        <v>47</v>
      </c>
      <c r="F154" s="1592"/>
      <c r="G154" s="320">
        <f t="shared" si="23"/>
        <v>67</v>
      </c>
      <c r="H154" s="1592"/>
      <c r="I154" s="320">
        <f t="shared" si="24"/>
        <v>87</v>
      </c>
      <c r="J154" s="1592"/>
    </row>
    <row r="155" spans="1:14">
      <c r="A155" s="320">
        <f t="shared" si="20"/>
        <v>8</v>
      </c>
      <c r="B155" s="1592"/>
      <c r="C155" s="320">
        <f t="shared" si="21"/>
        <v>28</v>
      </c>
      <c r="D155" s="1592"/>
      <c r="E155" s="320">
        <f t="shared" si="22"/>
        <v>48</v>
      </c>
      <c r="F155" s="1592"/>
      <c r="G155" s="320">
        <f t="shared" si="23"/>
        <v>68</v>
      </c>
      <c r="H155" s="1592"/>
      <c r="I155" s="320">
        <f t="shared" si="24"/>
        <v>88</v>
      </c>
      <c r="J155" s="1592"/>
    </row>
    <row r="156" spans="1:14">
      <c r="A156" s="320">
        <f t="shared" si="20"/>
        <v>9</v>
      </c>
      <c r="B156" s="1592"/>
      <c r="C156" s="320">
        <f t="shared" si="21"/>
        <v>29</v>
      </c>
      <c r="D156" s="1592"/>
      <c r="E156" s="320">
        <f t="shared" si="22"/>
        <v>49</v>
      </c>
      <c r="F156" s="1592"/>
      <c r="G156" s="320">
        <f t="shared" si="23"/>
        <v>69</v>
      </c>
      <c r="H156" s="1592"/>
      <c r="I156" s="320">
        <f t="shared" si="24"/>
        <v>89</v>
      </c>
      <c r="J156" s="1592"/>
    </row>
    <row r="157" spans="1:14" ht="13.5" thickBot="1">
      <c r="A157" s="320">
        <f t="shared" si="20"/>
        <v>10</v>
      </c>
      <c r="B157" s="1593"/>
      <c r="C157" s="320">
        <f t="shared" si="21"/>
        <v>30</v>
      </c>
      <c r="D157" s="1593"/>
      <c r="E157" s="320">
        <f t="shared" si="22"/>
        <v>50</v>
      </c>
      <c r="F157" s="1593"/>
      <c r="G157" s="320">
        <f t="shared" si="23"/>
        <v>70</v>
      </c>
      <c r="H157" s="1593"/>
      <c r="I157" s="320">
        <f t="shared" si="24"/>
        <v>90</v>
      </c>
      <c r="J157" s="1593"/>
    </row>
    <row r="158" spans="1:14" ht="19.149999999999999" customHeight="1" thickBot="1">
      <c r="A158" s="357" t="s">
        <v>709</v>
      </c>
      <c r="B158" s="358">
        <f>SUM(B148:B157)</f>
        <v>0</v>
      </c>
      <c r="C158" s="359" t="s">
        <v>710</v>
      </c>
      <c r="D158" s="358">
        <f>SUM(D148:D157)</f>
        <v>0</v>
      </c>
      <c r="E158" s="359" t="s">
        <v>713</v>
      </c>
      <c r="F158" s="358">
        <f>SUM(F148:F157)</f>
        <v>0</v>
      </c>
      <c r="G158" s="359" t="s">
        <v>714</v>
      </c>
      <c r="H158" s="358">
        <f>SUM(H148:H157)</f>
        <v>0</v>
      </c>
      <c r="I158" s="359" t="s">
        <v>717</v>
      </c>
      <c r="J158" s="360">
        <f>SUM(J148:J157)</f>
        <v>0</v>
      </c>
    </row>
    <row r="159" spans="1:14">
      <c r="A159" s="353">
        <f>A157+1</f>
        <v>11</v>
      </c>
      <c r="B159" s="354"/>
      <c r="C159" s="353">
        <f>C157+1</f>
        <v>31</v>
      </c>
      <c r="D159" s="354"/>
      <c r="E159" s="353">
        <f>E157+1</f>
        <v>51</v>
      </c>
      <c r="F159" s="354"/>
      <c r="G159" s="353">
        <f>G157+1</f>
        <v>71</v>
      </c>
      <c r="H159" s="354"/>
      <c r="I159" s="353">
        <f>I157+1</f>
        <v>91</v>
      </c>
      <c r="J159" s="356"/>
    </row>
    <row r="160" spans="1:14">
      <c r="A160" s="320">
        <f t="shared" ref="A160:A168" si="25">A159+1</f>
        <v>12</v>
      </c>
      <c r="B160" s="97"/>
      <c r="C160" s="320">
        <f t="shared" ref="C160:C168" si="26">C159+1</f>
        <v>32</v>
      </c>
      <c r="D160" s="97"/>
      <c r="E160" s="320">
        <f t="shared" ref="E160:E168" si="27">E159+1</f>
        <v>52</v>
      </c>
      <c r="F160" s="97"/>
      <c r="G160" s="320">
        <f t="shared" ref="G160:G168" si="28">G159+1</f>
        <v>72</v>
      </c>
      <c r="H160" s="97"/>
      <c r="I160" s="320">
        <f t="shared" ref="I160:I168" si="29">I159+1</f>
        <v>92</v>
      </c>
      <c r="J160" s="345"/>
    </row>
    <row r="161" spans="1:10">
      <c r="A161" s="320">
        <f t="shared" si="25"/>
        <v>13</v>
      </c>
      <c r="B161" s="97"/>
      <c r="C161" s="320">
        <f t="shared" si="26"/>
        <v>33</v>
      </c>
      <c r="D161" s="97"/>
      <c r="E161" s="320">
        <f t="shared" si="27"/>
        <v>53</v>
      </c>
      <c r="F161" s="97"/>
      <c r="G161" s="320">
        <f t="shared" si="28"/>
        <v>73</v>
      </c>
      <c r="H161" s="97"/>
      <c r="I161" s="320">
        <f t="shared" si="29"/>
        <v>93</v>
      </c>
      <c r="J161" s="345"/>
    </row>
    <row r="162" spans="1:10">
      <c r="A162" s="320">
        <f t="shared" si="25"/>
        <v>14</v>
      </c>
      <c r="B162" s="97"/>
      <c r="C162" s="320">
        <f t="shared" si="26"/>
        <v>34</v>
      </c>
      <c r="D162" s="97"/>
      <c r="E162" s="320">
        <f t="shared" si="27"/>
        <v>54</v>
      </c>
      <c r="F162" s="97"/>
      <c r="G162" s="320">
        <f t="shared" si="28"/>
        <v>74</v>
      </c>
      <c r="H162" s="97"/>
      <c r="I162" s="320">
        <f t="shared" si="29"/>
        <v>94</v>
      </c>
      <c r="J162" s="345"/>
    </row>
    <row r="163" spans="1:10">
      <c r="A163" s="320">
        <f t="shared" si="25"/>
        <v>15</v>
      </c>
      <c r="B163" s="97"/>
      <c r="C163" s="320">
        <f t="shared" si="26"/>
        <v>35</v>
      </c>
      <c r="D163" s="97"/>
      <c r="E163" s="320">
        <f t="shared" si="27"/>
        <v>55</v>
      </c>
      <c r="F163" s="97"/>
      <c r="G163" s="320">
        <f t="shared" si="28"/>
        <v>75</v>
      </c>
      <c r="H163" s="97"/>
      <c r="I163" s="320">
        <f t="shared" si="29"/>
        <v>95</v>
      </c>
      <c r="J163" s="345"/>
    </row>
    <row r="164" spans="1:10">
      <c r="A164" s="320">
        <f t="shared" si="25"/>
        <v>16</v>
      </c>
      <c r="B164" s="97"/>
      <c r="C164" s="320">
        <f t="shared" si="26"/>
        <v>36</v>
      </c>
      <c r="D164" s="97"/>
      <c r="E164" s="320">
        <f t="shared" si="27"/>
        <v>56</v>
      </c>
      <c r="F164" s="97"/>
      <c r="G164" s="320">
        <f t="shared" si="28"/>
        <v>76</v>
      </c>
      <c r="H164" s="97"/>
      <c r="I164" s="320">
        <f t="shared" si="29"/>
        <v>96</v>
      </c>
      <c r="J164" s="345"/>
    </row>
    <row r="165" spans="1:10">
      <c r="A165" s="320">
        <f t="shared" si="25"/>
        <v>17</v>
      </c>
      <c r="B165" s="97"/>
      <c r="C165" s="320">
        <f t="shared" si="26"/>
        <v>37</v>
      </c>
      <c r="D165" s="97"/>
      <c r="E165" s="320">
        <f t="shared" si="27"/>
        <v>57</v>
      </c>
      <c r="F165" s="97"/>
      <c r="G165" s="320">
        <f t="shared" si="28"/>
        <v>77</v>
      </c>
      <c r="H165" s="97"/>
      <c r="I165" s="320">
        <f t="shared" si="29"/>
        <v>97</v>
      </c>
      <c r="J165" s="345"/>
    </row>
    <row r="166" spans="1:10">
      <c r="A166" s="320">
        <f t="shared" si="25"/>
        <v>18</v>
      </c>
      <c r="B166" s="97"/>
      <c r="C166" s="320">
        <f t="shared" si="26"/>
        <v>38</v>
      </c>
      <c r="D166" s="97"/>
      <c r="E166" s="320">
        <f t="shared" si="27"/>
        <v>58</v>
      </c>
      <c r="F166" s="97"/>
      <c r="G166" s="320">
        <f t="shared" si="28"/>
        <v>78</v>
      </c>
      <c r="H166" s="97"/>
      <c r="I166" s="320">
        <f t="shared" si="29"/>
        <v>98</v>
      </c>
      <c r="J166" s="345"/>
    </row>
    <row r="167" spans="1:10">
      <c r="A167" s="320">
        <f t="shared" si="25"/>
        <v>19</v>
      </c>
      <c r="B167" s="97"/>
      <c r="C167" s="320">
        <f t="shared" si="26"/>
        <v>39</v>
      </c>
      <c r="D167" s="97"/>
      <c r="E167" s="320">
        <f t="shared" si="27"/>
        <v>59</v>
      </c>
      <c r="F167" s="97"/>
      <c r="G167" s="320">
        <f t="shared" si="28"/>
        <v>79</v>
      </c>
      <c r="H167" s="97"/>
      <c r="I167" s="320">
        <f t="shared" si="29"/>
        <v>99</v>
      </c>
      <c r="J167" s="345"/>
    </row>
    <row r="168" spans="1:10" ht="13.5" thickBot="1">
      <c r="A168" s="320">
        <f t="shared" si="25"/>
        <v>20</v>
      </c>
      <c r="B168" s="350"/>
      <c r="C168" s="320">
        <f t="shared" si="26"/>
        <v>40</v>
      </c>
      <c r="D168" s="350"/>
      <c r="E168" s="320">
        <f t="shared" si="27"/>
        <v>60</v>
      </c>
      <c r="F168" s="350"/>
      <c r="G168" s="320">
        <f t="shared" si="28"/>
        <v>80</v>
      </c>
      <c r="H168" s="350"/>
      <c r="I168" s="320">
        <f t="shared" si="29"/>
        <v>100</v>
      </c>
      <c r="J168" s="352"/>
    </row>
    <row r="169" spans="1:10" ht="19.149999999999999" customHeight="1" thickBot="1">
      <c r="A169" s="357" t="s">
        <v>709</v>
      </c>
      <c r="B169" s="358">
        <f>SUM(B159:B168)</f>
        <v>0</v>
      </c>
      <c r="C169" s="359" t="s">
        <v>711</v>
      </c>
      <c r="D169" s="358">
        <f>SUM(D159:D168)</f>
        <v>0</v>
      </c>
      <c r="E169" s="359" t="s">
        <v>712</v>
      </c>
      <c r="F169" s="358">
        <f>SUM(F159:F168)</f>
        <v>0</v>
      </c>
      <c r="G169" s="359" t="s">
        <v>715</v>
      </c>
      <c r="H169" s="358">
        <f>SUM(H159:H168)</f>
        <v>0</v>
      </c>
      <c r="I169" s="359" t="s">
        <v>716</v>
      </c>
      <c r="J169" s="360">
        <f>SUM(J159:J168)</f>
        <v>0</v>
      </c>
    </row>
    <row r="170" spans="1:10" ht="19.149999999999999" customHeight="1" thickBot="1">
      <c r="A170" s="357" t="s">
        <v>722</v>
      </c>
      <c r="B170" s="358">
        <f>B158+B169</f>
        <v>0</v>
      </c>
      <c r="C170" s="359" t="s">
        <v>718</v>
      </c>
      <c r="D170" s="358">
        <f>D158+D169</f>
        <v>0</v>
      </c>
      <c r="E170" s="359" t="s">
        <v>719</v>
      </c>
      <c r="F170" s="358">
        <f>F158+F169</f>
        <v>0</v>
      </c>
      <c r="G170" s="359" t="s">
        <v>720</v>
      </c>
      <c r="H170" s="358">
        <f>H158+H169</f>
        <v>0</v>
      </c>
      <c r="I170" s="359" t="s">
        <v>721</v>
      </c>
      <c r="J170" s="360">
        <f>J158+J169</f>
        <v>0</v>
      </c>
    </row>
    <row r="171" spans="1:10">
      <c r="A171" s="44"/>
      <c r="B171" s="347"/>
      <c r="C171" s="1742" t="s">
        <v>724</v>
      </c>
      <c r="D171" s="1742"/>
      <c r="E171" s="1742"/>
      <c r="J171" s="45"/>
    </row>
    <row r="172" spans="1:10">
      <c r="A172" s="346" t="s">
        <v>722</v>
      </c>
      <c r="B172" s="97">
        <f>B170</f>
        <v>0</v>
      </c>
      <c r="C172" s="337" t="s">
        <v>723</v>
      </c>
      <c r="D172" s="97">
        <f>D127</f>
        <v>0</v>
      </c>
      <c r="F172" s="195" t="s">
        <v>728</v>
      </c>
      <c r="G172" s="29"/>
      <c r="H172" s="29"/>
      <c r="I172" s="29"/>
      <c r="J172" s="189"/>
    </row>
    <row r="173" spans="1:10">
      <c r="A173" s="346" t="s">
        <v>718</v>
      </c>
      <c r="B173" s="97">
        <f>D170</f>
        <v>0</v>
      </c>
      <c r="C173" s="337" t="s">
        <v>725</v>
      </c>
      <c r="D173" s="97">
        <f>D128</f>
        <v>0</v>
      </c>
      <c r="F173" s="31"/>
      <c r="J173" s="45"/>
    </row>
    <row r="174" spans="1:10">
      <c r="A174" s="346" t="s">
        <v>719</v>
      </c>
      <c r="B174" s="97">
        <f>F170</f>
        <v>0</v>
      </c>
      <c r="C174" s="337" t="s">
        <v>726</v>
      </c>
      <c r="D174" s="97">
        <f>D129</f>
        <v>0</v>
      </c>
      <c r="F174" s="31"/>
      <c r="J174" s="45"/>
    </row>
    <row r="175" spans="1:10">
      <c r="A175" s="346" t="s">
        <v>720</v>
      </c>
      <c r="B175" s="97">
        <f>H170</f>
        <v>0</v>
      </c>
      <c r="C175" s="337" t="s">
        <v>727</v>
      </c>
      <c r="D175" s="97">
        <f>B177</f>
        <v>0</v>
      </c>
      <c r="F175" s="33"/>
      <c r="G175" s="19"/>
      <c r="H175" s="19"/>
      <c r="I175" s="19"/>
      <c r="J175" s="305"/>
    </row>
    <row r="176" spans="1:10">
      <c r="A176" s="346" t="s">
        <v>721</v>
      </c>
      <c r="B176" s="97">
        <f>J170</f>
        <v>0</v>
      </c>
      <c r="C176" s="337" t="s">
        <v>731</v>
      </c>
      <c r="D176" s="97">
        <f>SUM(D172:D175)</f>
        <v>0</v>
      </c>
      <c r="F176" s="195" t="s">
        <v>274</v>
      </c>
      <c r="G176" s="29"/>
      <c r="H176" s="29"/>
      <c r="I176" s="29"/>
      <c r="J176" s="189"/>
    </row>
    <row r="177" spans="1:10">
      <c r="A177" s="346" t="s">
        <v>723</v>
      </c>
      <c r="B177" s="97">
        <f>SUM(B172:B176)</f>
        <v>0</v>
      </c>
      <c r="F177" s="31"/>
      <c r="J177" s="45"/>
    </row>
    <row r="178" spans="1:10">
      <c r="A178" s="44"/>
      <c r="F178" s="31"/>
      <c r="J178" s="45"/>
    </row>
    <row r="179" spans="1:10">
      <c r="A179" s="44"/>
      <c r="F179" s="31"/>
      <c r="J179" s="45"/>
    </row>
    <row r="180" spans="1:10" ht="13.5" thickBot="1">
      <c r="A180" s="46"/>
      <c r="B180" s="21"/>
      <c r="C180" s="21"/>
      <c r="D180" s="21"/>
      <c r="E180" s="21"/>
      <c r="F180" s="348"/>
      <c r="G180" s="21"/>
      <c r="H180" s="21"/>
      <c r="I180" s="21"/>
      <c r="J180" s="47"/>
    </row>
  </sheetData>
  <sheetProtection sheet="1" formatCells="0" formatColumns="0" formatRows="0" insertColumns="0" insertRows="0" deleteColumns="0" deleteRows="0" selectLockedCells="1"/>
  <protectedRanges>
    <protectedRange sqref="B9 H9 J9 E9:E10 G10" name="Range6"/>
    <protectedRange sqref="B159:B168 D159:D168 F159:F168 H159:H168 J159:J168 H172:J172 F173:J175 G176:J176 F177:J180" name="Range4" securityDescriptor="O:WDG:WDD:(A;;CC;;;WD)"/>
    <protectedRange sqref="H127:J127 F128:J130 G131:J131 F132:J135" name="Range3" securityDescriptor="O:WDG:WDD:(A;;CC;;;WD)"/>
    <protectedRange sqref="H82:J82 F83:J85 G86:J86 F87:J90" name="Range2" securityDescriptor="O:WDG:WDD:(A;;CC;;;WD)"/>
    <protectedRange sqref="C5:E8 H5 H7:H11 J9 E9:E10 B9 B13:B22 H37:J40 F38:G40 F42:J45 G41:J41 D13:D22 F13:F22 H13:H22 J13:J22 B24:B33 D24:D33 F24:F33 H24:H33 J24:J33 B58:B67 D58:D67 F58:F67 H58:H67 J58:J67 B69:B78 D69:D78 F69:F78 H69:H78 J69:J78 B103:B112 D103:D112 F103:F112 H103:H112 J103:J112 J114:J123 H114:H123 F114:F123 D114:D123 B114:B123 B148:B157 D148:D157 F148:F157 H148:H157 J148:J157" name="Range1" securityDescriptor="O:WDG:WDD:(A;;CC;;;WD)"/>
    <protectedRange sqref="G10" name="Range5" securityDescriptor="O:WDG:WDD:(A;;CC;;;WD)"/>
  </protectedRanges>
  <mergeCells count="24">
    <mergeCell ref="F143:G143"/>
    <mergeCell ref="C126:E126"/>
    <mergeCell ref="F141:G141"/>
    <mergeCell ref="C171:E171"/>
    <mergeCell ref="F6:G6"/>
    <mergeCell ref="F7:G7"/>
    <mergeCell ref="F8:G8"/>
    <mergeCell ref="F52:G52"/>
    <mergeCell ref="F53:G53"/>
    <mergeCell ref="C136:H138"/>
    <mergeCell ref="C7:E7"/>
    <mergeCell ref="C8:E8"/>
    <mergeCell ref="C6:E6"/>
    <mergeCell ref="F142:G142"/>
    <mergeCell ref="C1:H3"/>
    <mergeCell ref="F97:G97"/>
    <mergeCell ref="F98:G98"/>
    <mergeCell ref="F96:G96"/>
    <mergeCell ref="F51:G51"/>
    <mergeCell ref="C36:E36"/>
    <mergeCell ref="C81:E81"/>
    <mergeCell ref="C46:H48"/>
    <mergeCell ref="C91:H93"/>
    <mergeCell ref="C5:F5"/>
  </mergeCells>
  <phoneticPr fontId="0" type="noConversion"/>
  <pageMargins left="0.25" right="0.25" top="0.75" bottom="0.75" header="0" footer="0"/>
  <pageSetup scale="115"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7898" r:id="rId4" name="Button 10">
              <controlPr defaultSize="0" print="0" autoFill="0" autoPict="0" macro="[0]!GOTOMENU6">
                <anchor moveWithCells="1">
                  <from>
                    <xdr:col>0</xdr:col>
                    <xdr:colOff>19050</xdr:colOff>
                    <xdr:row>0</xdr:row>
                    <xdr:rowOff>19050</xdr:rowOff>
                  </from>
                  <to>
                    <xdr:col>1</xdr:col>
                    <xdr:colOff>302079</xdr:colOff>
                    <xdr:row>1</xdr:row>
                    <xdr:rowOff>76200</xdr:rowOff>
                  </to>
                </anchor>
              </controlPr>
            </control>
          </mc:Choice>
        </mc:AlternateContent>
        <mc:AlternateContent xmlns:mc="http://schemas.openxmlformats.org/markup-compatibility/2006">
          <mc:Choice Requires="x14">
            <control shapeId="37899" r:id="rId5" name="Button 11">
              <controlPr defaultSize="0" print="0" autoFill="0" autoPict="0" macro="[0]!GoToMyTally">
                <anchor moveWithCells="1">
                  <from>
                    <xdr:col>9</xdr:col>
                    <xdr:colOff>190500</xdr:colOff>
                    <xdr:row>0</xdr:row>
                    <xdr:rowOff>29936</xdr:rowOff>
                  </from>
                  <to>
                    <xdr:col>9</xdr:col>
                    <xdr:colOff>808264</xdr:colOff>
                    <xdr:row>1</xdr:row>
                    <xdr:rowOff>76200</xdr:rowOff>
                  </to>
                </anchor>
              </controlPr>
            </control>
          </mc:Choice>
        </mc:AlternateContent>
        <mc:AlternateContent xmlns:mc="http://schemas.openxmlformats.org/markup-compatibility/2006">
          <mc:Choice Requires="x14">
            <control shapeId="37900" r:id="rId6" name="Button 12">
              <controlPr defaultSize="0" print="0" autoFill="0" autoPict="0" macro="[0]!GoToDepthCalc">
                <anchor moveWithCells="1">
                  <from>
                    <xdr:col>9</xdr:col>
                    <xdr:colOff>190500</xdr:colOff>
                    <xdr:row>2</xdr:row>
                    <xdr:rowOff>76200</xdr:rowOff>
                  </from>
                  <to>
                    <xdr:col>9</xdr:col>
                    <xdr:colOff>808264</xdr:colOff>
                    <xdr:row>3</xdr:row>
                    <xdr:rowOff>127907</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B0619D82-A5C9-4898-9D24-F595343D129F}">
          <x14:formula1>
            <xm:f>'Data Validation'!$C$9:$D$9</xm:f>
          </x14:formula1>
          <xm:sqref>C9</xm:sqref>
        </x14:dataValidation>
        <x14:dataValidation type="list" allowBlank="1" showInputMessage="1" showErrorMessage="1" xr:uid="{EA2DFCB9-92D1-4ED2-B8CD-5494F6B16846}">
          <x14:formula1>
            <xm:f>'Data Validation'!$C$10:$D$10</xm:f>
          </x14:formula1>
          <xm:sqref>F9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1736-0A77-4945-91A4-8BB4E4AD179C}">
  <sheetPr codeName="Sheet32"/>
  <dimension ref="A1:U37"/>
  <sheetViews>
    <sheetView showGridLines="0" zoomScale="120" zoomScaleNormal="100" zoomScaleSheetLayoutView="100" workbookViewId="0">
      <pane ySplit="8" topLeftCell="A9" activePane="bottomLeft" state="frozenSplit"/>
      <selection activeCell="M4" sqref="M4"/>
      <selection pane="bottomLeft" activeCell="U5" sqref="U5"/>
    </sheetView>
  </sheetViews>
  <sheetFormatPr defaultRowHeight="12.9"/>
  <cols>
    <col min="2" max="2" width="12.15234375" customWidth="1"/>
    <col min="3" max="20" width="4.84375" customWidth="1"/>
    <col min="21" max="21" width="17.57421875" customWidth="1"/>
  </cols>
  <sheetData>
    <row r="1" spans="1:21" ht="13.1">
      <c r="C1" s="1664">
        <f>Summary!C5</f>
        <v>0</v>
      </c>
      <c r="D1" s="1664"/>
      <c r="E1" s="1664"/>
      <c r="F1" s="1664"/>
      <c r="G1" s="1664"/>
      <c r="H1" s="1664"/>
      <c r="I1" s="1664"/>
      <c r="J1" s="1664"/>
      <c r="K1" s="1664"/>
      <c r="L1" s="1664"/>
      <c r="M1" s="1664"/>
      <c r="N1" s="1664"/>
      <c r="O1" s="1664"/>
      <c r="P1" s="1664"/>
      <c r="Q1" s="1664"/>
      <c r="R1" s="1664"/>
      <c r="S1" s="1664"/>
      <c r="U1" s="203" t="s">
        <v>560</v>
      </c>
    </row>
    <row r="2" spans="1:21" ht="13.75" thickBot="1">
      <c r="A2" s="240">
        <f>Summary!C5</f>
        <v>0</v>
      </c>
    </row>
    <row r="3" spans="1:21" ht="16.75" thickBot="1">
      <c r="A3" s="1" t="s">
        <v>115</v>
      </c>
      <c r="C3" s="68" t="s">
        <v>307</v>
      </c>
      <c r="D3" s="68"/>
      <c r="E3" s="2"/>
      <c r="F3" s="2"/>
      <c r="G3" s="2"/>
      <c r="S3" s="27" t="s">
        <v>130</v>
      </c>
      <c r="T3" s="35"/>
      <c r="U3" s="108">
        <f>(Summary!E2)</f>
        <v>0</v>
      </c>
    </row>
    <row r="4" spans="1:21" ht="13.75" thickBot="1">
      <c r="A4" s="48" t="s">
        <v>308</v>
      </c>
      <c r="B4" s="20"/>
      <c r="C4" s="20"/>
      <c r="D4" s="20"/>
      <c r="E4" s="20"/>
      <c r="F4" s="20"/>
      <c r="G4" s="20"/>
      <c r="H4" s="20"/>
      <c r="I4" s="49">
        <f>(Summary!C6)</f>
        <v>0</v>
      </c>
      <c r="J4" s="20"/>
      <c r="K4" s="20"/>
      <c r="L4" s="20"/>
      <c r="M4" s="20"/>
      <c r="N4" s="20"/>
      <c r="O4" s="20"/>
      <c r="P4" s="20"/>
      <c r="Q4" s="93" t="s">
        <v>309</v>
      </c>
      <c r="R4" s="20"/>
      <c r="S4" s="20"/>
      <c r="T4" s="20"/>
      <c r="U4" s="181" t="str">
        <f>CONCATENATE(Summary!C14," ",Summary!H14)</f>
        <v>0 0</v>
      </c>
    </row>
    <row r="5" spans="1:21" ht="13.75" thickBot="1">
      <c r="A5" s="26"/>
      <c r="B5" s="28"/>
      <c r="C5" s="28"/>
      <c r="D5" s="20"/>
      <c r="E5" s="20"/>
      <c r="F5" s="20"/>
      <c r="G5" s="20"/>
      <c r="H5" s="20"/>
      <c r="I5" s="20" t="s">
        <v>115</v>
      </c>
      <c r="J5" s="20"/>
      <c r="K5" s="20"/>
      <c r="L5" s="20"/>
      <c r="M5" s="20"/>
      <c r="N5" s="20"/>
      <c r="O5" s="20"/>
      <c r="P5" s="20"/>
      <c r="Q5" s="94" t="s">
        <v>318</v>
      </c>
      <c r="R5" s="28"/>
      <c r="S5" s="28"/>
      <c r="T5" s="28"/>
      <c r="U5" s="109"/>
    </row>
    <row r="6" spans="1:21" ht="6" customHeight="1" thickBot="1"/>
    <row r="7" spans="1:21" ht="13.5" customHeight="1">
      <c r="A7" s="95" t="s">
        <v>319</v>
      </c>
      <c r="B7" s="86"/>
      <c r="C7" s="145">
        <v>1</v>
      </c>
      <c r="D7" s="145">
        <v>2</v>
      </c>
      <c r="E7" s="145">
        <v>3</v>
      </c>
      <c r="F7" s="145">
        <v>4</v>
      </c>
      <c r="G7" s="145">
        <v>5</v>
      </c>
      <c r="H7" s="145">
        <v>6</v>
      </c>
      <c r="I7" s="145">
        <v>7</v>
      </c>
      <c r="J7" s="145">
        <v>8</v>
      </c>
      <c r="K7" s="145">
        <v>9</v>
      </c>
      <c r="L7" s="145">
        <v>10</v>
      </c>
      <c r="M7" s="145">
        <v>11</v>
      </c>
      <c r="N7" s="145">
        <v>12</v>
      </c>
      <c r="O7" s="145">
        <v>13</v>
      </c>
      <c r="P7" s="145">
        <v>14</v>
      </c>
      <c r="Q7" s="145">
        <v>15</v>
      </c>
      <c r="R7" s="145"/>
      <c r="S7" s="91" t="s">
        <v>213</v>
      </c>
      <c r="T7" s="91" t="s">
        <v>320</v>
      </c>
      <c r="U7" s="89" t="s">
        <v>321</v>
      </c>
    </row>
    <row r="8" spans="1:21" ht="13.75" thickBot="1">
      <c r="A8" s="87"/>
      <c r="B8" s="88"/>
      <c r="C8" s="146">
        <v>16</v>
      </c>
      <c r="D8" s="146">
        <v>17</v>
      </c>
      <c r="E8" s="146">
        <v>18</v>
      </c>
      <c r="F8" s="146">
        <v>19</v>
      </c>
      <c r="G8" s="146">
        <v>20</v>
      </c>
      <c r="H8" s="146">
        <v>21</v>
      </c>
      <c r="I8" s="146">
        <v>22</v>
      </c>
      <c r="J8" s="146">
        <v>23</v>
      </c>
      <c r="K8" s="146">
        <v>24</v>
      </c>
      <c r="L8" s="146">
        <v>25</v>
      </c>
      <c r="M8" s="146">
        <v>26</v>
      </c>
      <c r="N8" s="146">
        <v>27</v>
      </c>
      <c r="O8" s="146">
        <v>28</v>
      </c>
      <c r="P8" s="146">
        <v>29</v>
      </c>
      <c r="Q8" s="146">
        <v>30</v>
      </c>
      <c r="R8" s="146">
        <v>31</v>
      </c>
      <c r="S8" s="92" t="s">
        <v>322</v>
      </c>
      <c r="T8" s="92" t="s">
        <v>323</v>
      </c>
      <c r="U8" s="90"/>
    </row>
    <row r="9" spans="1:21">
      <c r="A9" s="52" t="s">
        <v>324</v>
      </c>
      <c r="B9" s="624"/>
      <c r="C9" s="100"/>
      <c r="D9" s="100"/>
      <c r="E9" s="100"/>
      <c r="F9" s="100"/>
      <c r="G9" s="100"/>
      <c r="H9" s="100"/>
      <c r="I9" s="100"/>
      <c r="J9" s="100"/>
      <c r="K9" s="100"/>
      <c r="L9" s="100"/>
      <c r="M9" s="100"/>
      <c r="N9" s="100"/>
      <c r="O9" s="100"/>
      <c r="P9" s="100"/>
      <c r="Q9" s="100"/>
      <c r="R9" s="100"/>
      <c r="S9" s="745"/>
      <c r="T9" s="746"/>
      <c r="U9" s="627"/>
    </row>
    <row r="10" spans="1:21" ht="13.5" thickBot="1">
      <c r="A10" s="55" t="s">
        <v>325</v>
      </c>
      <c r="B10" s="625"/>
      <c r="C10" s="100"/>
      <c r="D10" s="100"/>
      <c r="E10" s="100"/>
      <c r="F10" s="100"/>
      <c r="G10" s="100"/>
      <c r="H10" s="100"/>
      <c r="I10" s="100"/>
      <c r="J10" s="100"/>
      <c r="K10" s="100"/>
      <c r="L10" s="100"/>
      <c r="M10" s="100"/>
      <c r="N10" s="100"/>
      <c r="O10" s="100"/>
      <c r="P10" s="100"/>
      <c r="Q10" s="100"/>
      <c r="R10" s="100"/>
      <c r="S10" s="747">
        <f>SUM(C9:Q9)+SUM(C10:R10)</f>
        <v>0</v>
      </c>
      <c r="T10" s="748"/>
      <c r="U10" s="628"/>
    </row>
    <row r="11" spans="1:21" ht="13.5" thickBot="1">
      <c r="A11" s="96" t="s">
        <v>326</v>
      </c>
      <c r="B11" s="626"/>
      <c r="C11" s="1133"/>
      <c r="D11" s="1134"/>
      <c r="E11" s="1134"/>
      <c r="F11" s="1134"/>
      <c r="G11" s="1134"/>
      <c r="H11" s="1134"/>
      <c r="I11" s="1134"/>
      <c r="J11" s="1134"/>
      <c r="K11" s="1134"/>
      <c r="L11" s="1134"/>
      <c r="M11" s="1134"/>
      <c r="N11" s="1134"/>
      <c r="O11" s="1134"/>
      <c r="P11" s="1134"/>
      <c r="Q11" s="1134"/>
      <c r="R11" s="1134"/>
      <c r="S11" s="749"/>
      <c r="T11" s="750"/>
      <c r="U11" s="629"/>
    </row>
    <row r="12" spans="1:21">
      <c r="A12" s="52" t="s">
        <v>324</v>
      </c>
      <c r="B12" s="624"/>
      <c r="C12" s="1132"/>
      <c r="D12" s="1132"/>
      <c r="E12" s="1132"/>
      <c r="F12" s="1132"/>
      <c r="G12" s="1132"/>
      <c r="H12" s="1132"/>
      <c r="I12" s="1132"/>
      <c r="J12" s="1132"/>
      <c r="K12" s="1132"/>
      <c r="L12" s="1132"/>
      <c r="M12" s="1132"/>
      <c r="N12" s="1132"/>
      <c r="O12" s="1132"/>
      <c r="P12" s="1132"/>
      <c r="Q12" s="1132"/>
      <c r="R12" s="1132"/>
      <c r="S12" s="745"/>
      <c r="T12" s="746"/>
      <c r="U12" s="627"/>
    </row>
    <row r="13" spans="1:21" ht="13.5" thickBot="1">
      <c r="A13" s="55" t="s">
        <v>325</v>
      </c>
      <c r="B13" s="625"/>
      <c r="C13" s="100"/>
      <c r="D13" s="100"/>
      <c r="E13" s="100"/>
      <c r="F13" s="100" t="s">
        <v>115</v>
      </c>
      <c r="G13" s="100"/>
      <c r="H13" s="100"/>
      <c r="I13" s="100"/>
      <c r="J13" s="100"/>
      <c r="K13" s="100"/>
      <c r="L13" s="100"/>
      <c r="M13" s="100"/>
      <c r="N13" s="100"/>
      <c r="O13" s="100"/>
      <c r="P13" s="100"/>
      <c r="Q13" s="100"/>
      <c r="R13" s="100"/>
      <c r="S13" s="747">
        <f>SUM(C12:Q12)+SUM(C13:R13)</f>
        <v>0</v>
      </c>
      <c r="T13" s="748"/>
      <c r="U13" s="628"/>
    </row>
    <row r="14" spans="1:21" ht="13.5" thickBot="1">
      <c r="A14" s="96" t="s">
        <v>326</v>
      </c>
      <c r="B14" s="626"/>
      <c r="C14" s="1133"/>
      <c r="D14" s="1134"/>
      <c r="E14" s="1134"/>
      <c r="F14" s="1134"/>
      <c r="G14" s="1134"/>
      <c r="H14" s="1134"/>
      <c r="I14" s="1134"/>
      <c r="J14" s="1134"/>
      <c r="K14" s="1134"/>
      <c r="L14" s="1134"/>
      <c r="M14" s="1134"/>
      <c r="N14" s="1134"/>
      <c r="O14" s="1134"/>
      <c r="P14" s="1134"/>
      <c r="Q14" s="1134"/>
      <c r="R14" s="1134"/>
      <c r="S14" s="749"/>
      <c r="T14" s="750"/>
      <c r="U14" s="629"/>
    </row>
    <row r="15" spans="1:21">
      <c r="A15" s="52" t="s">
        <v>324</v>
      </c>
      <c r="B15" s="624"/>
      <c r="C15" s="100"/>
      <c r="D15" s="100"/>
      <c r="E15" s="100"/>
      <c r="F15" s="100"/>
      <c r="G15" s="100"/>
      <c r="H15" s="100"/>
      <c r="I15" s="100"/>
      <c r="J15" s="100"/>
      <c r="K15" s="100"/>
      <c r="L15" s="100"/>
      <c r="M15" s="100"/>
      <c r="N15" s="100"/>
      <c r="O15" s="100"/>
      <c r="P15" s="100"/>
      <c r="Q15" s="100"/>
      <c r="R15" s="100"/>
      <c r="S15" s="745"/>
      <c r="T15" s="746"/>
      <c r="U15" s="627"/>
    </row>
    <row r="16" spans="1:21" ht="13.5" thickBot="1">
      <c r="A16" s="55" t="s">
        <v>325</v>
      </c>
      <c r="B16" s="625"/>
      <c r="C16" s="100"/>
      <c r="D16" s="100"/>
      <c r="E16" s="100"/>
      <c r="F16" s="100"/>
      <c r="G16" s="100"/>
      <c r="H16" s="100"/>
      <c r="I16" s="100"/>
      <c r="J16" s="100"/>
      <c r="K16" s="100"/>
      <c r="L16" s="100"/>
      <c r="M16" s="100"/>
      <c r="N16" s="100"/>
      <c r="O16" s="100"/>
      <c r="P16" s="100"/>
      <c r="Q16" s="100"/>
      <c r="R16" s="100"/>
      <c r="S16" s="747">
        <f>SUM(C15:Q15)+SUM(C16:R16)</f>
        <v>0</v>
      </c>
      <c r="T16" s="748"/>
      <c r="U16" s="628"/>
    </row>
    <row r="17" spans="1:21" ht="13.5" thickBot="1">
      <c r="A17" s="96" t="s">
        <v>326</v>
      </c>
      <c r="B17" s="626"/>
      <c r="C17" s="1133"/>
      <c r="D17" s="1134"/>
      <c r="E17" s="1134"/>
      <c r="F17" s="1134"/>
      <c r="G17" s="1134"/>
      <c r="H17" s="1134"/>
      <c r="I17" s="1134"/>
      <c r="J17" s="1134"/>
      <c r="K17" s="1134"/>
      <c r="L17" s="1134"/>
      <c r="M17" s="1134"/>
      <c r="N17" s="1134"/>
      <c r="O17" s="1134"/>
      <c r="P17" s="1134"/>
      <c r="Q17" s="1134"/>
      <c r="R17" s="1134"/>
      <c r="S17" s="749"/>
      <c r="T17" s="750"/>
      <c r="U17" s="629"/>
    </row>
    <row r="18" spans="1:21">
      <c r="A18" s="52" t="s">
        <v>324</v>
      </c>
      <c r="B18" s="624"/>
      <c r="C18" s="100"/>
      <c r="D18" s="100"/>
      <c r="E18" s="100"/>
      <c r="F18" s="100"/>
      <c r="G18" s="100"/>
      <c r="H18" s="100"/>
      <c r="I18" s="100"/>
      <c r="J18" s="100"/>
      <c r="K18" s="100"/>
      <c r="L18" s="100"/>
      <c r="M18" s="100"/>
      <c r="N18" s="100"/>
      <c r="O18" s="100"/>
      <c r="P18" s="100"/>
      <c r="Q18" s="100"/>
      <c r="R18" s="100"/>
      <c r="S18" s="745"/>
      <c r="T18" s="746"/>
      <c r="U18" s="627"/>
    </row>
    <row r="19" spans="1:21" ht="13.5" thickBot="1">
      <c r="A19" s="55" t="s">
        <v>325</v>
      </c>
      <c r="B19" s="625"/>
      <c r="C19" s="100"/>
      <c r="D19" s="100"/>
      <c r="E19" s="100"/>
      <c r="F19" s="100"/>
      <c r="G19" s="100"/>
      <c r="H19" s="100"/>
      <c r="I19" s="100"/>
      <c r="J19" s="100"/>
      <c r="K19" s="100"/>
      <c r="L19" s="100"/>
      <c r="M19" s="100"/>
      <c r="N19" s="100"/>
      <c r="O19" s="100"/>
      <c r="P19" s="100"/>
      <c r="Q19" s="100"/>
      <c r="R19" s="100"/>
      <c r="S19" s="747">
        <f>SUM(C18:Q18)+SUM(C19:R19)</f>
        <v>0</v>
      </c>
      <c r="T19" s="748"/>
      <c r="U19" s="628"/>
    </row>
    <row r="20" spans="1:21" ht="13.5" thickBot="1">
      <c r="A20" s="96" t="s">
        <v>326</v>
      </c>
      <c r="B20" s="626"/>
      <c r="C20" s="1133"/>
      <c r="D20" s="1134"/>
      <c r="E20" s="1134"/>
      <c r="F20" s="1134"/>
      <c r="G20" s="1134"/>
      <c r="H20" s="1134"/>
      <c r="I20" s="1134"/>
      <c r="J20" s="1134"/>
      <c r="K20" s="1134"/>
      <c r="L20" s="1134"/>
      <c r="M20" s="1134"/>
      <c r="N20" s="1134"/>
      <c r="O20" s="1134"/>
      <c r="P20" s="1134"/>
      <c r="Q20" s="1134"/>
      <c r="R20" s="1134"/>
      <c r="S20" s="749"/>
      <c r="T20" s="750"/>
      <c r="U20" s="629"/>
    </row>
    <row r="21" spans="1:21">
      <c r="A21" s="52" t="s">
        <v>324</v>
      </c>
      <c r="B21" s="624"/>
      <c r="C21" s="100"/>
      <c r="D21" s="100"/>
      <c r="E21" s="100"/>
      <c r="F21" s="100"/>
      <c r="G21" s="100"/>
      <c r="H21" s="100"/>
      <c r="I21" s="100"/>
      <c r="J21" s="100"/>
      <c r="K21" s="100"/>
      <c r="L21" s="100"/>
      <c r="M21" s="100"/>
      <c r="N21" s="100"/>
      <c r="O21" s="100"/>
      <c r="P21" s="100"/>
      <c r="Q21" s="100"/>
      <c r="R21" s="100"/>
      <c r="S21" s="745"/>
      <c r="T21" s="746"/>
      <c r="U21" s="627"/>
    </row>
    <row r="22" spans="1:21" ht="13.5" thickBot="1">
      <c r="A22" s="55" t="s">
        <v>325</v>
      </c>
      <c r="B22" s="625"/>
      <c r="C22" s="100"/>
      <c r="D22" s="100"/>
      <c r="E22" s="100"/>
      <c r="F22" s="100"/>
      <c r="G22" s="100"/>
      <c r="H22" s="100"/>
      <c r="I22" s="100"/>
      <c r="J22" s="100"/>
      <c r="K22" s="100"/>
      <c r="L22" s="100"/>
      <c r="M22" s="100"/>
      <c r="N22" s="100"/>
      <c r="O22" s="100"/>
      <c r="P22" s="100"/>
      <c r="Q22" s="100"/>
      <c r="R22" s="100"/>
      <c r="S22" s="747">
        <f>SUM(C21:Q21)+SUM(C22:R22)</f>
        <v>0</v>
      </c>
      <c r="T22" s="748"/>
      <c r="U22" s="628"/>
    </row>
    <row r="23" spans="1:21" ht="13.5" thickBot="1">
      <c r="A23" s="96" t="s">
        <v>326</v>
      </c>
      <c r="B23" s="626"/>
      <c r="C23" s="1133"/>
      <c r="D23" s="1134"/>
      <c r="E23" s="1134"/>
      <c r="F23" s="1134"/>
      <c r="G23" s="1134"/>
      <c r="H23" s="1134"/>
      <c r="I23" s="1134"/>
      <c r="J23" s="1134"/>
      <c r="K23" s="1134"/>
      <c r="L23" s="1134"/>
      <c r="M23" s="1134"/>
      <c r="N23" s="1134"/>
      <c r="O23" s="1134"/>
      <c r="P23" s="1134"/>
      <c r="Q23" s="1134"/>
      <c r="R23" s="1134"/>
      <c r="S23" s="749"/>
      <c r="T23" s="750"/>
      <c r="U23" s="629"/>
    </row>
    <row r="24" spans="1:21">
      <c r="A24" s="52" t="s">
        <v>324</v>
      </c>
      <c r="B24" s="624"/>
      <c r="C24" s="100"/>
      <c r="D24" s="100"/>
      <c r="E24" s="100"/>
      <c r="F24" s="100"/>
      <c r="G24" s="100"/>
      <c r="H24" s="100"/>
      <c r="I24" s="100"/>
      <c r="J24" s="100"/>
      <c r="K24" s="100"/>
      <c r="L24" s="100"/>
      <c r="M24" s="100"/>
      <c r="N24" s="100"/>
      <c r="O24" s="100"/>
      <c r="P24" s="100"/>
      <c r="Q24" s="100"/>
      <c r="R24" s="100"/>
      <c r="S24" s="745"/>
      <c r="T24" s="746"/>
      <c r="U24" s="627"/>
    </row>
    <row r="25" spans="1:21" ht="13.5" thickBot="1">
      <c r="A25" s="55" t="s">
        <v>325</v>
      </c>
      <c r="B25" s="625"/>
      <c r="C25" s="100"/>
      <c r="D25" s="100"/>
      <c r="E25" s="100"/>
      <c r="F25" s="100"/>
      <c r="G25" s="100"/>
      <c r="H25" s="100"/>
      <c r="I25" s="100"/>
      <c r="J25" s="100"/>
      <c r="K25" s="100"/>
      <c r="L25" s="100"/>
      <c r="M25" s="100"/>
      <c r="N25" s="100"/>
      <c r="O25" s="100"/>
      <c r="P25" s="100"/>
      <c r="Q25" s="100"/>
      <c r="R25" s="100"/>
      <c r="S25" s="747">
        <f>SUM(C24:Q24)+SUM(C25:R25)</f>
        <v>0</v>
      </c>
      <c r="T25" s="748"/>
      <c r="U25" s="628"/>
    </row>
    <row r="26" spans="1:21" ht="13.5" thickBot="1">
      <c r="A26" s="96" t="s">
        <v>326</v>
      </c>
      <c r="B26" s="626"/>
      <c r="C26" s="1133"/>
      <c r="D26" s="1134"/>
      <c r="E26" s="1134"/>
      <c r="F26" s="1134"/>
      <c r="G26" s="1134"/>
      <c r="H26" s="1134"/>
      <c r="I26" s="1134"/>
      <c r="J26" s="1134"/>
      <c r="K26" s="1134"/>
      <c r="L26" s="1134"/>
      <c r="M26" s="1134"/>
      <c r="N26" s="1134"/>
      <c r="O26" s="1134"/>
      <c r="P26" s="1134"/>
      <c r="Q26" s="1134"/>
      <c r="R26" s="1134"/>
      <c r="S26" s="749"/>
      <c r="T26" s="750"/>
      <c r="U26" s="629"/>
    </row>
    <row r="27" spans="1:21">
      <c r="A27" s="52" t="s">
        <v>324</v>
      </c>
      <c r="B27" s="624"/>
      <c r="C27" s="100"/>
      <c r="D27" s="100"/>
      <c r="E27" s="100"/>
      <c r="F27" s="100"/>
      <c r="G27" s="100"/>
      <c r="H27" s="100"/>
      <c r="I27" s="100"/>
      <c r="J27" s="100"/>
      <c r="K27" s="100"/>
      <c r="L27" s="100"/>
      <c r="M27" s="100"/>
      <c r="N27" s="100"/>
      <c r="O27" s="100"/>
      <c r="P27" s="100"/>
      <c r="Q27" s="100"/>
      <c r="R27" s="100"/>
      <c r="S27" s="745"/>
      <c r="T27" s="746"/>
      <c r="U27" s="627"/>
    </row>
    <row r="28" spans="1:21" ht="13.5" thickBot="1">
      <c r="A28" s="55" t="s">
        <v>325</v>
      </c>
      <c r="B28" s="625"/>
      <c r="C28" s="100"/>
      <c r="D28" s="100"/>
      <c r="E28" s="100"/>
      <c r="F28" s="100"/>
      <c r="G28" s="100"/>
      <c r="H28" s="100"/>
      <c r="I28" s="100"/>
      <c r="J28" s="100"/>
      <c r="K28" s="100"/>
      <c r="L28" s="100"/>
      <c r="M28" s="100"/>
      <c r="N28" s="100"/>
      <c r="O28" s="100"/>
      <c r="P28" s="100"/>
      <c r="Q28" s="100"/>
      <c r="R28" s="100"/>
      <c r="S28" s="747">
        <f>SUM(C27:Q27)+SUM(C28:R28)</f>
        <v>0</v>
      </c>
      <c r="T28" s="748"/>
      <c r="U28" s="628"/>
    </row>
    <row r="29" spans="1:21" ht="13.5" thickBot="1">
      <c r="A29" s="96" t="s">
        <v>326</v>
      </c>
      <c r="B29" s="626"/>
      <c r="C29" s="1133"/>
      <c r="D29" s="1134"/>
      <c r="E29" s="1134"/>
      <c r="F29" s="1134"/>
      <c r="G29" s="1134"/>
      <c r="H29" s="1134"/>
      <c r="I29" s="1134"/>
      <c r="J29" s="1134"/>
      <c r="K29" s="1134"/>
      <c r="L29" s="1134"/>
      <c r="M29" s="1134"/>
      <c r="N29" s="1134"/>
      <c r="O29" s="1134"/>
      <c r="P29" s="1134"/>
      <c r="Q29" s="1134"/>
      <c r="R29" s="1134"/>
      <c r="S29" s="749"/>
      <c r="T29" s="750"/>
      <c r="U29" s="629"/>
    </row>
    <row r="30" spans="1:21">
      <c r="A30" s="52" t="s">
        <v>324</v>
      </c>
      <c r="B30" s="624"/>
      <c r="C30" s="100"/>
      <c r="D30" s="100"/>
      <c r="E30" s="100"/>
      <c r="F30" s="100"/>
      <c r="G30" s="100"/>
      <c r="H30" s="100"/>
      <c r="I30" s="100"/>
      <c r="J30" s="100"/>
      <c r="K30" s="100"/>
      <c r="L30" s="100"/>
      <c r="M30" s="100"/>
      <c r="N30" s="100"/>
      <c r="O30" s="100"/>
      <c r="P30" s="100"/>
      <c r="Q30" s="100"/>
      <c r="R30" s="100"/>
      <c r="S30" s="745"/>
      <c r="T30" s="746"/>
      <c r="U30" s="627"/>
    </row>
    <row r="31" spans="1:21" ht="13.5" thickBot="1">
      <c r="A31" s="55" t="s">
        <v>325</v>
      </c>
      <c r="B31" s="625"/>
      <c r="C31" s="100"/>
      <c r="D31" s="100"/>
      <c r="E31" s="100"/>
      <c r="F31" s="100"/>
      <c r="G31" s="100"/>
      <c r="H31" s="100"/>
      <c r="I31" s="100"/>
      <c r="J31" s="100"/>
      <c r="K31" s="100"/>
      <c r="L31" s="100"/>
      <c r="M31" s="100"/>
      <c r="N31" s="100"/>
      <c r="O31" s="100"/>
      <c r="P31" s="100"/>
      <c r="Q31" s="100"/>
      <c r="R31" s="100"/>
      <c r="S31" s="747">
        <f>SUM(C30:Q30)+SUM(C31:R31)</f>
        <v>0</v>
      </c>
      <c r="T31" s="748"/>
      <c r="U31" s="628"/>
    </row>
    <row r="32" spans="1:21" ht="13.5" thickBot="1">
      <c r="A32" s="96" t="s">
        <v>326</v>
      </c>
      <c r="B32" s="626"/>
      <c r="C32" s="1133"/>
      <c r="D32" s="1134"/>
      <c r="E32" s="1134"/>
      <c r="F32" s="1134"/>
      <c r="G32" s="1134"/>
      <c r="H32" s="1134"/>
      <c r="I32" s="1134"/>
      <c r="J32" s="1134"/>
      <c r="K32" s="1134"/>
      <c r="L32" s="1134"/>
      <c r="M32" s="1134"/>
      <c r="N32" s="1134"/>
      <c r="O32" s="1134"/>
      <c r="P32" s="1134"/>
      <c r="Q32" s="1134"/>
      <c r="R32" s="1134"/>
      <c r="S32" s="749"/>
      <c r="T32" s="750"/>
      <c r="U32" s="629"/>
    </row>
    <row r="33" spans="1:21">
      <c r="A33" s="52" t="s">
        <v>324</v>
      </c>
      <c r="B33" s="624"/>
      <c r="C33" s="100"/>
      <c r="D33" s="100"/>
      <c r="E33" s="100"/>
      <c r="F33" s="100"/>
      <c r="G33" s="100"/>
      <c r="H33" s="100"/>
      <c r="I33" s="100"/>
      <c r="J33" s="100"/>
      <c r="K33" s="100"/>
      <c r="L33" s="100"/>
      <c r="M33" s="100"/>
      <c r="N33" s="100"/>
      <c r="O33" s="100"/>
      <c r="P33" s="100"/>
      <c r="Q33" s="100"/>
      <c r="R33" s="100"/>
      <c r="S33" s="745"/>
      <c r="T33" s="746"/>
      <c r="U33" s="627"/>
    </row>
    <row r="34" spans="1:21" ht="13.5" thickBot="1">
      <c r="A34" s="55" t="s">
        <v>325</v>
      </c>
      <c r="B34" s="625"/>
      <c r="C34" s="100"/>
      <c r="D34" s="100"/>
      <c r="E34" s="100"/>
      <c r="F34" s="100"/>
      <c r="G34" s="100"/>
      <c r="H34" s="100"/>
      <c r="I34" s="100"/>
      <c r="J34" s="100"/>
      <c r="K34" s="100"/>
      <c r="L34" s="100"/>
      <c r="M34" s="100"/>
      <c r="N34" s="100"/>
      <c r="O34" s="100"/>
      <c r="P34" s="100"/>
      <c r="Q34" s="100"/>
      <c r="R34" s="100"/>
      <c r="S34" s="747">
        <f>SUM(C33:Q33)+SUM(C34:R34)</f>
        <v>0</v>
      </c>
      <c r="T34" s="748"/>
      <c r="U34" s="628"/>
    </row>
    <row r="35" spans="1:21" ht="13.5" thickBot="1">
      <c r="A35" s="96" t="s">
        <v>326</v>
      </c>
      <c r="B35" s="626"/>
      <c r="C35" s="98"/>
      <c r="D35" s="98"/>
      <c r="E35" s="98"/>
      <c r="F35" s="98"/>
      <c r="G35" s="98"/>
      <c r="H35" s="98"/>
      <c r="I35" s="98"/>
      <c r="J35" s="98"/>
      <c r="K35" s="98"/>
      <c r="L35" s="98"/>
      <c r="M35" s="98"/>
      <c r="N35" s="98"/>
      <c r="O35" s="98"/>
      <c r="P35" s="98"/>
      <c r="Q35" s="98"/>
      <c r="R35" s="98"/>
      <c r="S35" s="98"/>
      <c r="U35" s="629"/>
    </row>
    <row r="36" spans="1:21" ht="13.5" thickBot="1">
      <c r="A36" s="147" t="s">
        <v>620</v>
      </c>
      <c r="B36" s="50"/>
      <c r="C36" s="50"/>
      <c r="D36" s="50"/>
      <c r="E36" s="50"/>
      <c r="F36" s="50"/>
      <c r="G36" s="50"/>
      <c r="H36" s="50"/>
      <c r="I36" s="101" t="s">
        <v>327</v>
      </c>
      <c r="J36" s="102"/>
      <c r="K36" s="102"/>
      <c r="L36" s="148">
        <f>Summary!C63</f>
        <v>0</v>
      </c>
      <c r="M36" s="103"/>
      <c r="N36" s="103"/>
      <c r="O36" s="104"/>
      <c r="P36" s="53" t="s">
        <v>221</v>
      </c>
      <c r="Q36" s="53"/>
      <c r="R36" s="2293">
        <f>(Summary!C4)</f>
        <v>0</v>
      </c>
      <c r="S36" s="2294"/>
      <c r="T36" s="2294"/>
      <c r="U36" s="2295"/>
    </row>
    <row r="37" spans="1:21" ht="13.5" thickBot="1">
      <c r="A37" s="46"/>
      <c r="B37" s="21"/>
      <c r="C37" s="21"/>
      <c r="D37" s="21"/>
      <c r="E37" s="21"/>
      <c r="F37" s="21"/>
      <c r="G37" s="21"/>
      <c r="H37" s="21"/>
      <c r="I37" s="105"/>
      <c r="J37" s="106"/>
      <c r="K37" s="106"/>
      <c r="L37" s="106"/>
      <c r="M37" s="106"/>
      <c r="N37" s="106"/>
      <c r="O37" s="107"/>
      <c r="P37" s="65"/>
      <c r="Q37" s="65"/>
      <c r="R37" s="65"/>
      <c r="S37" s="65"/>
      <c r="T37" s="65"/>
      <c r="U37" s="58"/>
    </row>
  </sheetData>
  <mergeCells count="2">
    <mergeCell ref="R36:U36"/>
    <mergeCell ref="C1:S1"/>
  </mergeCells>
  <phoneticPr fontId="0" type="noConversion"/>
  <pageMargins left="0.75" right="0.75" top="1" bottom="1" header="0.5" footer="0.5"/>
  <pageSetup scale="95" orientation="landscape" horizontalDpi="360"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5" r:id="rId4" name="Button 3">
              <controlPr defaultSize="0" print="0" autoFill="0" autoPict="0" macro="[0]!BACKTOMENU">
                <anchor moveWithCells="1">
                  <from>
                    <xdr:col>0</xdr:col>
                    <xdr:colOff>157843</xdr:colOff>
                    <xdr:row>0</xdr:row>
                    <xdr:rowOff>68036</xdr:rowOff>
                  </from>
                  <to>
                    <xdr:col>1</xdr:col>
                    <xdr:colOff>59871</xdr:colOff>
                    <xdr:row>1</xdr:row>
                    <xdr:rowOff>117021</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64159-FFE7-4387-AD78-7BC64EC82CBF}">
  <sheetPr codeName="Sheet33"/>
  <dimension ref="A1:J50"/>
  <sheetViews>
    <sheetView showGridLines="0" showZeros="0" topLeftCell="A29" zoomScale="135" zoomScaleNormal="100" zoomScaleSheetLayoutView="100" workbookViewId="0">
      <selection activeCell="J8" sqref="J8"/>
    </sheetView>
  </sheetViews>
  <sheetFormatPr defaultColWidth="9.15234375" defaultRowHeight="13.1"/>
  <cols>
    <col min="1" max="16384" width="9.15234375" style="22"/>
  </cols>
  <sheetData>
    <row r="1" spans="1:10">
      <c r="A1" s="2297">
        <f>Summary!C6</f>
        <v>0</v>
      </c>
      <c r="B1" s="2298"/>
      <c r="C1" s="2298"/>
      <c r="D1" s="2298"/>
      <c r="E1" s="2298"/>
      <c r="F1" s="2298"/>
      <c r="G1" s="2298"/>
      <c r="H1" s="2298"/>
      <c r="I1" s="2298"/>
      <c r="J1" s="2299"/>
    </row>
    <row r="2" spans="1:10">
      <c r="A2" s="137"/>
      <c r="J2" s="144"/>
    </row>
    <row r="3" spans="1:10">
      <c r="A3" s="1934" t="s">
        <v>472</v>
      </c>
      <c r="B3" s="1644"/>
      <c r="C3" s="1644"/>
      <c r="D3" s="1644"/>
      <c r="E3" s="1644"/>
      <c r="F3" s="1644"/>
      <c r="G3" s="1644"/>
      <c r="H3" s="1644"/>
      <c r="I3" s="1644"/>
      <c r="J3" s="1935"/>
    </row>
    <row r="4" spans="1:10">
      <c r="A4" s="137" t="s">
        <v>221</v>
      </c>
      <c r="B4" s="2305"/>
      <c r="C4" s="2306"/>
      <c r="D4" s="211"/>
      <c r="J4" s="144"/>
    </row>
    <row r="5" spans="1:10">
      <c r="A5" s="137" t="s">
        <v>473</v>
      </c>
      <c r="E5" s="2300"/>
      <c r="F5" s="2301"/>
      <c r="G5" s="2301"/>
      <c r="H5" s="2301"/>
      <c r="I5" s="2301"/>
      <c r="J5" s="2302"/>
    </row>
    <row r="6" spans="1:10">
      <c r="A6" s="137" t="s">
        <v>474</v>
      </c>
      <c r="E6" s="220" t="s">
        <v>410</v>
      </c>
      <c r="F6" s="22" t="str">
        <f>IF(E6="Yes","Retainer Depth:"," ")</f>
        <v>Retainer Depth:</v>
      </c>
      <c r="H6" s="2303"/>
      <c r="I6" s="2304"/>
      <c r="J6" s="144" t="s">
        <v>360</v>
      </c>
    </row>
    <row r="7" spans="1:10">
      <c r="A7" s="137" t="s">
        <v>1593</v>
      </c>
      <c r="C7" s="616" t="s">
        <v>1521</v>
      </c>
      <c r="J7" s="144"/>
    </row>
    <row r="8" spans="1:10">
      <c r="A8" s="137" t="s">
        <v>335</v>
      </c>
      <c r="C8" s="2296"/>
      <c r="D8" s="2296"/>
      <c r="E8" s="2296"/>
      <c r="G8" s="2296"/>
      <c r="H8" s="2296"/>
      <c r="I8" s="2296"/>
      <c r="J8" s="144"/>
    </row>
    <row r="9" spans="1:10">
      <c r="A9" s="137"/>
      <c r="C9" s="2296"/>
      <c r="D9" s="2296"/>
      <c r="E9" s="2296"/>
      <c r="G9" s="2296"/>
      <c r="H9" s="2296"/>
      <c r="I9" s="2296"/>
      <c r="J9" s="144"/>
    </row>
    <row r="10" spans="1:10">
      <c r="A10" s="137"/>
      <c r="J10" s="144"/>
    </row>
    <row r="11" spans="1:10">
      <c r="A11" s="213" t="s">
        <v>475</v>
      </c>
      <c r="G11" s="129" t="s">
        <v>331</v>
      </c>
      <c r="H11" s="129" t="s">
        <v>215</v>
      </c>
      <c r="I11" s="129" t="s">
        <v>218</v>
      </c>
      <c r="J11" s="144"/>
    </row>
    <row r="12" spans="1:10">
      <c r="A12" s="137" t="s">
        <v>476</v>
      </c>
      <c r="B12" s="2307"/>
      <c r="C12" s="2307"/>
      <c r="D12" s="2307"/>
      <c r="E12" s="2307"/>
      <c r="F12" s="22" t="s">
        <v>420</v>
      </c>
      <c r="G12" s="214"/>
      <c r="H12" s="215"/>
      <c r="I12" s="216">
        <f>G12*H12</f>
        <v>0</v>
      </c>
      <c r="J12" s="144"/>
    </row>
    <row r="13" spans="1:10">
      <c r="A13" s="137" t="s">
        <v>477</v>
      </c>
      <c r="B13" s="2307"/>
      <c r="C13" s="2307"/>
      <c r="D13" s="2307"/>
      <c r="E13" s="2307"/>
      <c r="F13" s="22" t="s">
        <v>420</v>
      </c>
      <c r="G13" s="214"/>
      <c r="H13" s="215"/>
      <c r="I13" s="216">
        <f>G13*H13</f>
        <v>0</v>
      </c>
      <c r="J13" s="144"/>
    </row>
    <row r="14" spans="1:10">
      <c r="A14" s="137" t="s">
        <v>477</v>
      </c>
      <c r="B14" s="2296"/>
      <c r="C14" s="2296"/>
      <c r="D14" s="2296"/>
      <c r="E14" s="2296"/>
      <c r="F14" s="22" t="s">
        <v>420</v>
      </c>
      <c r="G14" s="214"/>
      <c r="H14" s="215"/>
      <c r="I14" s="216">
        <f>G14*H14</f>
        <v>0</v>
      </c>
      <c r="J14" s="144"/>
    </row>
    <row r="15" spans="1:10">
      <c r="A15" s="157" t="s">
        <v>478</v>
      </c>
      <c r="B15" s="2307"/>
      <c r="C15" s="2307"/>
      <c r="D15" s="2307"/>
      <c r="E15" s="2307"/>
      <c r="F15" s="22" t="s">
        <v>420</v>
      </c>
      <c r="G15" s="214"/>
      <c r="H15" s="215"/>
      <c r="I15" s="216">
        <f>G15*H15</f>
        <v>0</v>
      </c>
      <c r="J15" s="144"/>
    </row>
    <row r="16" spans="1:10">
      <c r="A16" s="137"/>
      <c r="J16" s="144"/>
    </row>
    <row r="17" spans="1:10">
      <c r="A17" s="137" t="s">
        <v>484</v>
      </c>
      <c r="C17" s="2310"/>
      <c r="D17" s="2310"/>
      <c r="E17" s="2310"/>
      <c r="F17" s="2310"/>
      <c r="G17" s="2310"/>
      <c r="H17" s="2310"/>
      <c r="I17" s="2310"/>
      <c r="J17" s="2311"/>
    </row>
    <row r="18" spans="1:10">
      <c r="A18" s="137" t="s">
        <v>485</v>
      </c>
      <c r="C18" s="2310"/>
      <c r="D18" s="2310"/>
      <c r="E18" s="2310"/>
      <c r="F18" s="2310"/>
      <c r="G18" s="2310"/>
      <c r="H18" s="2310"/>
      <c r="I18" s="2310"/>
      <c r="J18" s="2311"/>
    </row>
    <row r="19" spans="1:10">
      <c r="A19" s="157" t="s">
        <v>1596</v>
      </c>
      <c r="B19" s="4" t="s">
        <v>218</v>
      </c>
      <c r="C19" s="2310"/>
      <c r="D19" s="2310"/>
      <c r="E19" s="2310"/>
      <c r="F19" s="2310"/>
      <c r="G19" s="2310"/>
      <c r="H19" s="2310"/>
      <c r="I19" s="2310"/>
      <c r="J19" s="2311"/>
    </row>
    <row r="20" spans="1:10">
      <c r="A20" s="157" t="s">
        <v>1597</v>
      </c>
      <c r="B20" s="4" t="s">
        <v>218</v>
      </c>
      <c r="C20" s="2310"/>
      <c r="D20" s="2310"/>
      <c r="E20" s="2310"/>
      <c r="F20" s="2310"/>
      <c r="G20" s="2310"/>
      <c r="H20" s="2310"/>
      <c r="I20" s="2310"/>
      <c r="J20" s="2311"/>
    </row>
    <row r="21" spans="1:10">
      <c r="A21" s="1934" t="s">
        <v>479</v>
      </c>
      <c r="B21" s="1644"/>
      <c r="C21" s="1644"/>
      <c r="D21" s="1644"/>
      <c r="E21" s="1644"/>
      <c r="F21" s="1644"/>
      <c r="G21" s="1644"/>
      <c r="H21" s="1644"/>
      <c r="I21" s="1644"/>
      <c r="J21" s="1935"/>
    </row>
    <row r="22" spans="1:10">
      <c r="A22" s="137"/>
      <c r="D22" s="222" t="s">
        <v>487</v>
      </c>
      <c r="J22" s="144"/>
    </row>
    <row r="23" spans="1:10">
      <c r="A23" s="217" t="s">
        <v>208</v>
      </c>
      <c r="B23" s="217" t="s">
        <v>480</v>
      </c>
      <c r="C23" s="217" t="s">
        <v>216</v>
      </c>
      <c r="D23" s="221" t="s">
        <v>488</v>
      </c>
      <c r="E23" s="217" t="s">
        <v>481</v>
      </c>
      <c r="F23" s="217" t="s">
        <v>482</v>
      </c>
      <c r="G23" s="217" t="s">
        <v>483</v>
      </c>
      <c r="H23" s="2308" t="s">
        <v>306</v>
      </c>
      <c r="I23" s="2308"/>
      <c r="J23" s="2309"/>
    </row>
    <row r="24" spans="1:10">
      <c r="A24" s="218"/>
      <c r="B24" s="212">
        <v>0</v>
      </c>
      <c r="C24" s="1597">
        <f>B24</f>
        <v>0</v>
      </c>
      <c r="D24" s="212"/>
      <c r="E24" s="212"/>
      <c r="F24" s="219"/>
      <c r="G24" s="219"/>
      <c r="H24" s="2300"/>
      <c r="I24" s="2301"/>
      <c r="J24" s="2302"/>
    </row>
    <row r="25" spans="1:10">
      <c r="A25" s="218"/>
      <c r="B25" s="212">
        <v>0</v>
      </c>
      <c r="C25" s="1597">
        <f t="shared" ref="C25:C47" si="0">IF(D24="Zero",B25,C24+B25)</f>
        <v>0</v>
      </c>
      <c r="D25" s="212">
        <v>0</v>
      </c>
      <c r="E25" s="212"/>
      <c r="F25" s="219"/>
      <c r="G25" s="219"/>
      <c r="H25" s="2300"/>
      <c r="I25" s="2301"/>
      <c r="J25" s="2302"/>
    </row>
    <row r="26" spans="1:10">
      <c r="A26" s="218"/>
      <c r="B26" s="212">
        <v>0</v>
      </c>
      <c r="C26" s="1597">
        <f t="shared" si="0"/>
        <v>0</v>
      </c>
      <c r="D26" s="212">
        <v>0</v>
      </c>
      <c r="E26" s="212"/>
      <c r="F26" s="219"/>
      <c r="G26" s="219"/>
      <c r="H26" s="2300"/>
      <c r="I26" s="2301"/>
      <c r="J26" s="2302"/>
    </row>
    <row r="27" spans="1:10">
      <c r="A27" s="218"/>
      <c r="B27" s="212">
        <v>0</v>
      </c>
      <c r="C27" s="1597">
        <f t="shared" si="0"/>
        <v>0</v>
      </c>
      <c r="D27" s="212">
        <v>0</v>
      </c>
      <c r="E27" s="212"/>
      <c r="F27" s="219"/>
      <c r="G27" s="219"/>
      <c r="H27" s="2300"/>
      <c r="I27" s="2301"/>
      <c r="J27" s="2302"/>
    </row>
    <row r="28" spans="1:10">
      <c r="A28" s="218"/>
      <c r="B28" s="212">
        <v>0</v>
      </c>
      <c r="C28" s="1597">
        <f t="shared" si="0"/>
        <v>0</v>
      </c>
      <c r="D28" s="212">
        <v>0</v>
      </c>
      <c r="E28" s="212"/>
      <c r="F28" s="219"/>
      <c r="G28" s="219"/>
      <c r="H28" s="2300"/>
      <c r="I28" s="2301"/>
      <c r="J28" s="2302"/>
    </row>
    <row r="29" spans="1:10">
      <c r="A29" s="218"/>
      <c r="B29" s="212">
        <v>0</v>
      </c>
      <c r="C29" s="1597">
        <f t="shared" si="0"/>
        <v>0</v>
      </c>
      <c r="D29" s="212">
        <v>0</v>
      </c>
      <c r="E29" s="212"/>
      <c r="F29" s="219"/>
      <c r="G29" s="219"/>
      <c r="H29" s="2300"/>
      <c r="I29" s="2301"/>
      <c r="J29" s="2302"/>
    </row>
    <row r="30" spans="1:10">
      <c r="A30" s="218"/>
      <c r="B30" s="212">
        <v>0</v>
      </c>
      <c r="C30" s="1597">
        <f t="shared" si="0"/>
        <v>0</v>
      </c>
      <c r="D30" s="212"/>
      <c r="E30" s="212"/>
      <c r="F30" s="219"/>
      <c r="G30" s="219"/>
      <c r="H30" s="2300"/>
      <c r="I30" s="2301"/>
      <c r="J30" s="2302"/>
    </row>
    <row r="31" spans="1:10">
      <c r="A31" s="218"/>
      <c r="B31" s="212">
        <v>0</v>
      </c>
      <c r="C31" s="1597">
        <f t="shared" si="0"/>
        <v>0</v>
      </c>
      <c r="D31" s="212"/>
      <c r="E31" s="212"/>
      <c r="F31" s="219"/>
      <c r="G31" s="219"/>
      <c r="H31" s="2300"/>
      <c r="I31" s="2301"/>
      <c r="J31" s="2302"/>
    </row>
    <row r="32" spans="1:10">
      <c r="A32" s="218"/>
      <c r="B32" s="212">
        <v>0</v>
      </c>
      <c r="C32" s="1597">
        <f t="shared" si="0"/>
        <v>0</v>
      </c>
      <c r="D32" s="212"/>
      <c r="E32" s="212"/>
      <c r="F32" s="219"/>
      <c r="G32" s="219"/>
      <c r="H32" s="2300"/>
      <c r="I32" s="2301"/>
      <c r="J32" s="2302"/>
    </row>
    <row r="33" spans="1:10">
      <c r="A33" s="218"/>
      <c r="B33" s="212">
        <v>0</v>
      </c>
      <c r="C33" s="1597">
        <f t="shared" si="0"/>
        <v>0</v>
      </c>
      <c r="D33" s="212">
        <v>0</v>
      </c>
      <c r="E33" s="212"/>
      <c r="F33" s="219"/>
      <c r="G33" s="219"/>
      <c r="H33" s="2300"/>
      <c r="I33" s="2301"/>
      <c r="J33" s="2302"/>
    </row>
    <row r="34" spans="1:10">
      <c r="A34" s="218"/>
      <c r="B34" s="212">
        <v>0</v>
      </c>
      <c r="C34" s="1597">
        <f t="shared" si="0"/>
        <v>0</v>
      </c>
      <c r="D34" s="212"/>
      <c r="E34" s="212"/>
      <c r="F34" s="219"/>
      <c r="G34" s="219"/>
      <c r="H34" s="2300"/>
      <c r="I34" s="2301"/>
      <c r="J34" s="2302"/>
    </row>
    <row r="35" spans="1:10">
      <c r="A35" s="218"/>
      <c r="B35" s="212"/>
      <c r="C35" s="1597">
        <f t="shared" si="0"/>
        <v>0</v>
      </c>
      <c r="D35" s="212"/>
      <c r="E35" s="212"/>
      <c r="F35" s="219"/>
      <c r="G35" s="219"/>
      <c r="H35" s="2300"/>
      <c r="I35" s="2301"/>
      <c r="J35" s="2302"/>
    </row>
    <row r="36" spans="1:10">
      <c r="A36" s="218"/>
      <c r="B36" s="212"/>
      <c r="C36" s="1597">
        <f t="shared" si="0"/>
        <v>0</v>
      </c>
      <c r="D36" s="212"/>
      <c r="E36" s="212"/>
      <c r="F36" s="219"/>
      <c r="G36" s="219"/>
      <c r="H36" s="2300"/>
      <c r="I36" s="2301"/>
      <c r="J36" s="2302"/>
    </row>
    <row r="37" spans="1:10">
      <c r="A37" s="218"/>
      <c r="B37" s="212"/>
      <c r="C37" s="1597">
        <f t="shared" si="0"/>
        <v>0</v>
      </c>
      <c r="D37" s="212"/>
      <c r="E37" s="212"/>
      <c r="F37" s="219"/>
      <c r="G37" s="219"/>
      <c r="H37" s="2300"/>
      <c r="I37" s="2301"/>
      <c r="J37" s="2302"/>
    </row>
    <row r="38" spans="1:10">
      <c r="A38" s="218"/>
      <c r="B38" s="212"/>
      <c r="C38" s="1597">
        <f t="shared" si="0"/>
        <v>0</v>
      </c>
      <c r="D38" s="212"/>
      <c r="E38" s="212"/>
      <c r="F38" s="219"/>
      <c r="G38" s="219"/>
      <c r="H38" s="2300"/>
      <c r="I38" s="2301"/>
      <c r="J38" s="2302"/>
    </row>
    <row r="39" spans="1:10">
      <c r="A39" s="218"/>
      <c r="B39" s="212"/>
      <c r="C39" s="1597">
        <f t="shared" si="0"/>
        <v>0</v>
      </c>
      <c r="D39" s="212"/>
      <c r="E39" s="212"/>
      <c r="F39" s="219"/>
      <c r="G39" s="219"/>
      <c r="H39" s="2300"/>
      <c r="I39" s="2301"/>
      <c r="J39" s="2302"/>
    </row>
    <row r="40" spans="1:10">
      <c r="A40" s="218"/>
      <c r="B40" s="212"/>
      <c r="C40" s="1597">
        <f t="shared" si="0"/>
        <v>0</v>
      </c>
      <c r="D40" s="212"/>
      <c r="E40" s="212"/>
      <c r="F40" s="219"/>
      <c r="G40" s="219"/>
      <c r="H40" s="2300"/>
      <c r="I40" s="2301"/>
      <c r="J40" s="2302"/>
    </row>
    <row r="41" spans="1:10">
      <c r="A41" s="218"/>
      <c r="B41" s="212"/>
      <c r="C41" s="1597">
        <f t="shared" si="0"/>
        <v>0</v>
      </c>
      <c r="D41" s="212"/>
      <c r="E41" s="212"/>
      <c r="F41" s="219"/>
      <c r="G41" s="219"/>
      <c r="H41" s="2300"/>
      <c r="I41" s="2301"/>
      <c r="J41" s="2302"/>
    </row>
    <row r="42" spans="1:10">
      <c r="A42" s="218"/>
      <c r="B42" s="212"/>
      <c r="C42" s="1597">
        <f t="shared" si="0"/>
        <v>0</v>
      </c>
      <c r="D42" s="212"/>
      <c r="E42" s="212"/>
      <c r="F42" s="219"/>
      <c r="G42" s="219"/>
      <c r="H42" s="2300"/>
      <c r="I42" s="2301"/>
      <c r="J42" s="2302"/>
    </row>
    <row r="43" spans="1:10">
      <c r="A43" s="218"/>
      <c r="B43" s="212"/>
      <c r="C43" s="1597">
        <f t="shared" si="0"/>
        <v>0</v>
      </c>
      <c r="D43" s="212"/>
      <c r="E43" s="212"/>
      <c r="F43" s="219"/>
      <c r="G43" s="219"/>
      <c r="H43" s="2300"/>
      <c r="I43" s="2301"/>
      <c r="J43" s="2302"/>
    </row>
    <row r="44" spans="1:10">
      <c r="A44" s="218"/>
      <c r="B44" s="212"/>
      <c r="C44" s="1597">
        <f t="shared" si="0"/>
        <v>0</v>
      </c>
      <c r="D44" s="212"/>
      <c r="E44" s="212"/>
      <c r="F44" s="219"/>
      <c r="G44" s="219"/>
      <c r="H44" s="2300"/>
      <c r="I44" s="2301"/>
      <c r="J44" s="2302"/>
    </row>
    <row r="45" spans="1:10">
      <c r="A45" s="218"/>
      <c r="B45" s="212"/>
      <c r="C45" s="1597">
        <f t="shared" si="0"/>
        <v>0</v>
      </c>
      <c r="D45" s="212"/>
      <c r="E45" s="212"/>
      <c r="F45" s="219"/>
      <c r="G45" s="219"/>
      <c r="H45" s="2300"/>
      <c r="I45" s="2301"/>
      <c r="J45" s="2302"/>
    </row>
    <row r="46" spans="1:10">
      <c r="A46" s="218"/>
      <c r="B46" s="212"/>
      <c r="C46" s="1597">
        <f t="shared" si="0"/>
        <v>0</v>
      </c>
      <c r="D46" s="212"/>
      <c r="E46" s="212"/>
      <c r="F46" s="219"/>
      <c r="G46" s="219"/>
      <c r="H46" s="2300"/>
      <c r="I46" s="2301"/>
      <c r="J46" s="2302"/>
    </row>
    <row r="47" spans="1:10">
      <c r="A47" s="218"/>
      <c r="B47" s="212"/>
      <c r="C47" s="1597">
        <f t="shared" si="0"/>
        <v>0</v>
      </c>
      <c r="D47" s="212"/>
      <c r="E47" s="212"/>
      <c r="F47" s="219"/>
      <c r="G47" s="219"/>
      <c r="H47" s="2300"/>
      <c r="I47" s="2301"/>
      <c r="J47" s="2302"/>
    </row>
    <row r="48" spans="1:10">
      <c r="A48" s="137"/>
      <c r="J48" s="144"/>
    </row>
    <row r="49" spans="1:10">
      <c r="A49" s="137"/>
      <c r="J49" s="144"/>
    </row>
    <row r="50" spans="1:10" ht="13.75" thickBot="1">
      <c r="A50" s="138"/>
      <c r="B50" s="139"/>
      <c r="C50" s="139"/>
      <c r="D50" s="139"/>
      <c r="E50" s="139"/>
      <c r="F50" s="139"/>
      <c r="G50" s="139"/>
      <c r="H50" s="139"/>
      <c r="I50" s="139"/>
      <c r="J50" s="206"/>
    </row>
  </sheetData>
  <mergeCells count="43">
    <mergeCell ref="H43:J43"/>
    <mergeCell ref="H44:J44"/>
    <mergeCell ref="H45:J45"/>
    <mergeCell ref="H39:J39"/>
    <mergeCell ref="H40:J40"/>
    <mergeCell ref="H41:J41"/>
    <mergeCell ref="H46:J46"/>
    <mergeCell ref="H47:J47"/>
    <mergeCell ref="C17:J17"/>
    <mergeCell ref="C18:J18"/>
    <mergeCell ref="C19:J19"/>
    <mergeCell ref="C20:J20"/>
    <mergeCell ref="H42:J42"/>
    <mergeCell ref="H33:J33"/>
    <mergeCell ref="H34:J34"/>
    <mergeCell ref="H35:J35"/>
    <mergeCell ref="H36:J36"/>
    <mergeCell ref="H37:J37"/>
    <mergeCell ref="H38:J38"/>
    <mergeCell ref="H27:J27"/>
    <mergeCell ref="H28:J28"/>
    <mergeCell ref="H29:J29"/>
    <mergeCell ref="H30:J30"/>
    <mergeCell ref="H31:J31"/>
    <mergeCell ref="H32:J32"/>
    <mergeCell ref="B15:E15"/>
    <mergeCell ref="A21:J21"/>
    <mergeCell ref="H23:J23"/>
    <mergeCell ref="H24:J24"/>
    <mergeCell ref="H25:J25"/>
    <mergeCell ref="H26:J26"/>
    <mergeCell ref="B14:E14"/>
    <mergeCell ref="A1:J1"/>
    <mergeCell ref="A3:J3"/>
    <mergeCell ref="E5:J5"/>
    <mergeCell ref="H6:I6"/>
    <mergeCell ref="B4:C4"/>
    <mergeCell ref="C8:E8"/>
    <mergeCell ref="C9:E9"/>
    <mergeCell ref="G8:I8"/>
    <mergeCell ref="G9:I9"/>
    <mergeCell ref="B12:E12"/>
    <mergeCell ref="B13:E13"/>
  </mergeCells>
  <phoneticPr fontId="0" type="noConversion"/>
  <pageMargins left="0.75" right="0.75" top="1" bottom="1" header="0.5" footer="0.5"/>
  <pageSetup scale="95" orientation="portrait" horizontalDpi="360"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6" r:id="rId4" name="Button 2">
              <controlPr defaultSize="0" print="0" autoFill="0" autoPict="0" macro="[0]!BACKTOMENU">
                <anchor moveWithCells="1">
                  <from>
                    <xdr:col>0</xdr:col>
                    <xdr:colOff>0</xdr:colOff>
                    <xdr:row>0</xdr:row>
                    <xdr:rowOff>19050</xdr:rowOff>
                  </from>
                  <to>
                    <xdr:col>0</xdr:col>
                    <xdr:colOff>547007</xdr:colOff>
                    <xdr:row>1</xdr:row>
                    <xdr:rowOff>68036</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24D3AD7B-E3EB-489F-AE4D-78A7928D041A}">
          <x14:formula1>
            <xm:f>'Data Validation'!$C$1:$D$1</xm:f>
          </x14:formula1>
          <xm:sqref>C7</xm:sqref>
        </x14:dataValidation>
        <x14:dataValidation type="list" allowBlank="1" showInputMessage="1" showErrorMessage="1" xr:uid="{39DADA65-1D00-49AD-80E5-4E4D516DDF9B}">
          <x14:formula1>
            <xm:f>'Data Validation'!$C$11:$D$11</xm:f>
          </x14:formula1>
          <xm:sqref>G11</xm:sqref>
        </x14:dataValidation>
        <x14:dataValidation type="list" allowBlank="1" showInputMessage="1" showErrorMessage="1" xr:uid="{394FC223-2BBD-4894-8440-130952F3EE73}">
          <x14:formula1>
            <xm:f>'Data Validation'!$C$2:$D$2</xm:f>
          </x14:formula1>
          <xm:sqref>I11 B19:B20</xm:sqref>
        </x14:dataValidation>
        <x14:dataValidation type="list" allowBlank="1" showInputMessage="1" showErrorMessage="1" xr:uid="{B87C4E30-CB4F-4C02-895A-4A58F05274BE}">
          <x14:formula1>
            <xm:f>'Data Validation'!$C$7:$D$7</xm:f>
          </x14:formula1>
          <xm:sqref>J6</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BC930-CD7C-4F5F-8BEE-2336B88F9914}">
  <sheetPr codeName="Sheet34"/>
  <dimension ref="A1:K110"/>
  <sheetViews>
    <sheetView showGridLines="0" showRowColHeaders="0" showZeros="0" topLeftCell="A19" zoomScale="120" zoomScaleNormal="120" workbookViewId="0">
      <selection activeCell="E16" sqref="E16:F16"/>
    </sheetView>
  </sheetViews>
  <sheetFormatPr defaultColWidth="9.15234375" defaultRowHeight="13.1"/>
  <cols>
    <col min="1" max="16384" width="9.15234375" style="22"/>
  </cols>
  <sheetData>
    <row r="1" spans="1:11">
      <c r="A1" s="2322" t="s">
        <v>612</v>
      </c>
      <c r="B1" s="2323"/>
      <c r="C1" s="2323"/>
      <c r="D1" s="2323"/>
      <c r="E1" s="2323"/>
      <c r="F1" s="2323"/>
      <c r="G1" s="2323"/>
      <c r="H1" s="2323"/>
      <c r="I1" s="2323"/>
      <c r="J1" s="2323"/>
      <c r="K1" s="2324"/>
    </row>
    <row r="2" spans="1:11">
      <c r="A2" s="1198"/>
      <c r="B2" s="1017"/>
      <c r="C2" s="1017"/>
      <c r="D2" s="1017"/>
      <c r="E2" s="1017"/>
      <c r="F2" s="1017"/>
      <c r="G2" s="1017"/>
      <c r="H2" s="1017"/>
      <c r="I2" s="1017"/>
      <c r="J2" s="1017"/>
      <c r="K2" s="1199"/>
    </row>
    <row r="3" spans="1:11">
      <c r="A3" s="2312" t="str">
        <f>Summary!B5</f>
        <v>WELL OPERATOR:</v>
      </c>
      <c r="B3" s="2313"/>
      <c r="C3" s="2313"/>
      <c r="D3" s="1017">
        <f>Summary!C5</f>
        <v>0</v>
      </c>
      <c r="E3" s="1017"/>
      <c r="F3" s="1017"/>
      <c r="G3" s="1017"/>
      <c r="H3" s="1017"/>
      <c r="I3" s="1017"/>
      <c r="J3" s="1017"/>
      <c r="K3" s="1199"/>
    </row>
    <row r="4" spans="1:11">
      <c r="A4" s="2312" t="str">
        <f>Summary!B6</f>
        <v>WELL NAME AND LOCATION:</v>
      </c>
      <c r="B4" s="2313"/>
      <c r="C4" s="2313"/>
      <c r="D4" s="1017">
        <f>Summary!C6</f>
        <v>0</v>
      </c>
      <c r="E4" s="1017"/>
      <c r="F4" s="1017"/>
      <c r="G4" s="1017"/>
      <c r="H4" s="1017"/>
      <c r="I4" s="1017"/>
      <c r="J4" s="1017"/>
      <c r="K4" s="1199"/>
    </row>
    <row r="5" spans="1:11">
      <c r="A5" s="2312" t="str">
        <f>Summary!B12</f>
        <v>ELEVATIONS :</v>
      </c>
      <c r="B5" s="2313"/>
      <c r="C5" s="2313"/>
      <c r="D5" s="1200" t="str">
        <f>Summary!C12</f>
        <v>KB:</v>
      </c>
      <c r="E5" s="188">
        <f>Summary!D12</f>
        <v>0</v>
      </c>
      <c r="F5" s="1200" t="str">
        <f>Summary!E12</f>
        <v>GL:</v>
      </c>
      <c r="G5" s="188">
        <f>Summary!F12</f>
        <v>0</v>
      </c>
      <c r="H5" s="1200" t="str">
        <f>Summary!G12</f>
        <v>KBGL:</v>
      </c>
      <c r="I5" s="1379">
        <f>Summary!H12</f>
        <v>0</v>
      </c>
      <c r="J5" s="1200" t="s">
        <v>372</v>
      </c>
      <c r="K5" s="1380">
        <f>Summary!H13</f>
        <v>0</v>
      </c>
    </row>
    <row r="6" spans="1:11">
      <c r="A6" s="2312" t="str">
        <f>Summary!B17</f>
        <v>SURFACE CASING:</v>
      </c>
      <c r="B6" s="2313"/>
      <c r="C6" s="2313"/>
      <c r="D6" s="2331">
        <f>DATA!C20</f>
        <v>0</v>
      </c>
      <c r="E6" s="2331"/>
      <c r="F6" s="2331"/>
      <c r="G6" s="2331"/>
      <c r="H6" s="2331"/>
      <c r="I6" s="2331"/>
      <c r="J6" s="2331"/>
      <c r="K6" s="2326"/>
    </row>
    <row r="7" spans="1:11">
      <c r="A7" s="2312" t="str">
        <f>IF(D7=0," ",Summary!B18)</f>
        <v xml:space="preserve"> </v>
      </c>
      <c r="B7" s="2313"/>
      <c r="C7" s="2313"/>
      <c r="D7" s="2331">
        <f>DATA!C21</f>
        <v>0</v>
      </c>
      <c r="E7" s="2331"/>
      <c r="F7" s="2331"/>
      <c r="G7" s="2331"/>
      <c r="H7" s="2331"/>
      <c r="I7" s="2331"/>
      <c r="J7" s="2331"/>
      <c r="K7" s="2326"/>
    </row>
    <row r="8" spans="1:11">
      <c r="A8" s="2312" t="str">
        <f>Summary!B19</f>
        <v>PRODUCTION CASING:</v>
      </c>
      <c r="B8" s="2313"/>
      <c r="C8" s="2313"/>
      <c r="D8" s="2331" t="str">
        <f>CONCATENATE(DATA!C22," ",DATA!C23)</f>
        <v xml:space="preserve"> </v>
      </c>
      <c r="E8" s="2331"/>
      <c r="F8" s="2331"/>
      <c r="G8" s="2331"/>
      <c r="H8" s="2331"/>
      <c r="I8" s="2331"/>
      <c r="J8" s="2331"/>
      <c r="K8" s="2326"/>
    </row>
    <row r="9" spans="1:11">
      <c r="A9" s="2312" t="str">
        <f>Summary!B21</f>
        <v>PRODUCTION TUBING:</v>
      </c>
      <c r="B9" s="2313"/>
      <c r="C9" s="2313"/>
      <c r="D9" s="2331">
        <f>DATA!C24</f>
        <v>0</v>
      </c>
      <c r="E9" s="2331"/>
      <c r="F9" s="2331"/>
      <c r="G9" s="2331"/>
      <c r="H9" s="2331"/>
      <c r="I9" s="2331"/>
      <c r="J9" s="2331"/>
      <c r="K9" s="2326"/>
    </row>
    <row r="10" spans="1:11">
      <c r="A10" s="2312" t="str">
        <f>Summary!B22</f>
        <v>TD (mKB):</v>
      </c>
      <c r="B10" s="2313"/>
      <c r="C10" s="2313"/>
      <c r="D10" s="188">
        <f>Summary!C22</f>
        <v>0</v>
      </c>
      <c r="E10" s="1017"/>
      <c r="F10" s="1017"/>
      <c r="G10" s="1017"/>
      <c r="H10" s="1017"/>
      <c r="I10" s="1017"/>
      <c r="J10" s="1017"/>
      <c r="K10" s="1199"/>
    </row>
    <row r="11" spans="1:11">
      <c r="A11" s="2312" t="str">
        <f>Summary!B23</f>
        <v>PBTD (mKB):</v>
      </c>
      <c r="B11" s="2313"/>
      <c r="C11" s="2313"/>
      <c r="D11" s="188">
        <f>Summary!C23</f>
        <v>0</v>
      </c>
      <c r="E11" s="1017"/>
      <c r="F11" s="1017"/>
      <c r="G11" s="1017"/>
      <c r="H11" s="1017"/>
      <c r="I11" s="1017"/>
      <c r="J11" s="1017"/>
      <c r="K11" s="1199"/>
    </row>
    <row r="12" spans="1:11">
      <c r="A12" s="1201"/>
      <c r="B12" s="1202"/>
      <c r="C12" s="1202"/>
      <c r="D12" s="1017"/>
      <c r="E12" s="1017"/>
      <c r="F12" s="1017"/>
      <c r="G12" s="1017"/>
      <c r="H12" s="1017"/>
      <c r="I12" s="1017"/>
      <c r="J12" s="1017"/>
      <c r="K12" s="1199"/>
    </row>
    <row r="13" spans="1:11">
      <c r="A13" s="1201" t="str">
        <f>Summary!B31</f>
        <v>SUMMARY OF ZONES TESTED</v>
      </c>
      <c r="B13" s="1202"/>
      <c r="C13" s="1202"/>
      <c r="D13" s="1017"/>
      <c r="E13" s="2327">
        <f>Summary!C32</f>
        <v>0</v>
      </c>
      <c r="F13" s="2328"/>
      <c r="G13" s="2318">
        <f>Summary!F32</f>
        <v>0</v>
      </c>
      <c r="H13" s="2319"/>
      <c r="I13" s="2318">
        <f>Summary!H32</f>
        <v>0</v>
      </c>
      <c r="J13" s="2319"/>
      <c r="K13" s="1199"/>
    </row>
    <row r="14" spans="1:11">
      <c r="A14" s="1201" t="str">
        <f>Summary!B33</f>
        <v>INTERVALS :</v>
      </c>
      <c r="B14" s="1202"/>
      <c r="C14" s="1202"/>
      <c r="D14" s="1017"/>
      <c r="E14" s="2325">
        <f>Summary!C33</f>
        <v>0</v>
      </c>
      <c r="F14" s="2326"/>
      <c r="G14" s="2320">
        <f>Summary!F33</f>
        <v>0</v>
      </c>
      <c r="H14" s="2321"/>
      <c r="I14" s="2320">
        <f>Summary!H33</f>
        <v>0</v>
      </c>
      <c r="J14" s="2321"/>
      <c r="K14" s="1199"/>
    </row>
    <row r="15" spans="1:11">
      <c r="A15" s="1203"/>
      <c r="B15" s="1204"/>
      <c r="C15" s="1204"/>
      <c r="D15" s="1017"/>
      <c r="E15" s="2325">
        <f>Summary!C34</f>
        <v>0</v>
      </c>
      <c r="F15" s="2326"/>
      <c r="G15" s="2320">
        <f>Summary!F34</f>
        <v>0</v>
      </c>
      <c r="H15" s="2321"/>
      <c r="I15" s="2320">
        <f>Summary!H34</f>
        <v>0</v>
      </c>
      <c r="J15" s="2321"/>
      <c r="K15" s="1199"/>
    </row>
    <row r="16" spans="1:11">
      <c r="A16" s="1203"/>
      <c r="B16" s="1204"/>
      <c r="C16" s="1204"/>
      <c r="D16" s="1017"/>
      <c r="E16" s="2325">
        <f>Summary!C35</f>
        <v>0</v>
      </c>
      <c r="F16" s="2326"/>
      <c r="G16" s="2320">
        <f>Summary!F35</f>
        <v>0</v>
      </c>
      <c r="H16" s="2321"/>
      <c r="I16" s="2320">
        <f>Summary!H35</f>
        <v>0</v>
      </c>
      <c r="J16" s="2321"/>
      <c r="K16" s="1199"/>
    </row>
    <row r="17" spans="1:11">
      <c r="A17" s="1203"/>
      <c r="B17" s="1204"/>
      <c r="C17" s="1204"/>
      <c r="D17" s="1017"/>
      <c r="E17" s="2329">
        <f>DATA!C32</f>
        <v>0</v>
      </c>
      <c r="F17" s="2330"/>
      <c r="G17" s="2329">
        <f>DATA!C39</f>
        <v>0</v>
      </c>
      <c r="H17" s="2330"/>
      <c r="I17" s="2329">
        <f>DATA!C45</f>
        <v>0</v>
      </c>
      <c r="J17" s="2330"/>
      <c r="K17" s="1199"/>
    </row>
    <row r="18" spans="1:11">
      <c r="A18" s="1203" t="s">
        <v>298</v>
      </c>
      <c r="B18" s="1204"/>
      <c r="C18" s="1204"/>
      <c r="D18" s="2317" t="str">
        <f>IF(Summary!E2=0,"NO AFE NUMBER GIVEN",Summary!E2)</f>
        <v>NO AFE NUMBER GIVEN</v>
      </c>
      <c r="E18" s="2317"/>
      <c r="F18" s="2317"/>
      <c r="G18" s="2317"/>
      <c r="H18" s="2317"/>
      <c r="I18" s="1017"/>
      <c r="J18" s="1017"/>
      <c r="K18" s="1199"/>
    </row>
    <row r="19" spans="1:11">
      <c r="A19" s="1201" t="s">
        <v>624</v>
      </c>
      <c r="B19" s="1204"/>
      <c r="C19" s="1204"/>
      <c r="D19" s="1205">
        <f>Summary!C7</f>
        <v>0</v>
      </c>
      <c r="E19" s="1017"/>
      <c r="F19" s="1017"/>
      <c r="G19" s="1017"/>
      <c r="H19" s="1017"/>
      <c r="I19" s="1017"/>
      <c r="J19" s="1017"/>
      <c r="K19" s="1199"/>
    </row>
    <row r="20" spans="1:11">
      <c r="A20" s="1203"/>
      <c r="B20" s="1204"/>
      <c r="C20" s="1204"/>
      <c r="D20" s="1017"/>
      <c r="E20" s="1017"/>
      <c r="F20" s="1017"/>
      <c r="G20" s="1017"/>
      <c r="H20" s="1017"/>
      <c r="I20" s="1017"/>
      <c r="J20" s="1017"/>
      <c r="K20" s="1199"/>
    </row>
    <row r="21" spans="1:11">
      <c r="A21" s="1203"/>
      <c r="B21" s="1204"/>
      <c r="C21" s="1204"/>
      <c r="D21" s="1017"/>
      <c r="E21" s="1017"/>
      <c r="F21" s="1017"/>
      <c r="G21" s="1017"/>
      <c r="H21" s="1017"/>
      <c r="I21" s="1017"/>
      <c r="J21" s="1017"/>
      <c r="K21" s="1199"/>
    </row>
    <row r="22" spans="1:11">
      <c r="A22" s="1201" t="s">
        <v>613</v>
      </c>
      <c r="B22" s="1204"/>
      <c r="C22" s="1204"/>
      <c r="D22" s="1017"/>
      <c r="E22" s="1017"/>
      <c r="F22" s="1017"/>
      <c r="G22" s="1017"/>
      <c r="H22" s="1017"/>
      <c r="I22" s="1017"/>
      <c r="J22" s="1017"/>
      <c r="K22" s="1199"/>
    </row>
    <row r="23" spans="1:11">
      <c r="A23" s="1203"/>
      <c r="B23" s="1204"/>
      <c r="C23" s="1204"/>
      <c r="D23" s="1017"/>
      <c r="E23" s="1017"/>
      <c r="F23" s="1017"/>
      <c r="G23" s="1017"/>
      <c r="H23" s="1017"/>
      <c r="I23" s="1017"/>
      <c r="J23" s="1017"/>
      <c r="K23" s="1199"/>
    </row>
    <row r="24" spans="1:11">
      <c r="A24" s="1203" t="s">
        <v>625</v>
      </c>
      <c r="B24" s="1204"/>
      <c r="C24" s="1204"/>
      <c r="D24" s="1017">
        <f>Summary!C62</f>
        <v>0</v>
      </c>
      <c r="E24" s="1017"/>
      <c r="F24" s="1017" t="s">
        <v>1187</v>
      </c>
      <c r="G24" s="1017">
        <f>DATA!C57</f>
        <v>0</v>
      </c>
      <c r="H24" s="1017"/>
      <c r="I24" s="1017"/>
      <c r="J24" s="1017"/>
      <c r="K24" s="1199"/>
    </row>
    <row r="25" spans="1:11">
      <c r="A25" s="1203" t="s">
        <v>626</v>
      </c>
      <c r="B25" s="1204"/>
      <c r="C25" s="1204"/>
      <c r="D25" s="1017" t="str">
        <f>Summary!C177</f>
        <v xml:space="preserve"> </v>
      </c>
      <c r="E25" s="1017"/>
      <c r="F25" s="1017"/>
      <c r="G25" s="1017"/>
      <c r="H25" s="1017"/>
      <c r="I25" s="1017"/>
      <c r="J25" s="1017"/>
      <c r="K25" s="1199"/>
    </row>
    <row r="26" spans="1:11">
      <c r="A26" s="1203" t="s">
        <v>317</v>
      </c>
      <c r="B26" s="1204"/>
      <c r="C26" s="1204"/>
      <c r="D26" s="1140">
        <f>DATA!C58</f>
        <v>0</v>
      </c>
      <c r="E26" s="1017"/>
      <c r="F26" s="1017"/>
      <c r="G26" s="1017"/>
      <c r="H26" s="1017"/>
      <c r="I26" s="1017"/>
      <c r="J26" s="1017"/>
      <c r="K26" s="1199"/>
    </row>
    <row r="27" spans="1:11">
      <c r="A27" s="1203" t="s">
        <v>1448</v>
      </c>
      <c r="B27" s="1204"/>
      <c r="C27" s="1204"/>
      <c r="D27" s="1017" t="str">
        <f>Summary!B174</f>
        <v>Operator Code:</v>
      </c>
      <c r="E27" s="1017"/>
      <c r="F27" s="1017"/>
      <c r="G27" s="1017" t="e">
        <f>Summary!C174</f>
        <v>#N/A</v>
      </c>
      <c r="H27" s="1017"/>
      <c r="I27" s="1017"/>
      <c r="J27" s="1017"/>
      <c r="K27" s="1199"/>
    </row>
    <row r="28" spans="1:11">
      <c r="A28" s="1203"/>
      <c r="B28" s="1204"/>
      <c r="C28" s="1204"/>
      <c r="D28" s="1017" t="str">
        <f>Summary!B175</f>
        <v>Mailing Address:</v>
      </c>
      <c r="E28" s="1017"/>
      <c r="F28" s="1017"/>
      <c r="G28" s="1017" t="str">
        <f>Summary!C175</f>
        <v xml:space="preserve"> </v>
      </c>
      <c r="H28" s="1017"/>
      <c r="I28" s="1017"/>
      <c r="J28" s="1017"/>
      <c r="K28" s="1199"/>
    </row>
    <row r="29" spans="1:11">
      <c r="A29" s="1203"/>
      <c r="B29" s="1204"/>
      <c r="C29" s="1204"/>
      <c r="D29" s="1017" t="str">
        <f>Summary!B176</f>
        <v>24 hr Emergency Number:</v>
      </c>
      <c r="E29" s="1017"/>
      <c r="F29" s="1017"/>
      <c r="G29" s="1017" t="str">
        <f>Summary!C176</f>
        <v xml:space="preserve"> </v>
      </c>
      <c r="H29" s="1017"/>
      <c r="I29" s="1017"/>
      <c r="J29" s="1017"/>
      <c r="K29" s="1199"/>
    </row>
    <row r="30" spans="1:11">
      <c r="A30" s="1203"/>
      <c r="B30" s="1204"/>
      <c r="C30" s="1204"/>
      <c r="D30" s="1017" t="str">
        <f>Summary!B177</f>
        <v>Fax Number:</v>
      </c>
      <c r="E30" s="1017"/>
      <c r="F30" s="1017"/>
      <c r="G30" s="1017" t="str">
        <f>Summary!C177</f>
        <v xml:space="preserve"> </v>
      </c>
      <c r="H30" s="1017"/>
      <c r="I30" s="1017"/>
      <c r="J30" s="1017"/>
      <c r="K30" s="1199"/>
    </row>
    <row r="31" spans="1:11">
      <c r="A31" s="1203"/>
      <c r="B31" s="1204"/>
      <c r="C31" s="1204"/>
      <c r="D31" s="1017" t="str">
        <f>Summary!B178</f>
        <v>Email Address:</v>
      </c>
      <c r="E31" s="1017"/>
      <c r="F31" s="1017"/>
      <c r="G31" s="1017" t="str">
        <f>Summary!C178</f>
        <v xml:space="preserve"> </v>
      </c>
      <c r="H31" s="1017"/>
      <c r="I31" s="1017"/>
      <c r="J31" s="1017"/>
      <c r="K31" s="1199"/>
    </row>
    <row r="32" spans="1:11">
      <c r="A32" s="1403" t="s">
        <v>152</v>
      </c>
      <c r="B32" s="1404"/>
      <c r="C32" s="1405"/>
      <c r="D32" s="1406"/>
      <c r="E32" s="1407"/>
      <c r="F32" s="1407"/>
      <c r="G32" s="1407"/>
      <c r="H32" s="1408"/>
      <c r="I32" s="1408"/>
      <c r="J32" s="1408"/>
      <c r="K32" s="1409"/>
    </row>
    <row r="33" spans="1:11">
      <c r="A33" s="1410" t="s">
        <v>154</v>
      </c>
      <c r="B33" s="37"/>
      <c r="C33" s="951"/>
      <c r="D33" s="951"/>
      <c r="E33" s="951"/>
      <c r="F33" s="951"/>
      <c r="G33" s="951"/>
      <c r="H33" s="1017"/>
      <c r="I33" s="1017"/>
      <c r="J33" s="1017"/>
      <c r="K33" s="1199"/>
    </row>
    <row r="34" spans="1:11">
      <c r="A34" s="1411"/>
      <c r="B34" s="23"/>
      <c r="C34" s="972"/>
      <c r="D34" s="972"/>
      <c r="E34" s="972"/>
      <c r="F34" s="972"/>
      <c r="G34" s="972"/>
      <c r="H34" s="1017"/>
      <c r="I34" s="1017"/>
      <c r="J34" s="1017"/>
      <c r="K34" s="1199"/>
    </row>
    <row r="35" spans="1:11">
      <c r="A35" s="1412" t="s">
        <v>418</v>
      </c>
      <c r="B35" s="1402" t="s">
        <v>155</v>
      </c>
      <c r="C35" s="972"/>
      <c r="D35" s="972"/>
      <c r="E35" s="25" t="s">
        <v>156</v>
      </c>
      <c r="F35" s="951"/>
      <c r="G35" s="69" t="s">
        <v>157</v>
      </c>
      <c r="H35" s="1017"/>
      <c r="I35" s="1017"/>
      <c r="J35" s="1017"/>
      <c r="K35" s="1199"/>
    </row>
    <row r="36" spans="1:11">
      <c r="A36" s="1198">
        <f>Summary!A128</f>
        <v>0</v>
      </c>
      <c r="B36" s="2317">
        <f>Summary!B128</f>
        <v>0</v>
      </c>
      <c r="C36" s="2317"/>
      <c r="D36" s="2317"/>
      <c r="E36" s="188">
        <f>Summary!E128</f>
        <v>0</v>
      </c>
      <c r="F36" s="1017"/>
      <c r="G36" s="188">
        <f>Summary!G128</f>
        <v>0</v>
      </c>
      <c r="H36" s="1017"/>
      <c r="I36" s="1017"/>
      <c r="J36" s="1017"/>
      <c r="K36" s="1199"/>
    </row>
    <row r="37" spans="1:11">
      <c r="A37" s="1198">
        <f>Summary!A129</f>
        <v>0</v>
      </c>
      <c r="B37" s="2317">
        <f>Summary!B129</f>
        <v>0</v>
      </c>
      <c r="C37" s="2317"/>
      <c r="D37" s="2317"/>
      <c r="E37" s="188">
        <f>Summary!E129</f>
        <v>0</v>
      </c>
      <c r="F37" s="1017"/>
      <c r="G37" s="188">
        <f>Summary!G129</f>
        <v>0</v>
      </c>
      <c r="H37" s="1017"/>
      <c r="I37" s="1017"/>
      <c r="J37" s="1017"/>
      <c r="K37" s="1199"/>
    </row>
    <row r="38" spans="1:11">
      <c r="A38" s="1198">
        <f>Summary!A130</f>
        <v>0</v>
      </c>
      <c r="B38" s="2317">
        <f>Summary!B130</f>
        <v>0</v>
      </c>
      <c r="C38" s="2317"/>
      <c r="D38" s="2317"/>
      <c r="E38" s="188">
        <f>Summary!E130</f>
        <v>0</v>
      </c>
      <c r="F38" s="1017"/>
      <c r="G38" s="188">
        <f>Summary!G130</f>
        <v>0</v>
      </c>
      <c r="H38" s="1017"/>
      <c r="I38" s="1017"/>
      <c r="J38" s="1017"/>
      <c r="K38" s="1199"/>
    </row>
    <row r="39" spans="1:11">
      <c r="A39" s="1198">
        <f>Summary!A131</f>
        <v>0</v>
      </c>
      <c r="B39" s="2317">
        <f>Summary!B131</f>
        <v>0</v>
      </c>
      <c r="C39" s="2317"/>
      <c r="D39" s="2317"/>
      <c r="E39" s="188">
        <f>Summary!E131</f>
        <v>0</v>
      </c>
      <c r="F39" s="1017"/>
      <c r="G39" s="188">
        <f>Summary!G131</f>
        <v>0</v>
      </c>
      <c r="H39" s="1017"/>
      <c r="I39" s="1017"/>
      <c r="J39" s="1017"/>
      <c r="K39" s="1199"/>
    </row>
    <row r="40" spans="1:11">
      <c r="A40" s="1198">
        <f>Summary!A132</f>
        <v>0</v>
      </c>
      <c r="B40" s="2317">
        <f>Summary!B132</f>
        <v>0</v>
      </c>
      <c r="C40" s="2317"/>
      <c r="D40" s="2317"/>
      <c r="E40" s="188">
        <f>Summary!E132</f>
        <v>0</v>
      </c>
      <c r="F40" s="1017"/>
      <c r="G40" s="188">
        <f>Summary!G132</f>
        <v>0</v>
      </c>
      <c r="H40" s="1017"/>
      <c r="I40" s="1017"/>
      <c r="J40" s="1017"/>
      <c r="K40" s="1199"/>
    </row>
    <row r="41" spans="1:11">
      <c r="A41" s="1198">
        <f>Summary!A133</f>
        <v>0</v>
      </c>
      <c r="B41" s="2317">
        <f>Summary!B133</f>
        <v>0</v>
      </c>
      <c r="C41" s="2317"/>
      <c r="D41" s="2317"/>
      <c r="E41" s="188">
        <f>Summary!E133</f>
        <v>0</v>
      </c>
      <c r="F41" s="1017"/>
      <c r="G41" s="188">
        <f>Summary!G133</f>
        <v>0</v>
      </c>
      <c r="H41" s="1017"/>
      <c r="I41" s="1017"/>
      <c r="J41" s="1017"/>
      <c r="K41" s="1199"/>
    </row>
    <row r="42" spans="1:11">
      <c r="A42" s="1198">
        <f>Summary!A134</f>
        <v>0</v>
      </c>
      <c r="B42" s="2317">
        <f>Summary!B134</f>
        <v>0</v>
      </c>
      <c r="C42" s="2317"/>
      <c r="D42" s="2317"/>
      <c r="E42" s="188">
        <f>Summary!E134</f>
        <v>0</v>
      </c>
      <c r="F42" s="1017"/>
      <c r="G42" s="188">
        <f>Summary!G134</f>
        <v>0</v>
      </c>
      <c r="H42" s="1017"/>
      <c r="I42" s="1017"/>
      <c r="J42" s="1017"/>
      <c r="K42" s="1199"/>
    </row>
    <row r="43" spans="1:11">
      <c r="A43" s="1198">
        <f>Summary!A135</f>
        <v>0</v>
      </c>
      <c r="B43" s="2317">
        <f>Summary!B135</f>
        <v>0</v>
      </c>
      <c r="C43" s="2317"/>
      <c r="D43" s="2317"/>
      <c r="E43" s="188">
        <f>Summary!E135</f>
        <v>0</v>
      </c>
      <c r="F43" s="1017"/>
      <c r="G43" s="188">
        <f>Summary!G135</f>
        <v>0</v>
      </c>
      <c r="H43" s="1017"/>
      <c r="I43" s="1017"/>
      <c r="J43" s="1017"/>
      <c r="K43" s="1199"/>
    </row>
    <row r="44" spans="1:11">
      <c r="A44" s="1198">
        <f>Summary!A136</f>
        <v>0</v>
      </c>
      <c r="B44" s="2317">
        <f>Summary!B136</f>
        <v>0</v>
      </c>
      <c r="C44" s="2317"/>
      <c r="D44" s="2317"/>
      <c r="E44" s="188">
        <f>Summary!E136</f>
        <v>0</v>
      </c>
      <c r="F44" s="1017"/>
      <c r="G44" s="188">
        <f>Summary!G136</f>
        <v>0</v>
      </c>
      <c r="H44" s="1017"/>
      <c r="I44" s="1017"/>
      <c r="J44" s="1017"/>
      <c r="K44" s="1199"/>
    </row>
    <row r="45" spans="1:11">
      <c r="A45" s="1198">
        <f>Summary!A137</f>
        <v>0</v>
      </c>
      <c r="B45" s="2317">
        <f>Summary!B137</f>
        <v>0</v>
      </c>
      <c r="C45" s="2317"/>
      <c r="D45" s="2317"/>
      <c r="E45" s="188">
        <f>Summary!E137</f>
        <v>0</v>
      </c>
      <c r="F45" s="1017"/>
      <c r="G45" s="188">
        <f>Summary!G137</f>
        <v>0</v>
      </c>
      <c r="H45" s="1017"/>
      <c r="I45" s="1017"/>
      <c r="J45" s="1017"/>
      <c r="K45" s="1199"/>
    </row>
    <row r="46" spans="1:11">
      <c r="A46" s="1198">
        <f>Summary!A138</f>
        <v>0</v>
      </c>
      <c r="B46" s="2317">
        <f>Summary!B138</f>
        <v>0</v>
      </c>
      <c r="C46" s="2317"/>
      <c r="D46" s="2317"/>
      <c r="E46" s="188">
        <f>Summary!E138</f>
        <v>0</v>
      </c>
      <c r="F46" s="1017"/>
      <c r="G46" s="188">
        <f>Summary!G138</f>
        <v>0</v>
      </c>
      <c r="H46" s="1017"/>
      <c r="I46" s="1017"/>
      <c r="J46" s="1017"/>
      <c r="K46" s="1199"/>
    </row>
    <row r="47" spans="1:11">
      <c r="A47" s="1198">
        <f>Summary!A139</f>
        <v>0</v>
      </c>
      <c r="B47" s="2317">
        <f>Summary!B139</f>
        <v>0</v>
      </c>
      <c r="C47" s="2317"/>
      <c r="D47" s="2317"/>
      <c r="E47" s="188">
        <f>Summary!E139</f>
        <v>0</v>
      </c>
      <c r="F47" s="1017"/>
      <c r="G47" s="188">
        <f>Summary!G139</f>
        <v>0</v>
      </c>
      <c r="H47" s="1017"/>
      <c r="I47" s="1017"/>
      <c r="J47" s="1017"/>
      <c r="K47" s="1199"/>
    </row>
    <row r="48" spans="1:11">
      <c r="A48" s="1198">
        <f>Summary!A140</f>
        <v>0</v>
      </c>
      <c r="B48" s="2317">
        <f>Summary!B140</f>
        <v>0</v>
      </c>
      <c r="C48" s="2317"/>
      <c r="D48" s="2317"/>
      <c r="E48" s="188">
        <f>Summary!E140</f>
        <v>0</v>
      </c>
      <c r="F48" s="1017"/>
      <c r="G48" s="188">
        <f>Summary!G140</f>
        <v>0</v>
      </c>
      <c r="H48" s="1017"/>
      <c r="I48" s="1017"/>
      <c r="J48" s="1017"/>
      <c r="K48" s="1199"/>
    </row>
    <row r="49" spans="1:11">
      <c r="A49" s="1198">
        <f>Summary!A141</f>
        <v>0</v>
      </c>
      <c r="B49" s="2317">
        <f>Summary!B141</f>
        <v>0</v>
      </c>
      <c r="C49" s="2317"/>
      <c r="D49" s="2317"/>
      <c r="E49" s="188">
        <f>Summary!E141</f>
        <v>0</v>
      </c>
      <c r="F49" s="1017"/>
      <c r="G49" s="188">
        <f>Summary!G141</f>
        <v>0</v>
      </c>
      <c r="H49" s="1017"/>
      <c r="I49" s="1017"/>
      <c r="J49" s="1017"/>
      <c r="K49" s="1199"/>
    </row>
    <row r="50" spans="1:11">
      <c r="A50" s="1198">
        <f>Summary!A142</f>
        <v>0</v>
      </c>
      <c r="B50" s="2317">
        <f>Summary!B142</f>
        <v>0</v>
      </c>
      <c r="C50" s="2317"/>
      <c r="D50" s="2317"/>
      <c r="E50" s="188">
        <f>Summary!E142</f>
        <v>0</v>
      </c>
      <c r="F50" s="1017"/>
      <c r="G50" s="188">
        <f>Summary!G142</f>
        <v>0</v>
      </c>
      <c r="H50" s="1017"/>
      <c r="I50" s="1017"/>
      <c r="J50" s="1017"/>
      <c r="K50" s="1199"/>
    </row>
    <row r="51" spans="1:11">
      <c r="A51" s="1198">
        <f>Summary!A143</f>
        <v>0</v>
      </c>
      <c r="B51" s="2317">
        <f>Summary!B143</f>
        <v>0</v>
      </c>
      <c r="C51" s="2317"/>
      <c r="D51" s="2317"/>
      <c r="E51" s="188">
        <f>Summary!E143</f>
        <v>0</v>
      </c>
      <c r="F51" s="1017"/>
      <c r="G51" s="188">
        <f>Summary!G143</f>
        <v>0</v>
      </c>
      <c r="H51" s="1017"/>
      <c r="I51" s="1017"/>
      <c r="J51" s="1017"/>
      <c r="K51" s="1199"/>
    </row>
    <row r="52" spans="1:11">
      <c r="A52" s="1198">
        <f>Summary!A144</f>
        <v>0</v>
      </c>
      <c r="B52" s="2317">
        <f>Summary!B144</f>
        <v>0</v>
      </c>
      <c r="C52" s="2317"/>
      <c r="D52" s="2317"/>
      <c r="E52" s="188">
        <f>Summary!E144</f>
        <v>0</v>
      </c>
      <c r="F52" s="1017"/>
      <c r="G52" s="188">
        <f>Summary!G144</f>
        <v>0</v>
      </c>
      <c r="H52" s="1017"/>
      <c r="I52" s="1017"/>
      <c r="J52" s="1017"/>
      <c r="K52" s="1199"/>
    </row>
    <row r="53" spans="1:11">
      <c r="A53" s="1198">
        <f>Summary!A145</f>
        <v>0</v>
      </c>
      <c r="B53" s="2317" t="str">
        <f>Summary!B145</f>
        <v>STRING LENGTH:</v>
      </c>
      <c r="C53" s="2317"/>
      <c r="D53" s="2317"/>
      <c r="E53" s="188">
        <f>Summary!E145</f>
        <v>0</v>
      </c>
      <c r="F53" s="1017"/>
      <c r="G53" s="188">
        <f>Summary!G145</f>
        <v>0</v>
      </c>
      <c r="H53" s="1017"/>
      <c r="I53" s="1017"/>
      <c r="J53" s="1017"/>
      <c r="K53" s="1199"/>
    </row>
    <row r="54" spans="1:11">
      <c r="A54" s="1198">
        <f>Summary!A146</f>
        <v>0</v>
      </c>
      <c r="B54" s="2317" t="str">
        <f>Summary!B146</f>
        <v>ADD KBTH:</v>
      </c>
      <c r="C54" s="2317"/>
      <c r="D54" s="2317"/>
      <c r="E54" s="188">
        <f>Summary!E146</f>
        <v>0</v>
      </c>
      <c r="F54" s="1017"/>
      <c r="G54" s="188">
        <f>Summary!G146</f>
        <v>0</v>
      </c>
      <c r="H54" s="1017"/>
      <c r="I54" s="1017"/>
      <c r="J54" s="1017"/>
      <c r="K54" s="1199"/>
    </row>
    <row r="55" spans="1:11">
      <c r="A55" s="1206">
        <f>Summary!A147</f>
        <v>0</v>
      </c>
      <c r="B55" s="2332" t="str">
        <f>Summary!B147</f>
        <v>SETTING DEPTH:</v>
      </c>
      <c r="C55" s="2332"/>
      <c r="D55" s="2332"/>
      <c r="E55" s="1413">
        <f>Summary!E147</f>
        <v>0</v>
      </c>
      <c r="F55" s="1207" t="str">
        <f>Summary!F147</f>
        <v>mKB</v>
      </c>
      <c r="G55" s="1413">
        <f>Summary!G147</f>
        <v>0</v>
      </c>
      <c r="H55" s="1207"/>
      <c r="I55" s="1207"/>
      <c r="J55" s="1207"/>
      <c r="K55" s="1208"/>
    </row>
    <row r="56" spans="1:11">
      <c r="A56" s="1772" t="s">
        <v>1599</v>
      </c>
      <c r="B56" s="1773"/>
      <c r="C56" s="1773"/>
      <c r="D56" s="1773"/>
      <c r="E56" s="1773"/>
      <c r="F56" s="1773"/>
      <c r="G56" s="1773"/>
      <c r="H56" s="1773"/>
      <c r="I56" s="1773"/>
      <c r="J56" s="1773"/>
      <c r="K56" s="1774"/>
    </row>
    <row r="57" spans="1:11">
      <c r="A57" s="301"/>
      <c r="K57" s="302"/>
    </row>
    <row r="58" spans="1:11">
      <c r="A58" s="2312" t="str">
        <f>A3</f>
        <v>WELL OPERATOR:</v>
      </c>
      <c r="B58" s="2313"/>
      <c r="C58" s="2313"/>
      <c r="D58" s="1017">
        <f>D3</f>
        <v>0</v>
      </c>
      <c r="E58" s="1017"/>
      <c r="F58" s="1017"/>
      <c r="G58" s="1017"/>
      <c r="H58" s="1017"/>
      <c r="I58" s="1017"/>
      <c r="J58" s="1017"/>
      <c r="K58" s="1199"/>
    </row>
    <row r="59" spans="1:11">
      <c r="A59" s="2312" t="str">
        <f>A4</f>
        <v>WELL NAME AND LOCATION:</v>
      </c>
      <c r="B59" s="2313"/>
      <c r="C59" s="2313"/>
      <c r="D59" s="1017">
        <f>D4</f>
        <v>0</v>
      </c>
      <c r="E59" s="1017"/>
      <c r="F59" s="1017"/>
      <c r="G59" s="1017"/>
      <c r="H59" s="1017"/>
      <c r="I59" s="1017"/>
      <c r="J59" s="1017"/>
      <c r="K59" s="1199"/>
    </row>
    <row r="60" spans="1:11">
      <c r="A60" s="301"/>
      <c r="K60" s="302"/>
    </row>
    <row r="61" spans="1:11">
      <c r="A61" s="2314" t="str">
        <f>CONCATENATE(A19," ",D19)</f>
        <v>WELL LICENSE NUMBER: 0</v>
      </c>
      <c r="B61" s="2315"/>
      <c r="C61" s="2315"/>
      <c r="D61" s="2315"/>
      <c r="E61" s="2315"/>
      <c r="F61" s="2315"/>
      <c r="G61" s="2315"/>
      <c r="H61" s="2315"/>
      <c r="I61" s="2315"/>
      <c r="J61" s="2315"/>
      <c r="K61" s="2316"/>
    </row>
    <row r="62" spans="1:11">
      <c r="A62" s="301">
        <f>A20</f>
        <v>0</v>
      </c>
      <c r="D62" s="160">
        <f>D20</f>
        <v>0</v>
      </c>
      <c r="K62" s="302"/>
    </row>
    <row r="63" spans="1:11">
      <c r="A63" s="301"/>
      <c r="K63" s="302"/>
    </row>
    <row r="64" spans="1:11">
      <c r="A64" s="301"/>
      <c r="K64" s="302"/>
    </row>
    <row r="65" spans="1:11">
      <c r="A65" s="301"/>
      <c r="K65" s="302"/>
    </row>
    <row r="66" spans="1:11">
      <c r="A66" s="301"/>
      <c r="K66" s="302"/>
    </row>
    <row r="67" spans="1:11">
      <c r="A67" s="301" t="str">
        <f>CONCATENATE(A25," ",G30)</f>
        <v xml:space="preserve">Fax Number:  </v>
      </c>
      <c r="D67" s="22" t="str">
        <f>D25</f>
        <v xml:space="preserve"> </v>
      </c>
      <c r="F67" s="22">
        <f>F25</f>
        <v>0</v>
      </c>
      <c r="K67" s="302"/>
    </row>
    <row r="68" spans="1:11">
      <c r="A68" s="301"/>
      <c r="K68" s="302"/>
    </row>
    <row r="69" spans="1:11">
      <c r="A69" s="301" t="s">
        <v>1207</v>
      </c>
      <c r="D69" s="22">
        <f>Summary!C63</f>
        <v>0</v>
      </c>
      <c r="F69" s="22">
        <f>Summary!F63</f>
        <v>0</v>
      </c>
      <c r="K69" s="302"/>
    </row>
    <row r="70" spans="1:11">
      <c r="A70" s="301"/>
      <c r="K70" s="302"/>
    </row>
    <row r="71" spans="1:11">
      <c r="A71" s="301"/>
      <c r="K71" s="302"/>
    </row>
    <row r="72" spans="1:11">
      <c r="A72" s="301" t="s">
        <v>1208</v>
      </c>
      <c r="K72" s="302"/>
    </row>
    <row r="73" spans="1:11">
      <c r="A73" s="301" t="s">
        <v>1209</v>
      </c>
      <c r="K73" s="302"/>
    </row>
    <row r="74" spans="1:11">
      <c r="A74" s="301" t="s">
        <v>1210</v>
      </c>
      <c r="K74" s="302"/>
    </row>
    <row r="75" spans="1:11">
      <c r="A75" s="301"/>
      <c r="K75" s="302"/>
    </row>
    <row r="76" spans="1:11">
      <c r="A76" s="301" t="s">
        <v>1211</v>
      </c>
      <c r="K76" s="302"/>
    </row>
    <row r="77" spans="1:11">
      <c r="A77" s="301"/>
      <c r="K77" s="302"/>
    </row>
    <row r="78" spans="1:11">
      <c r="A78" s="182"/>
      <c r="B78" s="183"/>
      <c r="C78" s="183"/>
      <c r="E78" s="22" t="s">
        <v>1212</v>
      </c>
      <c r="G78" s="183"/>
      <c r="H78" s="183"/>
      <c r="I78" s="22" t="s">
        <v>237</v>
      </c>
      <c r="J78" s="1363"/>
      <c r="K78" s="303"/>
    </row>
    <row r="79" spans="1:11">
      <c r="A79" s="301"/>
      <c r="K79" s="302"/>
    </row>
    <row r="80" spans="1:11">
      <c r="A80" s="182"/>
      <c r="B80" s="183"/>
      <c r="C80" s="183"/>
      <c r="E80" s="22" t="s">
        <v>1212</v>
      </c>
      <c r="G80" s="183"/>
      <c r="H80" s="183"/>
      <c r="I80" s="22" t="s">
        <v>237</v>
      </c>
      <c r="J80" s="183"/>
      <c r="K80" s="303"/>
    </row>
    <row r="81" spans="1:11">
      <c r="A81" s="301"/>
      <c r="K81" s="302"/>
    </row>
    <row r="82" spans="1:11">
      <c r="A82" s="182"/>
      <c r="B82" s="183"/>
      <c r="C82" s="183"/>
      <c r="E82" s="22" t="s">
        <v>1212</v>
      </c>
      <c r="G82" s="183"/>
      <c r="H82" s="183"/>
      <c r="I82" s="22" t="s">
        <v>237</v>
      </c>
      <c r="J82" s="183"/>
      <c r="K82" s="303"/>
    </row>
    <row r="83" spans="1:11">
      <c r="A83" s="301"/>
      <c r="K83" s="302"/>
    </row>
    <row r="84" spans="1:11">
      <c r="A84" s="301"/>
      <c r="K84" s="302"/>
    </row>
    <row r="85" spans="1:11">
      <c r="A85" s="301" t="s">
        <v>1213</v>
      </c>
      <c r="E85" s="1364" t="s">
        <v>978</v>
      </c>
      <c r="K85" s="302"/>
    </row>
    <row r="86" spans="1:11">
      <c r="A86" s="301" t="s">
        <v>1214</v>
      </c>
      <c r="K86" s="302"/>
    </row>
    <row r="87" spans="1:11">
      <c r="A87" s="301" t="s">
        <v>1215</v>
      </c>
      <c r="F87" s="487"/>
      <c r="K87" s="302"/>
    </row>
    <row r="88" spans="1:11">
      <c r="A88" s="301"/>
      <c r="F88" s="487"/>
      <c r="K88" s="302"/>
    </row>
    <row r="89" spans="1:11">
      <c r="A89" s="301"/>
      <c r="K89" s="302"/>
    </row>
    <row r="90" spans="1:11">
      <c r="A90" s="301" t="s">
        <v>1216</v>
      </c>
      <c r="K90" s="302"/>
    </row>
    <row r="91" spans="1:11">
      <c r="A91" s="301"/>
      <c r="K91" s="302"/>
    </row>
    <row r="92" spans="1:11">
      <c r="A92" s="182"/>
      <c r="B92" s="183"/>
      <c r="C92" s="183"/>
      <c r="E92" s="22" t="s">
        <v>237</v>
      </c>
      <c r="F92" s="1363"/>
      <c r="G92" s="183"/>
      <c r="K92" s="302"/>
    </row>
    <row r="93" spans="1:11">
      <c r="A93" s="301"/>
      <c r="K93" s="302"/>
    </row>
    <row r="94" spans="1:11">
      <c r="A94" s="182"/>
      <c r="B94" s="183"/>
      <c r="C94" s="183"/>
      <c r="E94" s="22" t="s">
        <v>237</v>
      </c>
      <c r="F94" s="183"/>
      <c r="G94" s="183"/>
      <c r="K94" s="302"/>
    </row>
    <row r="95" spans="1:11">
      <c r="A95" s="301"/>
      <c r="K95" s="302"/>
    </row>
    <row r="96" spans="1:11">
      <c r="A96" s="182"/>
      <c r="B96" s="183"/>
      <c r="C96" s="183"/>
      <c r="E96" s="22" t="s">
        <v>237</v>
      </c>
      <c r="F96" s="183"/>
      <c r="G96" s="183"/>
      <c r="K96" s="302"/>
    </row>
    <row r="97" spans="1:11">
      <c r="A97" s="301"/>
      <c r="K97" s="302"/>
    </row>
    <row r="98" spans="1:11">
      <c r="A98" s="182"/>
      <c r="B98" s="183"/>
      <c r="C98" s="183"/>
      <c r="E98" s="22" t="s">
        <v>237</v>
      </c>
      <c r="F98" s="1363"/>
      <c r="G98" s="183"/>
      <c r="K98" s="302"/>
    </row>
    <row r="99" spans="1:11">
      <c r="A99" s="301"/>
      <c r="K99" s="302"/>
    </row>
    <row r="100" spans="1:11">
      <c r="A100" s="182"/>
      <c r="B100" s="183"/>
      <c r="C100" s="183"/>
      <c r="E100" s="22" t="s">
        <v>237</v>
      </c>
      <c r="F100" s="183"/>
      <c r="G100" s="183"/>
      <c r="K100" s="302"/>
    </row>
    <row r="101" spans="1:11">
      <c r="A101" s="301"/>
      <c r="K101" s="302"/>
    </row>
    <row r="102" spans="1:11">
      <c r="A102" s="182"/>
      <c r="B102" s="183"/>
      <c r="C102" s="183"/>
      <c r="E102" s="22" t="s">
        <v>237</v>
      </c>
      <c r="F102" s="183"/>
      <c r="G102" s="183"/>
      <c r="K102" s="302"/>
    </row>
    <row r="103" spans="1:11">
      <c r="A103" s="301"/>
      <c r="K103" s="302"/>
    </row>
    <row r="104" spans="1:11">
      <c r="A104" s="182"/>
      <c r="B104" s="183"/>
      <c r="C104" s="183"/>
      <c r="E104" s="22" t="s">
        <v>237</v>
      </c>
      <c r="F104" s="1363"/>
      <c r="G104" s="183"/>
      <c r="K104" s="302"/>
    </row>
    <row r="105" spans="1:11">
      <c r="A105" s="301"/>
      <c r="K105" s="302"/>
    </row>
    <row r="106" spans="1:11">
      <c r="A106" s="182"/>
      <c r="B106" s="183"/>
      <c r="C106" s="183"/>
      <c r="E106" s="22" t="s">
        <v>237</v>
      </c>
      <c r="F106" s="183"/>
      <c r="G106" s="183"/>
      <c r="K106" s="302"/>
    </row>
    <row r="107" spans="1:11">
      <c r="A107" s="301"/>
      <c r="K107" s="302"/>
    </row>
    <row r="108" spans="1:11">
      <c r="A108" s="182"/>
      <c r="B108" s="183"/>
      <c r="C108" s="183"/>
      <c r="E108" s="22" t="s">
        <v>237</v>
      </c>
      <c r="F108" s="183"/>
      <c r="G108" s="183"/>
      <c r="K108" s="302"/>
    </row>
    <row r="109" spans="1:11">
      <c r="A109" s="301"/>
      <c r="K109" s="302"/>
    </row>
    <row r="110" spans="1:11">
      <c r="A110" s="182"/>
      <c r="B110" s="183"/>
      <c r="C110" s="183"/>
      <c r="D110" s="183"/>
      <c r="E110" s="183"/>
      <c r="F110" s="183"/>
      <c r="G110" s="183"/>
      <c r="H110" s="183"/>
      <c r="I110" s="183"/>
      <c r="J110" s="183"/>
      <c r="K110" s="303"/>
    </row>
  </sheetData>
  <sheetProtection sheet="1" selectLockedCells="1"/>
  <mergeCells count="54">
    <mergeCell ref="B51:D51"/>
    <mergeCell ref="B52:D52"/>
    <mergeCell ref="B53:D53"/>
    <mergeCell ref="B54:D54"/>
    <mergeCell ref="B55:D55"/>
    <mergeCell ref="D6:K6"/>
    <mergeCell ref="D7:K7"/>
    <mergeCell ref="D8:K8"/>
    <mergeCell ref="D9:K9"/>
    <mergeCell ref="B45:D45"/>
    <mergeCell ref="B37:D37"/>
    <mergeCell ref="B42:D42"/>
    <mergeCell ref="B43:D43"/>
    <mergeCell ref="B44:D44"/>
    <mergeCell ref="E16:F16"/>
    <mergeCell ref="E17:F17"/>
    <mergeCell ref="G17:H17"/>
    <mergeCell ref="B46:D46"/>
    <mergeCell ref="B47:D47"/>
    <mergeCell ref="B48:D48"/>
    <mergeCell ref="B49:D49"/>
    <mergeCell ref="B50:D50"/>
    <mergeCell ref="A3:C3"/>
    <mergeCell ref="A4:C4"/>
    <mergeCell ref="A5:C5"/>
    <mergeCell ref="A1:K1"/>
    <mergeCell ref="B36:D36"/>
    <mergeCell ref="A6:C6"/>
    <mergeCell ref="A7:C7"/>
    <mergeCell ref="A8:C8"/>
    <mergeCell ref="A9:C9"/>
    <mergeCell ref="E14:F14"/>
    <mergeCell ref="E13:F13"/>
    <mergeCell ref="G14:H14"/>
    <mergeCell ref="I17:J17"/>
    <mergeCell ref="I16:J16"/>
    <mergeCell ref="G16:H16"/>
    <mergeCell ref="E15:F15"/>
    <mergeCell ref="A58:C58"/>
    <mergeCell ref="A59:C59"/>
    <mergeCell ref="A61:K61"/>
    <mergeCell ref="D18:H18"/>
    <mergeCell ref="A10:C10"/>
    <mergeCell ref="A11:C11"/>
    <mergeCell ref="G13:H13"/>
    <mergeCell ref="B38:D38"/>
    <mergeCell ref="B39:D39"/>
    <mergeCell ref="B40:D40"/>
    <mergeCell ref="I13:J13"/>
    <mergeCell ref="I14:J14"/>
    <mergeCell ref="I15:J15"/>
    <mergeCell ref="G15:H15"/>
    <mergeCell ref="A56:K56"/>
    <mergeCell ref="B41:D41"/>
  </mergeCells>
  <phoneticPr fontId="0" type="noConversion"/>
  <pageMargins left="0.25" right="0.25" top="0.75" bottom="0.75" header="0.5" footer="0.5"/>
  <pageSetup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8369" r:id="rId4" name="Button 1">
              <controlPr defaultSize="0" print="0" autoFill="0" autoPict="0" macro="[0]!BACKTOMENU">
                <anchor moveWithCells="1">
                  <from>
                    <xdr:col>10</xdr:col>
                    <xdr:colOff>334736</xdr:colOff>
                    <xdr:row>0</xdr:row>
                    <xdr:rowOff>87086</xdr:rowOff>
                  </from>
                  <to>
                    <xdr:col>11</xdr:col>
                    <xdr:colOff>234043</xdr:colOff>
                    <xdr:row>1</xdr:row>
                    <xdr:rowOff>136071</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B68B0-A4E8-4228-A19C-F35821D73245}">
  <dimension ref="A1:K62"/>
  <sheetViews>
    <sheetView showGridLines="0" showRowColHeaders="0" zoomScale="140" workbookViewId="0">
      <selection activeCell="A10" sqref="A10"/>
    </sheetView>
  </sheetViews>
  <sheetFormatPr defaultRowHeight="12.9"/>
  <sheetData>
    <row r="1" spans="1:11">
      <c r="A1" s="195"/>
      <c r="B1" s="29"/>
      <c r="C1" s="29"/>
      <c r="D1" s="29"/>
      <c r="E1" s="29"/>
      <c r="F1" s="29"/>
      <c r="G1" s="29"/>
      <c r="H1" s="29"/>
      <c r="I1" s="29"/>
      <c r="J1" s="29"/>
      <c r="K1" s="30"/>
    </row>
    <row r="2" spans="1:11">
      <c r="A2" s="31"/>
      <c r="K2" s="32"/>
    </row>
    <row r="3" spans="1:11">
      <c r="A3" s="31"/>
      <c r="K3" s="32"/>
    </row>
    <row r="4" spans="1:11">
      <c r="A4" s="31"/>
      <c r="K4" s="32"/>
    </row>
    <row r="5" spans="1:11">
      <c r="A5" s="31"/>
      <c r="K5" s="32"/>
    </row>
    <row r="6" spans="1:11">
      <c r="A6" s="31"/>
      <c r="K6" s="32"/>
    </row>
    <row r="7" spans="1:11">
      <c r="A7" s="31"/>
      <c r="K7" s="32"/>
    </row>
    <row r="8" spans="1:11">
      <c r="A8" s="31"/>
      <c r="K8" s="32"/>
    </row>
    <row r="9" spans="1:11">
      <c r="A9" s="31"/>
      <c r="K9" s="32"/>
    </row>
    <row r="10" spans="1:11">
      <c r="A10" s="31"/>
      <c r="K10" s="32"/>
    </row>
    <row r="11" spans="1:11">
      <c r="A11" s="31"/>
      <c r="K11" s="32"/>
    </row>
    <row r="12" spans="1:11">
      <c r="A12" s="31"/>
      <c r="K12" s="32"/>
    </row>
    <row r="13" spans="1:11">
      <c r="A13" s="31"/>
      <c r="K13" s="32"/>
    </row>
    <row r="14" spans="1:11">
      <c r="A14" s="31"/>
      <c r="K14" s="32"/>
    </row>
    <row r="15" spans="1:11">
      <c r="A15" s="31"/>
      <c r="K15" s="32"/>
    </row>
    <row r="16" spans="1:11">
      <c r="A16" s="31"/>
      <c r="K16" s="32"/>
    </row>
    <row r="17" spans="1:11">
      <c r="A17" s="31"/>
      <c r="K17" s="32"/>
    </row>
    <row r="18" spans="1:11">
      <c r="A18" s="31"/>
      <c r="K18" s="32"/>
    </row>
    <row r="19" spans="1:11">
      <c r="A19" s="31"/>
      <c r="K19" s="32"/>
    </row>
    <row r="20" spans="1:11">
      <c r="A20" s="31"/>
      <c r="K20" s="32"/>
    </row>
    <row r="21" spans="1:11">
      <c r="A21" s="31"/>
      <c r="K21" s="32"/>
    </row>
    <row r="22" spans="1:11">
      <c r="A22" s="31"/>
      <c r="K22" s="32"/>
    </row>
    <row r="23" spans="1:11">
      <c r="A23" s="31"/>
      <c r="K23" s="32"/>
    </row>
    <row r="24" spans="1:11">
      <c r="A24" s="31"/>
      <c r="K24" s="32"/>
    </row>
    <row r="25" spans="1:11">
      <c r="A25" s="31"/>
      <c r="K25" s="32"/>
    </row>
    <row r="26" spans="1:11">
      <c r="A26" s="31"/>
      <c r="K26" s="32"/>
    </row>
    <row r="27" spans="1:11">
      <c r="A27" s="31"/>
      <c r="K27" s="32"/>
    </row>
    <row r="28" spans="1:11">
      <c r="A28" s="31"/>
      <c r="K28" s="32"/>
    </row>
    <row r="29" spans="1:11">
      <c r="A29" s="31"/>
      <c r="K29" s="32"/>
    </row>
    <row r="30" spans="1:11">
      <c r="A30" s="31"/>
      <c r="K30" s="32"/>
    </row>
    <row r="31" spans="1:11">
      <c r="A31" s="31"/>
      <c r="K31" s="32"/>
    </row>
    <row r="32" spans="1:11">
      <c r="A32" s="31"/>
      <c r="K32" s="32"/>
    </row>
    <row r="33" spans="1:11">
      <c r="A33" s="31"/>
      <c r="K33" s="32"/>
    </row>
    <row r="34" spans="1:11">
      <c r="A34" s="31"/>
      <c r="K34" s="32"/>
    </row>
    <row r="35" spans="1:11">
      <c r="A35" s="31"/>
      <c r="K35" s="32"/>
    </row>
    <row r="36" spans="1:11">
      <c r="A36" s="31"/>
      <c r="K36" s="32"/>
    </row>
    <row r="37" spans="1:11">
      <c r="A37" s="31"/>
      <c r="K37" s="32"/>
    </row>
    <row r="38" spans="1:11">
      <c r="A38" s="31"/>
      <c r="K38" s="32"/>
    </row>
    <row r="39" spans="1:11">
      <c r="A39" s="31"/>
      <c r="K39" s="32"/>
    </row>
    <row r="40" spans="1:11">
      <c r="A40" s="31"/>
      <c r="K40" s="32"/>
    </row>
    <row r="41" spans="1:11">
      <c r="A41" s="31"/>
      <c r="K41" s="32"/>
    </row>
    <row r="42" spans="1:11">
      <c r="A42" s="31"/>
      <c r="K42" s="32"/>
    </row>
    <row r="43" spans="1:11">
      <c r="A43" s="31"/>
      <c r="K43" s="32"/>
    </row>
    <row r="44" spans="1:11">
      <c r="A44" s="31"/>
      <c r="K44" s="32"/>
    </row>
    <row r="45" spans="1:11">
      <c r="A45" s="31"/>
      <c r="K45" s="32"/>
    </row>
    <row r="46" spans="1:11">
      <c r="A46" s="31"/>
      <c r="K46" s="32"/>
    </row>
    <row r="47" spans="1:11">
      <c r="A47" s="31"/>
      <c r="K47" s="32"/>
    </row>
    <row r="48" spans="1:11">
      <c r="A48" s="31"/>
      <c r="K48" s="32"/>
    </row>
    <row r="49" spans="1:11">
      <c r="A49" s="31"/>
      <c r="K49" s="32"/>
    </row>
    <row r="50" spans="1:11">
      <c r="A50" s="31"/>
      <c r="K50" s="32"/>
    </row>
    <row r="51" spans="1:11">
      <c r="A51" s="31"/>
      <c r="K51" s="32"/>
    </row>
    <row r="52" spans="1:11">
      <c r="A52" s="31"/>
      <c r="K52" s="32"/>
    </row>
    <row r="53" spans="1:11">
      <c r="A53" s="31"/>
      <c r="K53" s="32"/>
    </row>
    <row r="54" spans="1:11">
      <c r="A54" s="31"/>
      <c r="K54" s="32"/>
    </row>
    <row r="55" spans="1:11">
      <c r="A55" s="31"/>
      <c r="K55" s="32"/>
    </row>
    <row r="56" spans="1:11">
      <c r="A56" s="31"/>
      <c r="K56" s="32"/>
    </row>
    <row r="57" spans="1:11">
      <c r="A57" s="31"/>
      <c r="K57" s="32"/>
    </row>
    <row r="58" spans="1:11">
      <c r="A58" s="31"/>
      <c r="K58" s="32"/>
    </row>
    <row r="59" spans="1:11">
      <c r="A59" s="31"/>
      <c r="K59" s="32"/>
    </row>
    <row r="60" spans="1:11">
      <c r="A60" s="31"/>
      <c r="K60" s="32"/>
    </row>
    <row r="61" spans="1:11">
      <c r="A61" s="31"/>
      <c r="K61" s="32"/>
    </row>
    <row r="62" spans="1:11">
      <c r="A62" s="33"/>
      <c r="B62" s="19"/>
      <c r="C62" s="19"/>
      <c r="D62" s="19"/>
      <c r="E62" s="19"/>
      <c r="F62" s="19"/>
      <c r="G62" s="19"/>
      <c r="H62" s="19"/>
      <c r="I62" s="19"/>
      <c r="J62" s="19"/>
      <c r="K62" s="34"/>
    </row>
  </sheetData>
  <phoneticPr fontId="118" type="noConversion"/>
  <printOptions horizontalCentered="1" verticalCentered="1"/>
  <pageMargins left="0" right="0" top="0" bottom="0" header="0.5" footer="0.5"/>
  <pageSetup orientation="portrait" horizontalDpi="4294967293"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BACKTOMENU">
                <anchor moveWithCells="1">
                  <from>
                    <xdr:col>11</xdr:col>
                    <xdr:colOff>612321</xdr:colOff>
                    <xdr:row>0</xdr:row>
                    <xdr:rowOff>0</xdr:rowOff>
                  </from>
                  <to>
                    <xdr:col>12</xdr:col>
                    <xdr:colOff>503464</xdr:colOff>
                    <xdr:row>1</xdr:row>
                    <xdr:rowOff>48986</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74A1-85D8-48F5-9D6A-BFF26574A90F}">
  <sheetPr codeName="Sheet35"/>
  <dimension ref="A1:J32"/>
  <sheetViews>
    <sheetView showGridLines="0" showZeros="0" zoomScale="125" workbookViewId="0">
      <selection activeCell="B9" sqref="B9:C9"/>
    </sheetView>
  </sheetViews>
  <sheetFormatPr defaultColWidth="9.15234375" defaultRowHeight="13.1"/>
  <cols>
    <col min="1" max="9" width="9.15234375" style="22"/>
    <col min="10" max="10" width="26.84375" style="22" customWidth="1"/>
    <col min="11" max="16384" width="9.15234375" style="22"/>
  </cols>
  <sheetData>
    <row r="1" spans="1:10">
      <c r="C1" s="1664">
        <f>Summary!A2</f>
        <v>0</v>
      </c>
      <c r="D1" s="1664"/>
      <c r="E1" s="1664"/>
      <c r="F1" s="1664"/>
      <c r="G1" s="1664"/>
      <c r="H1" s="1664"/>
      <c r="I1" s="1664"/>
      <c r="J1" s="1664"/>
    </row>
    <row r="4" spans="1:10">
      <c r="A4" s="1664" t="s">
        <v>633</v>
      </c>
      <c r="B4" s="1664"/>
      <c r="C4" s="1664"/>
      <c r="D4" s="1664"/>
      <c r="E4" s="1664"/>
      <c r="F4" s="1664"/>
      <c r="G4" s="1664"/>
      <c r="H4" s="1664"/>
      <c r="I4" s="1664"/>
      <c r="J4" s="1664"/>
    </row>
    <row r="6" spans="1:10">
      <c r="A6" s="1664">
        <f>Summary!C5</f>
        <v>0</v>
      </c>
      <c r="B6" s="1664"/>
      <c r="C6" s="1664"/>
      <c r="D6" s="1664"/>
      <c r="E6" s="1664"/>
      <c r="F6" s="1664"/>
      <c r="G6" s="1664"/>
      <c r="H6" s="1664"/>
      <c r="I6" s="1664"/>
      <c r="J6" s="1664"/>
    </row>
    <row r="7" spans="1:10">
      <c r="A7" s="1644">
        <f>Summary!C6</f>
        <v>0</v>
      </c>
      <c r="B7" s="1644"/>
      <c r="C7" s="1644"/>
      <c r="D7" s="1644"/>
      <c r="E7" s="1644"/>
      <c r="F7" s="1644"/>
      <c r="G7" s="1644"/>
      <c r="H7" s="1644"/>
      <c r="I7" s="1644"/>
      <c r="J7" s="1644"/>
    </row>
    <row r="8" spans="1:10">
      <c r="A8" s="4"/>
      <c r="B8" s="4"/>
      <c r="C8" s="4"/>
      <c r="D8" s="4"/>
      <c r="E8" s="4"/>
      <c r="F8" s="4"/>
      <c r="G8" s="4"/>
      <c r="H8" s="4"/>
      <c r="I8" s="4"/>
      <c r="J8" s="4"/>
    </row>
    <row r="9" spans="1:10">
      <c r="A9" s="249" t="s">
        <v>237</v>
      </c>
      <c r="B9" s="2340"/>
      <c r="C9" s="2340"/>
      <c r="D9" s="4"/>
      <c r="E9" s="4"/>
      <c r="F9" s="4"/>
      <c r="G9" s="4"/>
      <c r="H9" s="4"/>
      <c r="I9" s="4"/>
      <c r="J9" s="4"/>
    </row>
    <row r="10" spans="1:10">
      <c r="A10" s="2333" t="s">
        <v>555</v>
      </c>
      <c r="B10" s="2333"/>
      <c r="C10" s="2333"/>
      <c r="D10" s="2336"/>
      <c r="E10" s="2336"/>
      <c r="F10" s="2336"/>
      <c r="G10" s="2336"/>
      <c r="H10" s="2336"/>
    </row>
    <row r="11" spans="1:10">
      <c r="A11" s="1814" t="s">
        <v>539</v>
      </c>
      <c r="B11" s="1814"/>
      <c r="C11" s="1814"/>
      <c r="D11" s="1814"/>
      <c r="E11" s="1814"/>
      <c r="F11" s="1814"/>
      <c r="G11" s="1814"/>
      <c r="H11" s="1814"/>
      <c r="I11" s="1814"/>
      <c r="J11" s="1814"/>
    </row>
    <row r="12" spans="1:10">
      <c r="B12" s="245" t="s">
        <v>529</v>
      </c>
      <c r="C12" s="245" t="s">
        <v>529</v>
      </c>
      <c r="D12" s="247" t="s">
        <v>542</v>
      </c>
      <c r="I12" s="249" t="s">
        <v>546</v>
      </c>
    </row>
    <row r="13" spans="1:10">
      <c r="A13" s="207" t="s">
        <v>208</v>
      </c>
      <c r="B13" s="246" t="s">
        <v>540</v>
      </c>
      <c r="C13" s="246" t="s">
        <v>541</v>
      </c>
      <c r="D13" s="248" t="s">
        <v>543</v>
      </c>
      <c r="E13" s="129" t="s">
        <v>544</v>
      </c>
      <c r="F13" s="129" t="s">
        <v>545</v>
      </c>
      <c r="G13" s="1127" t="s">
        <v>368</v>
      </c>
      <c r="H13" s="1127" t="s">
        <v>370</v>
      </c>
      <c r="I13" s="250" t="s">
        <v>547</v>
      </c>
      <c r="J13" s="207" t="s">
        <v>548</v>
      </c>
    </row>
    <row r="14" spans="1:10">
      <c r="A14" s="2339"/>
      <c r="B14" s="2335"/>
      <c r="C14" s="2335"/>
      <c r="D14" s="2335"/>
      <c r="E14" s="2335"/>
      <c r="F14" s="2335"/>
      <c r="G14" s="2337">
        <f>D14+E14</f>
        <v>0</v>
      </c>
      <c r="H14" s="2337">
        <f>D14+F14</f>
        <v>0</v>
      </c>
      <c r="I14" s="2336"/>
      <c r="J14" s="1599"/>
    </row>
    <row r="15" spans="1:10">
      <c r="A15" s="2339"/>
      <c r="B15" s="2335"/>
      <c r="C15" s="2335"/>
      <c r="D15" s="2335"/>
      <c r="E15" s="2335"/>
      <c r="F15" s="2335"/>
      <c r="G15" s="2337"/>
      <c r="H15" s="2338"/>
      <c r="I15" s="2336"/>
      <c r="J15" s="1600"/>
    </row>
    <row r="16" spans="1:10">
      <c r="A16" s="2339"/>
      <c r="B16" s="2335"/>
      <c r="C16" s="2335"/>
      <c r="D16" s="2335"/>
      <c r="E16" s="2335"/>
      <c r="F16" s="2335"/>
      <c r="G16" s="2337">
        <f>D16+E16</f>
        <v>0</v>
      </c>
      <c r="H16" s="2337">
        <f>D16+F16</f>
        <v>0</v>
      </c>
      <c r="I16" s="2336"/>
      <c r="J16" s="1599"/>
    </row>
    <row r="17" spans="1:10">
      <c r="A17" s="2339"/>
      <c r="B17" s="2335"/>
      <c r="C17" s="2335"/>
      <c r="D17" s="2335"/>
      <c r="E17" s="2335"/>
      <c r="F17" s="2335"/>
      <c r="G17" s="2337"/>
      <c r="H17" s="2338"/>
      <c r="I17" s="2336"/>
      <c r="J17" s="1600"/>
    </row>
    <row r="18" spans="1:10">
      <c r="A18" s="2339"/>
      <c r="B18" s="2335"/>
      <c r="C18" s="2335"/>
      <c r="D18" s="2335"/>
      <c r="E18" s="2335"/>
      <c r="F18" s="2335"/>
      <c r="G18" s="2337">
        <f>D18+E18</f>
        <v>0</v>
      </c>
      <c r="H18" s="2337">
        <f>D18+F18</f>
        <v>0</v>
      </c>
      <c r="I18" s="2336"/>
      <c r="J18" s="1599"/>
    </row>
    <row r="19" spans="1:10">
      <c r="A19" s="2339"/>
      <c r="B19" s="2335"/>
      <c r="C19" s="2335"/>
      <c r="D19" s="2335"/>
      <c r="E19" s="2335"/>
      <c r="F19" s="2335"/>
      <c r="G19" s="2337"/>
      <c r="H19" s="2338"/>
      <c r="I19" s="2336"/>
      <c r="J19" s="1600"/>
    </row>
    <row r="20" spans="1:10">
      <c r="A20" s="2339"/>
      <c r="B20" s="2335"/>
      <c r="C20" s="2335"/>
      <c r="D20" s="2335"/>
      <c r="E20" s="2335"/>
      <c r="F20" s="2335"/>
      <c r="G20" s="2337">
        <f>D20+E20</f>
        <v>0</v>
      </c>
      <c r="H20" s="2337">
        <f>D20+F20</f>
        <v>0</v>
      </c>
      <c r="I20" s="2336"/>
      <c r="J20" s="1599"/>
    </row>
    <row r="21" spans="1:10">
      <c r="A21" s="2339"/>
      <c r="B21" s="2335"/>
      <c r="C21" s="2335"/>
      <c r="D21" s="2335"/>
      <c r="E21" s="2335"/>
      <c r="F21" s="2335"/>
      <c r="G21" s="2337"/>
      <c r="H21" s="2338"/>
      <c r="I21" s="2336"/>
      <c r="J21" s="1600"/>
    </row>
    <row r="22" spans="1:10">
      <c r="A22" s="2339"/>
      <c r="B22" s="2335"/>
      <c r="C22" s="2335"/>
      <c r="D22" s="2335"/>
      <c r="E22" s="2335"/>
      <c r="F22" s="2335"/>
      <c r="G22" s="2337">
        <f>D22+E22</f>
        <v>0</v>
      </c>
      <c r="H22" s="2337">
        <f>D22+F22</f>
        <v>0</v>
      </c>
      <c r="I22" s="2336"/>
      <c r="J22" s="1599"/>
    </row>
    <row r="23" spans="1:10">
      <c r="A23" s="2339"/>
      <c r="B23" s="2335"/>
      <c r="C23" s="2335"/>
      <c r="D23" s="2335"/>
      <c r="E23" s="2335"/>
      <c r="F23" s="2335"/>
      <c r="G23" s="2337"/>
      <c r="H23" s="2338"/>
      <c r="I23" s="2336"/>
      <c r="J23" s="1600"/>
    </row>
    <row r="24" spans="1:10">
      <c r="A24" s="2339"/>
      <c r="B24" s="2335"/>
      <c r="C24" s="2335"/>
      <c r="D24" s="2335"/>
      <c r="E24" s="2335"/>
      <c r="F24" s="2335"/>
      <c r="G24" s="2337">
        <f>D24+E24</f>
        <v>0</v>
      </c>
      <c r="H24" s="2337">
        <f>D24+F24</f>
        <v>0</v>
      </c>
      <c r="I24" s="2336"/>
      <c r="J24" s="1599"/>
    </row>
    <row r="25" spans="1:10">
      <c r="A25" s="2339"/>
      <c r="B25" s="2335"/>
      <c r="C25" s="2335"/>
      <c r="D25" s="2335"/>
      <c r="E25" s="2335"/>
      <c r="F25" s="2335"/>
      <c r="G25" s="2337"/>
      <c r="H25" s="2338"/>
      <c r="I25" s="2336"/>
      <c r="J25" s="1600"/>
    </row>
    <row r="26" spans="1:10">
      <c r="A26" s="2339"/>
      <c r="B26" s="2335"/>
      <c r="C26" s="2335"/>
      <c r="D26" s="2335"/>
      <c r="E26" s="2335"/>
      <c r="F26" s="2335"/>
      <c r="G26" s="2337">
        <f>D26+E26</f>
        <v>0</v>
      </c>
      <c r="H26" s="2337">
        <f>D26+F26</f>
        <v>0</v>
      </c>
      <c r="I26" s="2336"/>
      <c r="J26" s="1599"/>
    </row>
    <row r="27" spans="1:10">
      <c r="A27" s="2339"/>
      <c r="B27" s="2335"/>
      <c r="C27" s="2335"/>
      <c r="D27" s="2335"/>
      <c r="E27" s="2335"/>
      <c r="F27" s="2335"/>
      <c r="G27" s="2337"/>
      <c r="H27" s="2338"/>
      <c r="I27" s="2336"/>
      <c r="J27" s="1600"/>
    </row>
    <row r="28" spans="1:10">
      <c r="G28" s="501" t="s">
        <v>1261</v>
      </c>
      <c r="H28" s="649"/>
      <c r="I28" s="650">
        <f>SUM(I14:I27)</f>
        <v>0</v>
      </c>
    </row>
    <row r="29" spans="1:10">
      <c r="A29" s="2333" t="s">
        <v>556</v>
      </c>
      <c r="B29" s="2333"/>
      <c r="C29" s="2333"/>
      <c r="D29" s="2334">
        <v>0</v>
      </c>
      <c r="E29" s="2334"/>
      <c r="F29" s="1598" t="s">
        <v>118</v>
      </c>
    </row>
    <row r="30" spans="1:10">
      <c r="A30" s="2333" t="s">
        <v>148</v>
      </c>
      <c r="B30" s="2333"/>
      <c r="C30" s="2333"/>
      <c r="D30" s="2334">
        <v>0</v>
      </c>
      <c r="E30" s="2334"/>
      <c r="F30" s="1598" t="s">
        <v>557</v>
      </c>
    </row>
    <row r="31" spans="1:10">
      <c r="A31" s="2333" t="s">
        <v>147</v>
      </c>
      <c r="B31" s="2333"/>
      <c r="C31" s="2333"/>
      <c r="D31" s="2334">
        <v>0</v>
      </c>
      <c r="E31" s="2334"/>
      <c r="F31" s="1598"/>
    </row>
    <row r="32" spans="1:10">
      <c r="A32" s="2333" t="s">
        <v>149</v>
      </c>
      <c r="B32" s="2333"/>
      <c r="C32" s="2333"/>
      <c r="D32" s="2334">
        <v>0</v>
      </c>
      <c r="E32" s="2334"/>
      <c r="F32" s="22" t="s">
        <v>1262</v>
      </c>
    </row>
  </sheetData>
  <sheetProtection sheet="1" formatCells="0" formatColumns="0" formatRows="0" insertColumns="0" insertRows="0" deleteColumns="0" deleteRows="0" selectLockedCells="1"/>
  <mergeCells count="79">
    <mergeCell ref="I14:I15"/>
    <mergeCell ref="F14:F15"/>
    <mergeCell ref="E14:E15"/>
    <mergeCell ref="D14:D15"/>
    <mergeCell ref="G14:G15"/>
    <mergeCell ref="H14:H15"/>
    <mergeCell ref="A4:J4"/>
    <mergeCell ref="A6:J6"/>
    <mergeCell ref="A7:J7"/>
    <mergeCell ref="A11:J11"/>
    <mergeCell ref="A10:C10"/>
    <mergeCell ref="D10:H10"/>
    <mergeCell ref="B9:C9"/>
    <mergeCell ref="C14:C15"/>
    <mergeCell ref="B14:B15"/>
    <mergeCell ref="A14:A15"/>
    <mergeCell ref="A16:A17"/>
    <mergeCell ref="B16:B17"/>
    <mergeCell ref="C16:C17"/>
    <mergeCell ref="D16:D17"/>
    <mergeCell ref="E16:E17"/>
    <mergeCell ref="F16:F17"/>
    <mergeCell ref="I16:I17"/>
    <mergeCell ref="G16:G17"/>
    <mergeCell ref="H16:H17"/>
    <mergeCell ref="A18:A19"/>
    <mergeCell ref="B18:B19"/>
    <mergeCell ref="F18:F19"/>
    <mergeCell ref="G18:G19"/>
    <mergeCell ref="F20:F21"/>
    <mergeCell ref="G20:G21"/>
    <mergeCell ref="A20:A21"/>
    <mergeCell ref="B20:B21"/>
    <mergeCell ref="C20:C21"/>
    <mergeCell ref="D20:D21"/>
    <mergeCell ref="E20:E21"/>
    <mergeCell ref="E18:E19"/>
    <mergeCell ref="C18:C19"/>
    <mergeCell ref="D18:D19"/>
    <mergeCell ref="E22:E23"/>
    <mergeCell ref="I18:I19"/>
    <mergeCell ref="I20:I21"/>
    <mergeCell ref="H18:H19"/>
    <mergeCell ref="H20:H21"/>
    <mergeCell ref="I22:I23"/>
    <mergeCell ref="G24:G25"/>
    <mergeCell ref="H24:H25"/>
    <mergeCell ref="G22:G23"/>
    <mergeCell ref="H22:H23"/>
    <mergeCell ref="A24:A25"/>
    <mergeCell ref="B24:B25"/>
    <mergeCell ref="C24:C25"/>
    <mergeCell ref="D24:D25"/>
    <mergeCell ref="F22:F23"/>
    <mergeCell ref="A22:A23"/>
    <mergeCell ref="B22:B23"/>
    <mergeCell ref="C22:C23"/>
    <mergeCell ref="D22:D23"/>
    <mergeCell ref="H26:H27"/>
    <mergeCell ref="A26:A27"/>
    <mergeCell ref="B26:B27"/>
    <mergeCell ref="C26:C27"/>
    <mergeCell ref="D26:D27"/>
    <mergeCell ref="C1:J1"/>
    <mergeCell ref="A31:C31"/>
    <mergeCell ref="D31:E31"/>
    <mergeCell ref="A32:C32"/>
    <mergeCell ref="D32:E32"/>
    <mergeCell ref="A29:C29"/>
    <mergeCell ref="D29:E29"/>
    <mergeCell ref="A30:C30"/>
    <mergeCell ref="D30:E30"/>
    <mergeCell ref="E26:E27"/>
    <mergeCell ref="F26:F27"/>
    <mergeCell ref="I26:I27"/>
    <mergeCell ref="E24:E25"/>
    <mergeCell ref="F24:F25"/>
    <mergeCell ref="I24:I25"/>
    <mergeCell ref="G26:G27"/>
  </mergeCells>
  <phoneticPr fontId="0" type="noConversion"/>
  <pageMargins left="0.5" right="0.5" top="0.75" bottom="0.75" header="0.5" footer="0.5"/>
  <pageSetup scale="85"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770" r:id="rId4" name="Button 2">
              <controlPr defaultSize="0" print="0" autoFill="0" autoPict="0" macro="[0]!BACKTOMENU">
                <anchor moveWithCells="1">
                  <from>
                    <xdr:col>0</xdr:col>
                    <xdr:colOff>0</xdr:colOff>
                    <xdr:row>1</xdr:row>
                    <xdr:rowOff>19050</xdr:rowOff>
                  </from>
                  <to>
                    <xdr:col>0</xdr:col>
                    <xdr:colOff>547007</xdr:colOff>
                    <xdr:row>2</xdr:row>
                    <xdr:rowOff>68036</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6460955B-BB99-4BCA-8A91-32D488C0EAF6}">
          <x14:formula1>
            <xm:f>'Data Validation'!$C$9:$D$9</xm:f>
          </x14:formula1>
          <xm:sqref>F29</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8A3EF-03EA-4702-8DCC-04AE5E8E7443}">
  <sheetPr codeName="Sheet36"/>
  <dimension ref="A1:J53"/>
  <sheetViews>
    <sheetView showGridLines="0" showZeros="0" topLeftCell="A7" zoomScale="125" zoomScaleNormal="100" zoomScaleSheetLayoutView="120" workbookViewId="0">
      <selection activeCell="G11" sqref="G11"/>
    </sheetView>
  </sheetViews>
  <sheetFormatPr defaultColWidth="8.84375" defaultRowHeight="13.1"/>
  <cols>
    <col min="1" max="16384" width="8.84375" style="22"/>
  </cols>
  <sheetData>
    <row r="1" spans="1:10">
      <c r="C1" s="1664">
        <f>Summary!A2</f>
        <v>0</v>
      </c>
      <c r="D1" s="1664"/>
      <c r="E1" s="1664"/>
      <c r="F1" s="1664"/>
      <c r="G1" s="1664"/>
      <c r="H1" s="1664"/>
      <c r="I1" s="1664"/>
    </row>
    <row r="2" spans="1:10">
      <c r="C2" s="1664"/>
      <c r="D2" s="1664"/>
      <c r="E2" s="1664"/>
      <c r="F2" s="1664"/>
      <c r="G2" s="1664"/>
      <c r="H2" s="1664"/>
      <c r="I2" s="1664"/>
    </row>
    <row r="4" spans="1:10">
      <c r="A4" s="2345">
        <f>Summary!C5</f>
        <v>0</v>
      </c>
      <c r="B4" s="2345"/>
      <c r="C4" s="2345"/>
      <c r="D4" s="2345"/>
      <c r="E4" s="2345"/>
      <c r="F4" s="2345"/>
      <c r="G4" s="2345"/>
      <c r="H4" s="2345"/>
      <c r="I4" s="2345"/>
      <c r="J4" s="2345"/>
    </row>
    <row r="5" spans="1:10">
      <c r="A5" s="2345">
        <f>Summary!C6</f>
        <v>0</v>
      </c>
      <c r="B5" s="2345"/>
      <c r="C5" s="2345"/>
      <c r="D5" s="2345"/>
      <c r="E5" s="2345"/>
      <c r="F5" s="2345"/>
      <c r="G5" s="2345"/>
      <c r="H5" s="2345"/>
      <c r="I5" s="2345"/>
      <c r="J5" s="2345"/>
    </row>
    <row r="6" spans="1:10">
      <c r="A6" s="2343" t="s">
        <v>358</v>
      </c>
      <c r="B6" s="2343"/>
      <c r="C6" s="2343"/>
      <c r="D6" s="2343"/>
      <c r="E6" s="2343"/>
      <c r="F6" s="2343"/>
      <c r="G6" s="2343"/>
      <c r="H6" s="2343"/>
      <c r="I6" s="2343"/>
      <c r="J6" s="2343"/>
    </row>
    <row r="8" spans="1:10">
      <c r="A8" s="22" t="s">
        <v>221</v>
      </c>
      <c r="B8" s="2346"/>
      <c r="C8" s="2346"/>
    </row>
    <row r="10" spans="1:10" s="149" customFormat="1">
      <c r="A10" s="191" t="s">
        <v>187</v>
      </c>
      <c r="B10" s="191"/>
      <c r="E10" s="191" t="s">
        <v>156</v>
      </c>
      <c r="G10" s="2343" t="s">
        <v>373</v>
      </c>
      <c r="H10" s="2343"/>
      <c r="I10" s="2343"/>
    </row>
    <row r="11" spans="1:10">
      <c r="A11" s="160"/>
      <c r="B11" s="160"/>
      <c r="C11" s="160"/>
      <c r="D11" s="160"/>
      <c r="E11" s="161">
        <v>0</v>
      </c>
      <c r="H11" s="161">
        <f>E25-E11</f>
        <v>0</v>
      </c>
    </row>
    <row r="12" spans="1:10">
      <c r="A12" s="160"/>
      <c r="B12" s="160"/>
      <c r="C12" s="160"/>
      <c r="D12" s="160"/>
      <c r="E12" s="161">
        <v>0</v>
      </c>
      <c r="H12" s="161">
        <f t="shared" ref="H12:H21" si="0">H11-E12</f>
        <v>0</v>
      </c>
    </row>
    <row r="13" spans="1:10">
      <c r="A13" s="160"/>
      <c r="B13" s="160"/>
      <c r="C13" s="160"/>
      <c r="D13" s="160"/>
      <c r="E13" s="161">
        <v>0</v>
      </c>
      <c r="H13" s="161">
        <f t="shared" si="0"/>
        <v>0</v>
      </c>
    </row>
    <row r="14" spans="1:10">
      <c r="A14" s="160"/>
      <c r="B14" s="160"/>
      <c r="C14" s="160"/>
      <c r="D14" s="160"/>
      <c r="E14" s="161">
        <v>0</v>
      </c>
      <c r="H14" s="161">
        <f t="shared" si="0"/>
        <v>0</v>
      </c>
    </row>
    <row r="15" spans="1:10">
      <c r="A15" s="160"/>
      <c r="B15" s="160"/>
      <c r="C15" s="160"/>
      <c r="D15" s="160"/>
      <c r="E15" s="161">
        <v>0</v>
      </c>
      <c r="H15" s="161">
        <f t="shared" si="0"/>
        <v>0</v>
      </c>
    </row>
    <row r="16" spans="1:10">
      <c r="A16" s="160"/>
      <c r="B16" s="160"/>
      <c r="C16" s="160"/>
      <c r="D16" s="160"/>
      <c r="E16" s="161">
        <v>0</v>
      </c>
      <c r="H16" s="161">
        <f t="shared" si="0"/>
        <v>0</v>
      </c>
    </row>
    <row r="17" spans="1:10">
      <c r="A17" s="160"/>
      <c r="B17" s="160"/>
      <c r="C17" s="160"/>
      <c r="D17" s="160"/>
      <c r="E17" s="161">
        <v>0</v>
      </c>
      <c r="H17" s="161">
        <f t="shared" si="0"/>
        <v>0</v>
      </c>
    </row>
    <row r="18" spans="1:10">
      <c r="A18" s="160"/>
      <c r="B18" s="160"/>
      <c r="C18" s="160"/>
      <c r="D18" s="160"/>
      <c r="E18" s="161">
        <v>0</v>
      </c>
      <c r="H18" s="161">
        <f t="shared" si="0"/>
        <v>0</v>
      </c>
    </row>
    <row r="19" spans="1:10">
      <c r="A19" s="160"/>
      <c r="B19" s="160"/>
      <c r="C19" s="160"/>
      <c r="D19" s="160"/>
      <c r="E19" s="161">
        <v>0</v>
      </c>
      <c r="H19" s="161">
        <f t="shared" si="0"/>
        <v>0</v>
      </c>
    </row>
    <row r="20" spans="1:10">
      <c r="A20" s="160"/>
      <c r="B20" s="160"/>
      <c r="C20" s="160"/>
      <c r="D20" s="160"/>
      <c r="E20" s="161">
        <v>0</v>
      </c>
      <c r="H20" s="161">
        <f t="shared" si="0"/>
        <v>0</v>
      </c>
    </row>
    <row r="21" spans="1:10">
      <c r="A21" s="160"/>
      <c r="B21" s="160"/>
      <c r="C21" s="160"/>
      <c r="D21" s="160"/>
      <c r="E21" s="161">
        <v>0</v>
      </c>
      <c r="H21" s="161">
        <f t="shared" si="0"/>
        <v>0</v>
      </c>
    </row>
    <row r="22" spans="1:10">
      <c r="A22" s="160"/>
      <c r="B22" s="160"/>
      <c r="C22" s="160"/>
      <c r="D22" s="160"/>
      <c r="E22" s="161">
        <v>0</v>
      </c>
      <c r="H22" s="161">
        <v>0</v>
      </c>
    </row>
    <row r="23" spans="1:10">
      <c r="A23" s="160"/>
      <c r="B23" s="160"/>
      <c r="C23" s="160"/>
      <c r="D23" s="160"/>
      <c r="E23" s="161">
        <v>0</v>
      </c>
      <c r="H23" s="161">
        <v>0</v>
      </c>
    </row>
    <row r="24" spans="1:10" s="149" customFormat="1">
      <c r="A24" s="198"/>
      <c r="B24" s="198" t="s">
        <v>372</v>
      </c>
      <c r="C24" s="198"/>
      <c r="D24" s="198"/>
      <c r="E24" s="199">
        <f>Summary!E146</f>
        <v>0</v>
      </c>
      <c r="H24" s="165">
        <v>0</v>
      </c>
    </row>
    <row r="25" spans="1:10">
      <c r="A25" s="160"/>
      <c r="B25" s="160"/>
      <c r="C25" s="160" t="s">
        <v>359</v>
      </c>
      <c r="D25" s="160"/>
      <c r="E25" s="161">
        <f>SUM(E11:E24)</f>
        <v>0</v>
      </c>
      <c r="F25" s="163" t="s">
        <v>360</v>
      </c>
      <c r="H25" s="161"/>
    </row>
    <row r="26" spans="1:10">
      <c r="A26" s="160"/>
      <c r="B26" s="160"/>
      <c r="C26" s="160"/>
      <c r="D26" s="160"/>
    </row>
    <row r="27" spans="1:10">
      <c r="A27" s="2344" t="s">
        <v>361</v>
      </c>
      <c r="B27" s="2344"/>
      <c r="C27" s="2344"/>
      <c r="D27" s="2344"/>
      <c r="E27" s="2344"/>
      <c r="F27" s="2344"/>
      <c r="G27" s="2344"/>
      <c r="H27" s="2344"/>
      <c r="I27" s="2344"/>
      <c r="J27" s="2344"/>
    </row>
    <row r="28" spans="1:10">
      <c r="A28" s="160" t="s">
        <v>362</v>
      </c>
      <c r="B28" s="160"/>
      <c r="C28" s="160"/>
      <c r="D28" s="1381" t="s">
        <v>365</v>
      </c>
      <c r="E28" s="336"/>
      <c r="F28" s="336" t="s">
        <v>366</v>
      </c>
      <c r="G28" s="37"/>
      <c r="H28" s="208" t="s">
        <v>367</v>
      </c>
      <c r="I28" s="2341" t="s">
        <v>405</v>
      </c>
      <c r="J28" s="2341"/>
    </row>
    <row r="29" spans="1:10">
      <c r="A29" s="160"/>
      <c r="B29" s="160" t="s">
        <v>363</v>
      </c>
      <c r="C29" s="160"/>
      <c r="D29" s="167">
        <v>0</v>
      </c>
      <c r="E29" s="161"/>
      <c r="F29" s="167">
        <v>0</v>
      </c>
      <c r="G29" s="161"/>
      <c r="H29" s="161">
        <v>0</v>
      </c>
      <c r="I29" s="2342" t="str">
        <f>IF(F29&lt;D29,"ADDITION",IF(F29=D29," ","SUBTRACTION"))</f>
        <v xml:space="preserve"> </v>
      </c>
      <c r="J29" s="2342"/>
    </row>
    <row r="30" spans="1:10">
      <c r="A30" s="160"/>
      <c r="B30" s="160" t="s">
        <v>364</v>
      </c>
      <c r="C30" s="160"/>
      <c r="D30" s="162">
        <v>0</v>
      </c>
      <c r="E30" s="161"/>
      <c r="F30" s="162">
        <f>D30</f>
        <v>0</v>
      </c>
      <c r="G30" s="161"/>
      <c r="H30" s="162">
        <f>D30</f>
        <v>0</v>
      </c>
      <c r="I30" s="2342">
        <f>IF(I29="ADDITION",D29-F29,IF(I29="SUBTRACTION",F29-D29,0))</f>
        <v>0</v>
      </c>
      <c r="J30" s="2342"/>
    </row>
    <row r="31" spans="1:10">
      <c r="A31" s="160" t="s">
        <v>368</v>
      </c>
      <c r="B31" s="160"/>
      <c r="C31" s="160"/>
      <c r="D31" s="165">
        <f>D29+D30</f>
        <v>0</v>
      </c>
      <c r="E31" s="161"/>
      <c r="F31" s="165">
        <f>F29+F30</f>
        <v>0</v>
      </c>
      <c r="G31" s="161"/>
      <c r="H31" s="165">
        <f>H29+H30</f>
        <v>0</v>
      </c>
    </row>
    <row r="32" spans="1:10">
      <c r="A32" s="160"/>
      <c r="B32" s="164" t="s">
        <v>369</v>
      </c>
      <c r="C32" s="160"/>
      <c r="D32" s="162">
        <v>0</v>
      </c>
      <c r="E32" s="161"/>
      <c r="F32" s="162">
        <f>D32</f>
        <v>0</v>
      </c>
      <c r="G32" s="161"/>
      <c r="H32" s="162">
        <f>D32</f>
        <v>0</v>
      </c>
    </row>
    <row r="33" spans="1:8">
      <c r="A33" s="160" t="s">
        <v>370</v>
      </c>
      <c r="B33" s="160"/>
      <c r="C33" s="160"/>
      <c r="D33" s="165">
        <f>D31+D32</f>
        <v>0</v>
      </c>
      <c r="E33" s="161"/>
      <c r="F33" s="165">
        <f>F31+F32</f>
        <v>0</v>
      </c>
      <c r="G33" s="161"/>
      <c r="H33" s="165">
        <f>H31+H32</f>
        <v>0</v>
      </c>
    </row>
    <row r="34" spans="1:8">
      <c r="A34" s="160"/>
      <c r="B34" s="160"/>
      <c r="C34" s="160"/>
      <c r="D34" s="1381" t="s">
        <v>365</v>
      </c>
      <c r="E34" s="336"/>
      <c r="F34" s="336" t="s">
        <v>366</v>
      </c>
      <c r="G34" s="37"/>
      <c r="H34" s="208" t="s">
        <v>367</v>
      </c>
    </row>
    <row r="35" spans="1:8">
      <c r="A35" s="160"/>
      <c r="B35" s="160" t="s">
        <v>371</v>
      </c>
      <c r="C35" s="160"/>
      <c r="D35" s="188">
        <f>IF(F35=0,0,D29)</f>
        <v>0</v>
      </c>
      <c r="E35" s="161"/>
      <c r="F35" s="167">
        <v>0</v>
      </c>
      <c r="G35" s="161"/>
      <c r="H35" s="167"/>
    </row>
    <row r="36" spans="1:8">
      <c r="A36" s="160"/>
      <c r="B36" s="160" t="s">
        <v>364</v>
      </c>
      <c r="C36" s="160"/>
      <c r="D36" s="162">
        <f>IF(F35=0,0,D30)</f>
        <v>0</v>
      </c>
      <c r="E36" s="161"/>
      <c r="F36" s="162">
        <f>IF(F35=0,0,F30)</f>
        <v>0</v>
      </c>
      <c r="G36" s="161"/>
      <c r="H36" s="162">
        <f>IF(H35=0,0,H30)</f>
        <v>0</v>
      </c>
    </row>
    <row r="37" spans="1:8">
      <c r="A37" s="160" t="s">
        <v>368</v>
      </c>
      <c r="B37" s="160"/>
      <c r="C37" s="160"/>
      <c r="D37" s="166">
        <f>D35+D36</f>
        <v>0</v>
      </c>
      <c r="E37" s="161"/>
      <c r="F37" s="166">
        <f>F35+F36</f>
        <v>0</v>
      </c>
      <c r="G37" s="161"/>
      <c r="H37" s="166">
        <f>H35+H36</f>
        <v>0</v>
      </c>
    </row>
    <row r="38" spans="1:8">
      <c r="A38" s="160"/>
      <c r="B38" s="164" t="s">
        <v>369</v>
      </c>
      <c r="C38" s="160"/>
      <c r="D38" s="162">
        <f>IF(F35=0,0,D32)</f>
        <v>0</v>
      </c>
      <c r="E38" s="161"/>
      <c r="F38" s="162">
        <f>IF(F35=0,0,F32)</f>
        <v>0</v>
      </c>
      <c r="G38" s="161"/>
      <c r="H38" s="162">
        <f>IF(H36=0,0,D32)</f>
        <v>0</v>
      </c>
    </row>
    <row r="39" spans="1:8">
      <c r="A39" s="160" t="s">
        <v>370</v>
      </c>
      <c r="B39" s="160"/>
      <c r="C39" s="160"/>
      <c r="D39" s="166">
        <f>D37+D38</f>
        <v>0</v>
      </c>
      <c r="E39" s="161"/>
      <c r="F39" s="166">
        <f>F37+F38</f>
        <v>0</v>
      </c>
      <c r="G39" s="161"/>
      <c r="H39" s="166">
        <f>H37+H38</f>
        <v>0</v>
      </c>
    </row>
    <row r="40" spans="1:8">
      <c r="A40" s="160"/>
      <c r="B40" s="160"/>
      <c r="C40" s="160"/>
      <c r="D40" s="160"/>
    </row>
    <row r="41" spans="1:8">
      <c r="A41" s="160"/>
      <c r="B41" s="160"/>
      <c r="C41" s="160"/>
      <c r="D41" s="160"/>
    </row>
    <row r="42" spans="1:8">
      <c r="A42" s="160"/>
      <c r="B42" s="160"/>
      <c r="C42" s="160"/>
      <c r="D42" s="160"/>
    </row>
    <row r="43" spans="1:8">
      <c r="A43" s="160"/>
      <c r="B43" s="160"/>
      <c r="C43" s="160"/>
      <c r="D43" s="160"/>
    </row>
    <row r="44" spans="1:8">
      <c r="A44" s="160"/>
      <c r="B44" s="160"/>
      <c r="C44" s="160"/>
      <c r="D44" s="160"/>
    </row>
    <row r="45" spans="1:8">
      <c r="A45" s="160"/>
      <c r="B45" s="160"/>
      <c r="C45" s="160"/>
      <c r="D45" s="160"/>
    </row>
    <row r="46" spans="1:8">
      <c r="A46" s="160"/>
      <c r="B46" s="160"/>
      <c r="C46" s="160"/>
      <c r="D46" s="160"/>
    </row>
    <row r="47" spans="1:8">
      <c r="A47" s="160"/>
      <c r="B47" s="160"/>
      <c r="C47" s="160"/>
      <c r="D47" s="160"/>
    </row>
    <row r="48" spans="1:8">
      <c r="A48" s="160"/>
      <c r="B48" s="160"/>
      <c r="C48" s="160"/>
      <c r="D48" s="160"/>
    </row>
    <row r="49" spans="1:4">
      <c r="A49" s="160"/>
      <c r="B49" s="160"/>
      <c r="C49" s="160"/>
      <c r="D49" s="160"/>
    </row>
    <row r="50" spans="1:4">
      <c r="A50" s="160"/>
      <c r="B50" s="160"/>
      <c r="C50" s="160"/>
      <c r="D50" s="160"/>
    </row>
    <row r="51" spans="1:4">
      <c r="A51" s="160"/>
      <c r="B51" s="160"/>
      <c r="C51" s="160"/>
      <c r="D51" s="160"/>
    </row>
    <row r="52" spans="1:4">
      <c r="A52" s="160"/>
      <c r="B52" s="160"/>
      <c r="C52" s="160"/>
      <c r="D52" s="160"/>
    </row>
    <row r="53" spans="1:4">
      <c r="A53" s="160"/>
      <c r="B53" s="160"/>
      <c r="C53" s="160"/>
      <c r="D53" s="160"/>
    </row>
  </sheetData>
  <mergeCells count="10">
    <mergeCell ref="C1:I2"/>
    <mergeCell ref="I28:J28"/>
    <mergeCell ref="I29:J29"/>
    <mergeCell ref="I30:J30"/>
    <mergeCell ref="G10:I10"/>
    <mergeCell ref="A27:J27"/>
    <mergeCell ref="A4:J4"/>
    <mergeCell ref="A5:J5"/>
    <mergeCell ref="A6:J6"/>
    <mergeCell ref="B8:C8"/>
  </mergeCells>
  <phoneticPr fontId="0" type="noConversion"/>
  <pageMargins left="0.75" right="0" top="0" bottom="0" header="0" footer="0"/>
  <pageSetup orientation="portrait" horizontalDpi="360"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31" r:id="rId4" name="Button 3">
              <controlPr defaultSize="0" print="0" autoFill="0" autoPict="0" macro="[0]!BACKTOMENU">
                <anchor moveWithCells="1">
                  <from>
                    <xdr:col>0</xdr:col>
                    <xdr:colOff>29936</xdr:colOff>
                    <xdr:row>0</xdr:row>
                    <xdr:rowOff>19050</xdr:rowOff>
                  </from>
                  <to>
                    <xdr:col>0</xdr:col>
                    <xdr:colOff>574221</xdr:colOff>
                    <xdr:row>1</xdr:row>
                    <xdr:rowOff>68036</xdr:rowOff>
                  </to>
                </anchor>
              </controlPr>
            </control>
          </mc:Choice>
        </mc:AlternateContent>
        <mc:AlternateContent xmlns:mc="http://schemas.openxmlformats.org/markup-compatibility/2006">
          <mc:Choice Requires="x14">
            <control shapeId="22532" r:id="rId5" name="Button 4">
              <controlPr defaultSize="0" print="0" autoFill="0" autoPict="0" macro="[0]!GoToDepthCalc">
                <anchor moveWithCells="1">
                  <from>
                    <xdr:col>0</xdr:col>
                    <xdr:colOff>29936</xdr:colOff>
                    <xdr:row>1</xdr:row>
                    <xdr:rowOff>97971</xdr:rowOff>
                  </from>
                  <to>
                    <xdr:col>1</xdr:col>
                    <xdr:colOff>261257</xdr:colOff>
                    <xdr:row>2</xdr:row>
                    <xdr:rowOff>146957</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9AEF4EFC-49B5-464B-A24C-4544F54E2CE3}">
          <x14:formula1>
            <xm:f>'Data Validation'!$C$7:$D$7</xm:f>
          </x14:formula1>
          <xm:sqref>F25</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46539-986B-4298-9561-289E2C012707}">
  <sheetPr codeName="Sheet37"/>
  <dimension ref="A1:I50"/>
  <sheetViews>
    <sheetView showGridLines="0" showZeros="0" zoomScale="145" workbookViewId="0">
      <selection activeCell="B34" sqref="B34"/>
    </sheetView>
  </sheetViews>
  <sheetFormatPr defaultColWidth="9.15234375" defaultRowHeight="13.1"/>
  <cols>
    <col min="1" max="16384" width="9.15234375" style="22"/>
  </cols>
  <sheetData>
    <row r="1" spans="1:9">
      <c r="A1" s="2359">
        <f>Summary!C5</f>
        <v>0</v>
      </c>
      <c r="B1" s="2360"/>
      <c r="C1" s="2360"/>
      <c r="D1" s="2360"/>
      <c r="E1" s="2360"/>
      <c r="F1" s="2360"/>
      <c r="G1" s="2360"/>
      <c r="H1" s="2360"/>
      <c r="I1" s="2361"/>
    </row>
    <row r="2" spans="1:9">
      <c r="A2" s="1793">
        <f>Summary!C6</f>
        <v>0</v>
      </c>
      <c r="B2" s="1664"/>
      <c r="C2" s="1664"/>
      <c r="D2" s="1664"/>
      <c r="E2" s="1664"/>
      <c r="F2" s="1664"/>
      <c r="G2" s="1664"/>
      <c r="H2" s="1664"/>
      <c r="I2" s="1794"/>
    </row>
    <row r="3" spans="1:9">
      <c r="A3" s="1934" t="s">
        <v>423</v>
      </c>
      <c r="B3" s="1644"/>
      <c r="C3" s="1644"/>
      <c r="D3" s="1644"/>
      <c r="E3" s="1644"/>
      <c r="F3" s="1644"/>
      <c r="G3" s="1644"/>
      <c r="H3" s="1644"/>
      <c r="I3" s="1935"/>
    </row>
    <row r="4" spans="1:9">
      <c r="A4" s="137"/>
      <c r="I4" s="144"/>
    </row>
    <row r="5" spans="1:9">
      <c r="A5" s="202" t="s">
        <v>424</v>
      </c>
      <c r="D5" s="203" t="s">
        <v>425</v>
      </c>
      <c r="H5" s="203" t="s">
        <v>222</v>
      </c>
      <c r="I5" s="144"/>
    </row>
    <row r="6" spans="1:9">
      <c r="A6" s="204" t="s">
        <v>134</v>
      </c>
      <c r="B6" s="200">
        <f>Summary!D12</f>
        <v>0</v>
      </c>
      <c r="C6" s="22" t="s">
        <v>1527</v>
      </c>
      <c r="D6" s="131" t="s">
        <v>173</v>
      </c>
      <c r="E6" s="2362">
        <v>0</v>
      </c>
      <c r="F6" s="2363"/>
      <c r="G6" s="22" t="s">
        <v>360</v>
      </c>
      <c r="H6" s="22">
        <f>Summary!C32</f>
        <v>0</v>
      </c>
      <c r="I6" s="144"/>
    </row>
    <row r="7" spans="1:9">
      <c r="A7" s="204" t="s">
        <v>135</v>
      </c>
      <c r="B7" s="200">
        <f>Summary!F12</f>
        <v>0</v>
      </c>
      <c r="C7" s="22" t="str">
        <f>C6</f>
        <v>ft</v>
      </c>
      <c r="D7" s="131" t="s">
        <v>172</v>
      </c>
      <c r="E7" s="2366">
        <v>0</v>
      </c>
      <c r="F7" s="2367"/>
      <c r="G7" s="22" t="str">
        <f>G6</f>
        <v>mKB</v>
      </c>
      <c r="H7" s="203" t="s">
        <v>477</v>
      </c>
      <c r="I7" s="144"/>
    </row>
    <row r="8" spans="1:9">
      <c r="A8" s="204" t="s">
        <v>136</v>
      </c>
      <c r="B8" s="200">
        <f>Summary!H12</f>
        <v>0</v>
      </c>
      <c r="C8" s="22" t="str">
        <f>C7</f>
        <v>ft</v>
      </c>
      <c r="D8" s="2382" t="s">
        <v>459</v>
      </c>
      <c r="E8" s="2382"/>
      <c r="F8" s="129">
        <v>0</v>
      </c>
      <c r="G8" s="2378">
        <f>Summary!C19</f>
        <v>0</v>
      </c>
      <c r="H8" s="2379"/>
      <c r="I8" s="2380"/>
    </row>
    <row r="9" spans="1:9">
      <c r="A9" s="2376" t="str">
        <f>IF(G20="Yes","GENERIC PROGRAM STOPS","CALCULATED STOPS")</f>
        <v>CALCULATED STOPS</v>
      </c>
      <c r="B9" s="1779"/>
      <c r="C9" s="2377"/>
      <c r="D9" s="2382" t="s">
        <v>460</v>
      </c>
      <c r="E9" s="2382"/>
      <c r="F9" s="129" t="s">
        <v>461</v>
      </c>
      <c r="H9" s="203" t="s">
        <v>169</v>
      </c>
      <c r="I9" s="243">
        <f>Summary!C23</f>
        <v>0</v>
      </c>
    </row>
    <row r="10" spans="1:9" ht="13.75" thickBot="1">
      <c r="A10" s="2368" t="s">
        <v>454</v>
      </c>
      <c r="B10" s="2369"/>
      <c r="C10" s="2369"/>
      <c r="D10" s="2369"/>
      <c r="E10" s="2369"/>
      <c r="F10" s="2369"/>
      <c r="G10" s="2369"/>
      <c r="H10" s="2369"/>
      <c r="I10" s="2370"/>
    </row>
    <row r="11" spans="1:9">
      <c r="A11" s="205" t="s">
        <v>455</v>
      </c>
      <c r="B11" s="2333" t="s">
        <v>1600</v>
      </c>
      <c r="C11" s="1872"/>
      <c r="D11" s="1127" t="s">
        <v>1474</v>
      </c>
      <c r="E11" s="2347" t="s">
        <v>456</v>
      </c>
      <c r="F11" s="2347"/>
      <c r="G11" s="2347"/>
      <c r="H11" s="2348"/>
      <c r="I11" s="144"/>
    </row>
    <row r="12" spans="1:9" ht="13.75" thickBot="1">
      <c r="A12" s="205">
        <f>IF(G23&gt;0,G23,1)</f>
        <v>1</v>
      </c>
      <c r="B12" s="2333" t="str">
        <f>IF(A12&gt;0,"Surface"," ")</f>
        <v>Surface</v>
      </c>
      <c r="C12" s="1872"/>
      <c r="D12" s="129">
        <v>5</v>
      </c>
      <c r="E12" s="2374"/>
      <c r="F12" s="2374"/>
      <c r="G12" s="2374"/>
      <c r="H12" s="2375"/>
      <c r="I12" s="144"/>
    </row>
    <row r="13" spans="1:9" ht="13.75" thickBot="1">
      <c r="A13" s="205">
        <f t="shared" ref="A13:A22" si="0">IF(B13&gt;0,A12+1,0)</f>
        <v>0</v>
      </c>
      <c r="B13" s="2353">
        <f>IF(G20="No",((E7-E6)/2+E6-B8)*E24,(((E7-E6)/2)+E6-B8)*0.25)</f>
        <v>0</v>
      </c>
      <c r="C13" s="2354"/>
      <c r="D13" s="129">
        <v>5</v>
      </c>
      <c r="E13" s="487" t="s">
        <v>976</v>
      </c>
      <c r="G13" s="488">
        <f>IF(Summary!E147&lt;0,"No Tubing",Summary!E147)</f>
        <v>0</v>
      </c>
      <c r="I13" s="144"/>
    </row>
    <row r="14" spans="1:9">
      <c r="A14" s="205">
        <f t="shared" si="0"/>
        <v>0</v>
      </c>
      <c r="B14" s="2353">
        <f>IF(G20="No",((E7-E6)/2)+(E6-B8)*E25,(((E7-E6)/2)+E6-B8)*0.5)</f>
        <v>0</v>
      </c>
      <c r="C14" s="2354"/>
      <c r="D14" s="129">
        <v>5</v>
      </c>
      <c r="E14" s="2347" t="str">
        <f>IF(F8="x","Time on Surface","Time on Bottom")</f>
        <v>Time on Bottom</v>
      </c>
      <c r="F14" s="2347"/>
      <c r="G14" s="2347"/>
      <c r="H14" s="2348"/>
      <c r="I14" s="144"/>
    </row>
    <row r="15" spans="1:9" ht="13.75" thickBot="1">
      <c r="A15" s="205">
        <f t="shared" si="0"/>
        <v>0</v>
      </c>
      <c r="B15" s="2353">
        <f>IF(G20="No",((E7-E6)/2+E6-B8)*E26,(((E7-E6)/2)+E6-B8)*0.6)</f>
        <v>0</v>
      </c>
      <c r="C15" s="2354"/>
      <c r="D15" s="129">
        <v>5</v>
      </c>
      <c r="E15" s="2349"/>
      <c r="F15" s="2349"/>
      <c r="G15" s="2349"/>
      <c r="H15" s="2350"/>
      <c r="I15" s="144"/>
    </row>
    <row r="16" spans="1:9" ht="13.75" thickBot="1">
      <c r="A16" s="205">
        <f t="shared" si="0"/>
        <v>0</v>
      </c>
      <c r="B16" s="2353">
        <f>IF(G20="No",((E7-E6)/2+E6-B8)*E27,(((E7-E6)/2)+E6-B8)*0.7)</f>
        <v>0</v>
      </c>
      <c r="C16" s="2354"/>
      <c r="D16" s="129">
        <v>5</v>
      </c>
      <c r="E16" s="487" t="s">
        <v>1475</v>
      </c>
      <c r="G16" s="2364"/>
      <c r="H16" s="2365"/>
      <c r="I16" s="144"/>
    </row>
    <row r="17" spans="1:9">
      <c r="A17" s="205">
        <f t="shared" si="0"/>
        <v>0</v>
      </c>
      <c r="B17" s="2353">
        <f>IF(G20="No",((E7-E6)/2+E6-B8)*E28,(((E7-E6)/2)+E6-B8)*0.75)</f>
        <v>0</v>
      </c>
      <c r="C17" s="2354"/>
      <c r="D17" s="129">
        <v>5</v>
      </c>
      <c r="E17" s="2347" t="s">
        <v>457</v>
      </c>
      <c r="F17" s="2347"/>
      <c r="G17" s="2347"/>
      <c r="H17" s="2348"/>
      <c r="I17" s="144"/>
    </row>
    <row r="18" spans="1:9" ht="13.75" thickBot="1">
      <c r="A18" s="205">
        <f t="shared" si="0"/>
        <v>0</v>
      </c>
      <c r="B18" s="2353">
        <f>IF(G20="No",((E7-E6)/2+E6-B8)*E29,(((E7-E6)/2)+E6-B8)*0.8)</f>
        <v>0</v>
      </c>
      <c r="C18" s="2354"/>
      <c r="D18" s="129">
        <v>5</v>
      </c>
      <c r="E18" s="2351"/>
      <c r="F18" s="2351"/>
      <c r="G18" s="2351"/>
      <c r="H18" s="2352"/>
      <c r="I18" s="144"/>
    </row>
    <row r="19" spans="1:9">
      <c r="A19" s="205">
        <f t="shared" si="0"/>
        <v>0</v>
      </c>
      <c r="B19" s="2353">
        <f>IF(G20="No",((E7-E6)/2+E6-B8)*E30,(((E7-E6)/2)+E6-B8)*0.85)</f>
        <v>0</v>
      </c>
      <c r="C19" s="2354"/>
      <c r="D19" s="129">
        <v>5</v>
      </c>
      <c r="I19" s="144"/>
    </row>
    <row r="20" spans="1:9">
      <c r="A20" s="205">
        <f t="shared" si="0"/>
        <v>0</v>
      </c>
      <c r="B20" s="2353">
        <f>IF(G20="No",((E7-E6)/2+E6-B8)*E31,(((E7-E6)/2)+E6-B8)*0.9)</f>
        <v>0</v>
      </c>
      <c r="C20" s="2354"/>
      <c r="D20" s="129">
        <v>5</v>
      </c>
      <c r="E20" s="2381" t="s">
        <v>458</v>
      </c>
      <c r="F20" s="2382"/>
      <c r="G20" s="129" t="s">
        <v>418</v>
      </c>
      <c r="I20" s="144"/>
    </row>
    <row r="21" spans="1:9">
      <c r="A21" s="205">
        <f t="shared" si="0"/>
        <v>0</v>
      </c>
      <c r="B21" s="2353">
        <f>IF(G20="No",((E7-E6)/2+E6-B8)*E32,(((E7-E6)/2)+E6-B8)*0.95)</f>
        <v>0</v>
      </c>
      <c r="C21" s="2354"/>
      <c r="D21" s="129">
        <v>5</v>
      </c>
      <c r="E21" s="2381" t="str">
        <f>IF(G20="Yes","Program Stops","Program Stops")</f>
        <v>Program Stops</v>
      </c>
      <c r="F21" s="2382"/>
      <c r="G21" s="207"/>
      <c r="I21" s="144"/>
    </row>
    <row r="22" spans="1:9" ht="13.75" thickBot="1">
      <c r="A22" s="241">
        <f t="shared" si="0"/>
        <v>0</v>
      </c>
      <c r="B22" s="2355">
        <f>IF(G20="No",((E7-E6)/2+E6-B8)*E33,(((E7-E6)/2)+E6-B8)*0.975)</f>
        <v>0</v>
      </c>
      <c r="C22" s="2356"/>
      <c r="D22" s="129">
        <v>5</v>
      </c>
      <c r="E22" s="2371" t="str">
        <f>IF(E21="Program Stops","Percent Depth MPOP"," ")</f>
        <v>Percent Depth MPOP</v>
      </c>
      <c r="F22" s="2372"/>
      <c r="G22" s="2373" t="str">
        <f>IF(E22="Percent Depth MPOP","Stop Number"," ")</f>
        <v>Stop Number</v>
      </c>
      <c r="H22" s="2373"/>
      <c r="I22" s="1127" t="s">
        <v>1474</v>
      </c>
    </row>
    <row r="23" spans="1:9" ht="13.75" thickBot="1">
      <c r="A23" s="242" t="str">
        <f>IF(G20="Yes","MPOP:","MPOP:")</f>
        <v>MPOP:</v>
      </c>
      <c r="B23" s="2357">
        <f>IF(A23="MPOP:",(E7-E6)/2+E6-B8,0)</f>
        <v>0</v>
      </c>
      <c r="C23" s="2358"/>
      <c r="D23" s="129">
        <v>15</v>
      </c>
      <c r="E23" s="2383" t="str">
        <f>IF(G20="No","Surface"," ")</f>
        <v>Surface</v>
      </c>
      <c r="F23" s="2333"/>
      <c r="G23" s="2333">
        <f>IF(E23="Surface",1,0)</f>
        <v>1</v>
      </c>
      <c r="H23" s="2333"/>
      <c r="I23" s="129">
        <v>5</v>
      </c>
    </row>
    <row r="24" spans="1:9">
      <c r="A24" s="201"/>
      <c r="E24" s="2333">
        <f>IF(G20="No",0.25,0)</f>
        <v>0.25</v>
      </c>
      <c r="F24" s="2333"/>
      <c r="G24" s="2333">
        <f>IF(E24&gt;0,2,0)</f>
        <v>2</v>
      </c>
      <c r="H24" s="2333"/>
      <c r="I24" s="129">
        <v>5</v>
      </c>
    </row>
    <row r="25" spans="1:9">
      <c r="A25" s="137" t="s">
        <v>508</v>
      </c>
      <c r="B25" s="230">
        <v>0</v>
      </c>
      <c r="C25" s="22" t="s">
        <v>1525</v>
      </c>
      <c r="E25" s="2333">
        <f>IF(G20="No",0.5,0)</f>
        <v>0.5</v>
      </c>
      <c r="F25" s="2333"/>
      <c r="G25" s="2333">
        <f t="shared" ref="G25:G33" si="1">IF(E25&gt;0,G24+1,0)</f>
        <v>3</v>
      </c>
      <c r="H25" s="2333"/>
      <c r="I25" s="129">
        <v>5</v>
      </c>
    </row>
    <row r="26" spans="1:9">
      <c r="A26" s="489" t="s">
        <v>977</v>
      </c>
      <c r="B26" s="230">
        <v>0</v>
      </c>
      <c r="C26" s="22" t="s">
        <v>975</v>
      </c>
      <c r="E26" s="2333">
        <f>IF(G20="No",0.65,0)</f>
        <v>0.65</v>
      </c>
      <c r="F26" s="2333"/>
      <c r="G26" s="2333">
        <f t="shared" si="1"/>
        <v>4</v>
      </c>
      <c r="H26" s="2333"/>
      <c r="I26" s="129">
        <v>5</v>
      </c>
    </row>
    <row r="27" spans="1:9" ht="13.75" thickBot="1">
      <c r="A27" s="157" t="s">
        <v>511</v>
      </c>
      <c r="B27" s="230">
        <v>0</v>
      </c>
      <c r="C27" s="22" t="s">
        <v>512</v>
      </c>
      <c r="E27" s="2333">
        <f>IF(G20="No",0.75,0)</f>
        <v>0.75</v>
      </c>
      <c r="F27" s="2333"/>
      <c r="G27" s="2333">
        <f t="shared" si="1"/>
        <v>5</v>
      </c>
      <c r="H27" s="2333"/>
      <c r="I27" s="129">
        <v>5</v>
      </c>
    </row>
    <row r="28" spans="1:9">
      <c r="A28" s="52" t="s">
        <v>537</v>
      </c>
      <c r="B28" s="53" t="str">
        <f>CONCATENATE(Summary!C62," ",Summary!D62)</f>
        <v xml:space="preserve">0 </v>
      </c>
      <c r="C28" s="53"/>
      <c r="D28" s="54"/>
      <c r="E28" s="2383">
        <f>IF(G20="No",0.85,0)</f>
        <v>0.85</v>
      </c>
      <c r="F28" s="2333"/>
      <c r="G28" s="2333">
        <f t="shared" si="1"/>
        <v>6</v>
      </c>
      <c r="H28" s="2333"/>
      <c r="I28" s="129">
        <v>5</v>
      </c>
    </row>
    <row r="29" spans="1:9">
      <c r="A29" s="55"/>
      <c r="B29" s="56"/>
      <c r="C29" s="56"/>
      <c r="D29" s="57"/>
      <c r="E29" s="2383">
        <f>IF(G20="Yes",0,0.9)</f>
        <v>0.9</v>
      </c>
      <c r="F29" s="2333"/>
      <c r="G29" s="2333">
        <f t="shared" si="1"/>
        <v>7</v>
      </c>
      <c r="H29" s="2333"/>
      <c r="I29" s="129">
        <v>5</v>
      </c>
    </row>
    <row r="30" spans="1:9">
      <c r="A30" s="55"/>
      <c r="B30" s="56"/>
      <c r="C30" s="56"/>
      <c r="D30" s="57"/>
      <c r="E30" s="2383">
        <f>IF(G20="Yes",0,0.95)</f>
        <v>0.95</v>
      </c>
      <c r="F30" s="2333"/>
      <c r="G30" s="2333">
        <f t="shared" si="1"/>
        <v>8</v>
      </c>
      <c r="H30" s="2333"/>
      <c r="I30" s="129">
        <v>5</v>
      </c>
    </row>
    <row r="31" spans="1:9">
      <c r="A31" s="55"/>
      <c r="B31" s="56"/>
      <c r="C31" s="56"/>
      <c r="D31" s="57"/>
      <c r="E31" s="2383">
        <f>IF(G20="Yes",0,0.975)</f>
        <v>0.97499999999999998</v>
      </c>
      <c r="F31" s="2333"/>
      <c r="G31" s="2333">
        <f t="shared" si="1"/>
        <v>9</v>
      </c>
      <c r="H31" s="2333"/>
      <c r="I31" s="129">
        <v>5</v>
      </c>
    </row>
    <row r="32" spans="1:9">
      <c r="A32" s="55"/>
      <c r="B32" s="56"/>
      <c r="C32" s="56"/>
      <c r="D32" s="57"/>
      <c r="E32" s="2383">
        <f>IF(G20="Yes",0,1)</f>
        <v>1</v>
      </c>
      <c r="F32" s="2333"/>
      <c r="G32" s="2333">
        <f t="shared" si="1"/>
        <v>10</v>
      </c>
      <c r="H32" s="2333"/>
      <c r="I32" s="129">
        <v>5</v>
      </c>
    </row>
    <row r="33" spans="1:9">
      <c r="A33" s="55"/>
      <c r="B33" s="56"/>
      <c r="C33" s="56"/>
      <c r="D33" s="57"/>
      <c r="E33" s="2383">
        <f>IF(G20="Yes",0,1.01)</f>
        <v>1.01</v>
      </c>
      <c r="F33" s="2333"/>
      <c r="G33" s="2333">
        <f t="shared" si="1"/>
        <v>11</v>
      </c>
      <c r="H33" s="2333"/>
      <c r="I33" s="129">
        <v>15</v>
      </c>
    </row>
    <row r="34" spans="1:9">
      <c r="A34" s="55"/>
      <c r="B34" s="56"/>
      <c r="C34" s="56"/>
      <c r="D34" s="57"/>
      <c r="I34" s="129">
        <v>0</v>
      </c>
    </row>
    <row r="35" spans="1:9" ht="13.75" thickBot="1">
      <c r="A35" s="96"/>
      <c r="B35" s="65"/>
      <c r="C35" s="65"/>
      <c r="D35" s="58"/>
      <c r="I35" s="144"/>
    </row>
    <row r="36" spans="1:9">
      <c r="A36" s="1813" t="s">
        <v>561</v>
      </c>
      <c r="B36" s="1814"/>
      <c r="C36" s="1814"/>
      <c r="D36" s="1814"/>
      <c r="E36" s="1814"/>
      <c r="F36" s="1814"/>
      <c r="G36" s="1814"/>
      <c r="H36" s="1814"/>
      <c r="I36" s="1815"/>
    </row>
    <row r="37" spans="1:9">
      <c r="A37" s="137"/>
      <c r="I37" s="144"/>
    </row>
    <row r="38" spans="1:9">
      <c r="A38" s="137"/>
      <c r="I38" s="144"/>
    </row>
    <row r="39" spans="1:9">
      <c r="A39" s="137"/>
      <c r="I39" s="144"/>
    </row>
    <row r="40" spans="1:9">
      <c r="A40" s="137"/>
      <c r="I40" s="144"/>
    </row>
    <row r="41" spans="1:9">
      <c r="A41" s="137"/>
      <c r="I41" s="144"/>
    </row>
    <row r="42" spans="1:9">
      <c r="A42" s="137"/>
      <c r="I42" s="144"/>
    </row>
    <row r="43" spans="1:9">
      <c r="A43" s="137"/>
      <c r="I43" s="144"/>
    </row>
    <row r="44" spans="1:9">
      <c r="A44" s="137"/>
      <c r="I44" s="144"/>
    </row>
    <row r="45" spans="1:9">
      <c r="A45" s="137"/>
      <c r="I45" s="144"/>
    </row>
    <row r="46" spans="1:9">
      <c r="A46" s="137"/>
      <c r="I46" s="144"/>
    </row>
    <row r="47" spans="1:9">
      <c r="A47" s="137"/>
      <c r="I47" s="144"/>
    </row>
    <row r="48" spans="1:9">
      <c r="A48" s="137"/>
      <c r="I48" s="144"/>
    </row>
    <row r="49" spans="1:9">
      <c r="A49" s="137"/>
      <c r="I49" s="144"/>
    </row>
    <row r="50" spans="1:9" ht="13.75" thickBot="1">
      <c r="A50" s="138"/>
      <c r="B50" s="139"/>
      <c r="C50" s="139"/>
      <c r="D50" s="139"/>
      <c r="E50" s="139"/>
      <c r="F50" s="139"/>
      <c r="G50" s="139"/>
      <c r="H50" s="139"/>
      <c r="I50" s="206"/>
    </row>
  </sheetData>
  <mergeCells count="57">
    <mergeCell ref="G23:H23"/>
    <mergeCell ref="G24:H24"/>
    <mergeCell ref="G25:H25"/>
    <mergeCell ref="G32:H32"/>
    <mergeCell ref="G30:H30"/>
    <mergeCell ref="G31:H31"/>
    <mergeCell ref="D8:E8"/>
    <mergeCell ref="D9:E9"/>
    <mergeCell ref="E23:F23"/>
    <mergeCell ref="E24:F24"/>
    <mergeCell ref="E25:F25"/>
    <mergeCell ref="E21:F21"/>
    <mergeCell ref="E26:F26"/>
    <mergeCell ref="E27:F27"/>
    <mergeCell ref="G33:H33"/>
    <mergeCell ref="E33:F33"/>
    <mergeCell ref="E32:F32"/>
    <mergeCell ref="G26:H26"/>
    <mergeCell ref="G27:H27"/>
    <mergeCell ref="G28:H28"/>
    <mergeCell ref="G29:H29"/>
    <mergeCell ref="E28:F28"/>
    <mergeCell ref="E29:F29"/>
    <mergeCell ref="E30:F30"/>
    <mergeCell ref="E31:F31"/>
    <mergeCell ref="A1:I1"/>
    <mergeCell ref="A2:I2"/>
    <mergeCell ref="A3:I3"/>
    <mergeCell ref="E6:F6"/>
    <mergeCell ref="B17:C17"/>
    <mergeCell ref="G16:H16"/>
    <mergeCell ref="B12:C12"/>
    <mergeCell ref="B13:C13"/>
    <mergeCell ref="E7:F7"/>
    <mergeCell ref="A10:I10"/>
    <mergeCell ref="B11:C11"/>
    <mergeCell ref="E11:H11"/>
    <mergeCell ref="E12:H12"/>
    <mergeCell ref="A9:C9"/>
    <mergeCell ref="G8:I8"/>
    <mergeCell ref="B15:C15"/>
    <mergeCell ref="A36:I36"/>
    <mergeCell ref="E14:H14"/>
    <mergeCell ref="E15:H15"/>
    <mergeCell ref="E17:H17"/>
    <mergeCell ref="E18:H18"/>
    <mergeCell ref="B21:C21"/>
    <mergeCell ref="B22:C22"/>
    <mergeCell ref="B23:C23"/>
    <mergeCell ref="B14:C14"/>
    <mergeCell ref="B16:C16"/>
    <mergeCell ref="E22:F22"/>
    <mergeCell ref="G22:H22"/>
    <mergeCell ref="B18:C18"/>
    <mergeCell ref="B19:C19"/>
    <mergeCell ref="B20:C20"/>
    <mergeCell ref="E20:F20"/>
  </mergeCells>
  <phoneticPr fontId="0" type="noConversion"/>
  <pageMargins left="0.75" right="0.75" top="1" bottom="1" header="0.5" footer="0.5"/>
  <pageSetup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9" r:id="rId4" name="Button 9">
              <controlPr defaultSize="0" print="0" autoFill="0" autoPict="0" macro="[0]!BACKTOMENU">
                <anchor moveWithCells="1">
                  <from>
                    <xdr:col>0</xdr:col>
                    <xdr:colOff>0</xdr:colOff>
                    <xdr:row>0</xdr:row>
                    <xdr:rowOff>19050</xdr:rowOff>
                  </from>
                  <to>
                    <xdr:col>0</xdr:col>
                    <xdr:colOff>525236</xdr:colOff>
                    <xdr:row>1</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FA3FC9C-7923-425C-B6AC-03ADCE7CB7F2}">
          <x14:formula1>
            <xm:f>'Data Validation'!$C$7:$D$7</xm:f>
          </x14:formula1>
          <xm:sqref>G6</xm:sqref>
        </x14:dataValidation>
        <x14:dataValidation type="list" allowBlank="1" showInputMessage="1" showErrorMessage="1" xr:uid="{65DFD569-811F-48E8-B36E-B2D23DB1C7D5}">
          <x14:formula1>
            <xm:f>'Data Validation'!$C$4:$D$4</xm:f>
          </x14:formula1>
          <xm:sqref>C6 C27</xm:sqref>
        </x14:dataValidation>
        <x14:dataValidation type="list" allowBlank="1" showInputMessage="1" showErrorMessage="1" xr:uid="{22F8316B-AA80-4176-BF2F-392609B62DB9}">
          <x14:formula1>
            <xm:f>'Data Validation'!$C$3:$D$3</xm:f>
          </x14:formula1>
          <xm:sqref>C25</xm:sqref>
        </x14:dataValidation>
        <x14:dataValidation type="list" allowBlank="1" showInputMessage="1" showErrorMessage="1" xr:uid="{29113160-0165-48AD-95B2-D3AA87EEC163}">
          <x14:formula1>
            <xm:f>'Data Validation'!$C$12:$D$12</xm:f>
          </x14:formula1>
          <xm:sqref>C26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64C58-4545-409B-B0C3-F3750FA1FF1E}">
  <sheetPr codeName="Sheet38"/>
  <dimension ref="A1:K55"/>
  <sheetViews>
    <sheetView showGridLines="0" showZeros="0" zoomScale="140" workbookViewId="0">
      <selection activeCell="A7" sqref="A7"/>
    </sheetView>
  </sheetViews>
  <sheetFormatPr defaultRowHeight="12.9"/>
  <cols>
    <col min="1" max="10" width="9.15234375" style="1003" customWidth="1"/>
    <col min="11" max="11" width="9.15234375" hidden="1" customWidth="1"/>
  </cols>
  <sheetData>
    <row r="1" spans="1:11" ht="13.75" thickBot="1">
      <c r="A1" s="1051">
        <f>Summary!C5</f>
        <v>0</v>
      </c>
      <c r="B1" s="1013"/>
      <c r="C1" s="1013"/>
      <c r="D1" s="1013"/>
      <c r="E1" s="1013" t="s">
        <v>219</v>
      </c>
      <c r="F1" s="1013"/>
      <c r="G1" s="1013"/>
      <c r="H1" s="1013"/>
      <c r="I1" s="1013"/>
      <c r="J1" s="1013"/>
      <c r="K1" s="23"/>
    </row>
    <row r="2" spans="1:11" ht="13.75" thickBot="1">
      <c r="A2" s="1052" t="s">
        <v>115</v>
      </c>
      <c r="B2" s="1013"/>
      <c r="C2" s="1013"/>
      <c r="D2" s="1053" t="s">
        <v>220</v>
      </c>
      <c r="E2" s="1054"/>
      <c r="F2" s="2384">
        <f>(Summary!C6)</f>
        <v>0</v>
      </c>
      <c r="G2" s="2384"/>
      <c r="H2" s="2384"/>
      <c r="I2" s="2385"/>
      <c r="J2" s="1013"/>
      <c r="K2" s="23"/>
    </row>
    <row r="3" spans="1:11" ht="13.75" thickBot="1">
      <c r="A3" s="1052" t="s">
        <v>115</v>
      </c>
      <c r="E3" s="1014" t="s">
        <v>221</v>
      </c>
      <c r="F3" s="2393" t="s">
        <v>115</v>
      </c>
      <c r="G3" s="2394"/>
    </row>
    <row r="4" spans="1:11" ht="13.75" thickBot="1">
      <c r="A4" s="1003" t="s">
        <v>115</v>
      </c>
      <c r="B4" s="1003" t="s">
        <v>115</v>
      </c>
      <c r="D4" s="2386" t="s">
        <v>222</v>
      </c>
      <c r="E4" s="2387"/>
      <c r="F4" s="2388">
        <f>Summary!C32</f>
        <v>0</v>
      </c>
      <c r="G4" s="2389"/>
      <c r="H4" s="2389"/>
      <c r="I4" s="2389"/>
    </row>
    <row r="5" spans="1:11" ht="13.75" thickBot="1">
      <c r="A5" s="1601" t="s">
        <v>1593</v>
      </c>
      <c r="B5" s="2401" t="s">
        <v>1521</v>
      </c>
      <c r="C5" s="2402"/>
      <c r="D5" s="1055" t="s">
        <v>223</v>
      </c>
      <c r="E5" s="2390">
        <f>(Summary!C33)</f>
        <v>0</v>
      </c>
      <c r="F5" s="2391"/>
      <c r="G5" s="2392">
        <f>Summary!C34</f>
        <v>0</v>
      </c>
      <c r="H5" s="2392"/>
      <c r="I5" s="2391">
        <f>Summary!C35</f>
        <v>0</v>
      </c>
      <c r="J5" s="2391"/>
    </row>
    <row r="6" spans="1:11" ht="13.75" thickBot="1">
      <c r="A6" s="1009" t="s">
        <v>208</v>
      </c>
      <c r="B6" s="1009" t="s">
        <v>480</v>
      </c>
      <c r="C6" s="1009" t="s">
        <v>481</v>
      </c>
      <c r="D6" s="1602" t="s">
        <v>1602</v>
      </c>
      <c r="E6" s="1009" t="s">
        <v>1604</v>
      </c>
      <c r="F6" s="1009" t="s">
        <v>1603</v>
      </c>
      <c r="G6" s="1056" t="s">
        <v>212</v>
      </c>
      <c r="H6" s="1057"/>
      <c r="I6" s="1057"/>
      <c r="J6" s="1058"/>
    </row>
    <row r="7" spans="1:11">
      <c r="A7" s="1606"/>
      <c r="B7" s="1607">
        <v>0</v>
      </c>
      <c r="C7" s="1607"/>
      <c r="D7" s="1605">
        <f>B7</f>
        <v>0</v>
      </c>
      <c r="E7" s="1608"/>
      <c r="F7" s="1608"/>
      <c r="G7" s="1609"/>
      <c r="H7" s="1610"/>
      <c r="I7" s="1610"/>
      <c r="J7" s="1611"/>
    </row>
    <row r="8" spans="1:11">
      <c r="A8" s="1606"/>
      <c r="B8" s="1607">
        <v>0</v>
      </c>
      <c r="C8" s="1607"/>
      <c r="D8" s="1605">
        <f t="shared" ref="D8:D21" si="0">D7+B8</f>
        <v>0</v>
      </c>
      <c r="E8" s="1608"/>
      <c r="F8" s="1608"/>
      <c r="G8" s="1609"/>
      <c r="H8" s="1610"/>
      <c r="I8" s="1610"/>
      <c r="J8" s="1611"/>
    </row>
    <row r="9" spans="1:11">
      <c r="A9" s="1606"/>
      <c r="B9" s="1607">
        <v>0</v>
      </c>
      <c r="C9" s="1607"/>
      <c r="D9" s="1605">
        <f t="shared" si="0"/>
        <v>0</v>
      </c>
      <c r="E9" s="1608"/>
      <c r="F9" s="1608"/>
      <c r="G9" s="1609"/>
      <c r="H9" s="1610"/>
      <c r="I9" s="1610"/>
      <c r="J9" s="1611"/>
    </row>
    <row r="10" spans="1:11">
      <c r="A10" s="1606"/>
      <c r="B10" s="1607">
        <v>0</v>
      </c>
      <c r="C10" s="1607"/>
      <c r="D10" s="1605">
        <f t="shared" si="0"/>
        <v>0</v>
      </c>
      <c r="E10" s="1608"/>
      <c r="F10" s="1608"/>
      <c r="G10" s="1609"/>
      <c r="H10" s="1610"/>
      <c r="I10" s="1610"/>
      <c r="J10" s="1611"/>
    </row>
    <row r="11" spans="1:11">
      <c r="A11" s="1606"/>
      <c r="B11" s="1607">
        <v>0</v>
      </c>
      <c r="C11" s="1607"/>
      <c r="D11" s="1605">
        <f t="shared" si="0"/>
        <v>0</v>
      </c>
      <c r="E11" s="1608"/>
      <c r="F11" s="1608"/>
      <c r="G11" s="1609"/>
      <c r="H11" s="1610"/>
      <c r="I11" s="1610"/>
      <c r="J11" s="1611"/>
    </row>
    <row r="12" spans="1:11">
      <c r="A12" s="1606"/>
      <c r="B12" s="1607">
        <v>0</v>
      </c>
      <c r="C12" s="1607"/>
      <c r="D12" s="1605">
        <f t="shared" si="0"/>
        <v>0</v>
      </c>
      <c r="E12" s="1608"/>
      <c r="F12" s="1608"/>
      <c r="G12" s="1609"/>
      <c r="H12" s="1610"/>
      <c r="I12" s="1610"/>
      <c r="J12" s="1611"/>
    </row>
    <row r="13" spans="1:11">
      <c r="A13" s="1606"/>
      <c r="B13" s="1607">
        <v>0</v>
      </c>
      <c r="C13" s="1607"/>
      <c r="D13" s="1605">
        <f t="shared" si="0"/>
        <v>0</v>
      </c>
      <c r="E13" s="1608"/>
      <c r="F13" s="1608"/>
      <c r="G13" s="1609"/>
      <c r="H13" s="1610"/>
      <c r="I13" s="1610"/>
      <c r="J13" s="1611"/>
    </row>
    <row r="14" spans="1:11">
      <c r="A14" s="1606"/>
      <c r="B14" s="1607">
        <v>0</v>
      </c>
      <c r="C14" s="1607"/>
      <c r="D14" s="1605">
        <f t="shared" si="0"/>
        <v>0</v>
      </c>
      <c r="E14" s="1608"/>
      <c r="F14" s="1608"/>
      <c r="G14" s="1609"/>
      <c r="H14" s="1610"/>
      <c r="I14" s="1610"/>
      <c r="J14" s="1611"/>
    </row>
    <row r="15" spans="1:11">
      <c r="A15" s="1606"/>
      <c r="B15" s="1607">
        <v>0</v>
      </c>
      <c r="C15" s="1607"/>
      <c r="D15" s="1605">
        <f t="shared" si="0"/>
        <v>0</v>
      </c>
      <c r="E15" s="1608"/>
      <c r="F15" s="1608"/>
      <c r="G15" s="1609"/>
      <c r="H15" s="1610"/>
      <c r="I15" s="1610"/>
      <c r="J15" s="1611"/>
    </row>
    <row r="16" spans="1:11">
      <c r="A16" s="1606"/>
      <c r="B16" s="1607">
        <v>0</v>
      </c>
      <c r="C16" s="1607"/>
      <c r="D16" s="1605">
        <f t="shared" si="0"/>
        <v>0</v>
      </c>
      <c r="E16" s="1608"/>
      <c r="F16" s="1608"/>
      <c r="G16" s="1609"/>
      <c r="H16" s="1610"/>
      <c r="I16" s="1610"/>
      <c r="J16" s="1611"/>
    </row>
    <row r="17" spans="1:10">
      <c r="A17" s="1606"/>
      <c r="B17" s="1607">
        <v>0</v>
      </c>
      <c r="C17" s="1607"/>
      <c r="D17" s="1605">
        <f t="shared" si="0"/>
        <v>0</v>
      </c>
      <c r="E17" s="1608"/>
      <c r="F17" s="1608"/>
      <c r="G17" s="1609"/>
      <c r="H17" s="1610"/>
      <c r="I17" s="1610"/>
      <c r="J17" s="1611"/>
    </row>
    <row r="18" spans="1:10">
      <c r="A18" s="1606"/>
      <c r="B18" s="1607">
        <v>0</v>
      </c>
      <c r="C18" s="1607"/>
      <c r="D18" s="1605">
        <f t="shared" si="0"/>
        <v>0</v>
      </c>
      <c r="E18" s="1608"/>
      <c r="F18" s="1608"/>
      <c r="G18" s="1609"/>
      <c r="H18" s="1610"/>
      <c r="I18" s="1610"/>
      <c r="J18" s="1611"/>
    </row>
    <row r="19" spans="1:10">
      <c r="A19" s="1606"/>
      <c r="B19" s="1607">
        <v>0</v>
      </c>
      <c r="C19" s="1607"/>
      <c r="D19" s="1605">
        <f t="shared" si="0"/>
        <v>0</v>
      </c>
      <c r="E19" s="1608"/>
      <c r="F19" s="1608"/>
      <c r="G19" s="1609"/>
      <c r="H19" s="1610"/>
      <c r="I19" s="1610"/>
      <c r="J19" s="1611"/>
    </row>
    <row r="20" spans="1:10">
      <c r="A20" s="1606"/>
      <c r="B20" s="1607">
        <v>0</v>
      </c>
      <c r="C20" s="1607"/>
      <c r="D20" s="1605">
        <f t="shared" si="0"/>
        <v>0</v>
      </c>
      <c r="E20" s="1608"/>
      <c r="F20" s="1608"/>
      <c r="G20" s="1609"/>
      <c r="H20" s="1610"/>
      <c r="I20" s="1610"/>
      <c r="J20" s="1611"/>
    </row>
    <row r="21" spans="1:10">
      <c r="A21" s="1606"/>
      <c r="B21" s="1607">
        <v>0</v>
      </c>
      <c r="C21" s="1607"/>
      <c r="D21" s="1605">
        <f t="shared" si="0"/>
        <v>0</v>
      </c>
      <c r="E21" s="1608"/>
      <c r="F21" s="1608"/>
      <c r="G21" s="1609"/>
      <c r="H21" s="1610"/>
      <c r="I21" s="1610"/>
      <c r="J21" s="1611"/>
    </row>
    <row r="23" spans="1:10" ht="13.1">
      <c r="B23" s="1061" t="s">
        <v>151</v>
      </c>
      <c r="C23" s="1062"/>
      <c r="D23" s="1062"/>
      <c r="E23" s="1063"/>
      <c r="F23" s="2322">
        <f>(Summary!C63)</f>
        <v>0</v>
      </c>
      <c r="G23" s="2323"/>
      <c r="H23" s="2324"/>
    </row>
    <row r="24" spans="1:10">
      <c r="B24" s="1064" t="s">
        <v>224</v>
      </c>
      <c r="C24" s="1065"/>
      <c r="D24" s="1065"/>
      <c r="E24" s="1066"/>
      <c r="F24" s="2395"/>
      <c r="G24" s="2396"/>
      <c r="H24" s="2397"/>
    </row>
    <row r="25" spans="1:10" ht="13.5" thickBot="1"/>
    <row r="26" spans="1:10" ht="13.75" thickBot="1">
      <c r="B26" s="2403" t="s">
        <v>225</v>
      </c>
      <c r="C26" s="2404"/>
      <c r="D26" s="2404"/>
      <c r="E26" s="2404"/>
      <c r="F26" s="2404"/>
      <c r="G26" s="2404"/>
      <c r="H26" s="2404"/>
      <c r="I26" s="2405"/>
    </row>
    <row r="27" spans="1:10" ht="13.75" thickBot="1">
      <c r="B27" s="2398" t="s">
        <v>226</v>
      </c>
      <c r="C27" s="2400"/>
      <c r="D27" s="2399"/>
      <c r="E27" s="2398" t="s">
        <v>227</v>
      </c>
      <c r="F27" s="2399"/>
      <c r="G27" s="2398" t="s">
        <v>228</v>
      </c>
      <c r="H27" s="2400"/>
      <c r="I27" s="2399"/>
    </row>
    <row r="28" spans="1:10">
      <c r="B28" s="1067" t="s">
        <v>229</v>
      </c>
      <c r="C28" s="1068"/>
      <c r="D28" s="1069"/>
      <c r="E28" s="1604"/>
      <c r="F28" s="1604"/>
      <c r="G28" s="1612"/>
      <c r="H28" s="1613"/>
      <c r="I28" s="1614"/>
    </row>
    <row r="29" spans="1:10">
      <c r="B29" s="1067" t="s">
        <v>230</v>
      </c>
      <c r="C29" s="1068"/>
      <c r="D29" s="1069"/>
      <c r="E29" s="1604"/>
      <c r="F29" s="1604"/>
      <c r="G29" s="1615"/>
      <c r="H29" s="1604"/>
      <c r="I29" s="1616"/>
    </row>
    <row r="30" spans="1:10">
      <c r="B30" s="1067" t="s">
        <v>230</v>
      </c>
      <c r="C30" s="1068"/>
      <c r="D30" s="1069"/>
      <c r="E30" s="1604"/>
      <c r="F30" s="1604"/>
      <c r="G30" s="1615"/>
      <c r="H30" s="1604"/>
      <c r="I30" s="1616"/>
    </row>
    <row r="31" spans="1:10">
      <c r="B31" s="1067" t="s">
        <v>231</v>
      </c>
      <c r="C31" s="1068"/>
      <c r="D31" s="1069"/>
      <c r="E31" s="1604"/>
      <c r="F31" s="1604"/>
      <c r="G31" s="1615"/>
      <c r="H31" s="1604"/>
      <c r="I31" s="1616"/>
    </row>
    <row r="32" spans="1:10">
      <c r="B32" s="1067" t="s">
        <v>232</v>
      </c>
      <c r="C32" s="1068"/>
      <c r="D32" s="1069"/>
      <c r="E32" s="1604"/>
      <c r="F32" s="1604"/>
      <c r="G32" s="1615"/>
      <c r="H32" s="1604"/>
      <c r="I32" s="1616"/>
    </row>
    <row r="33" spans="1:10">
      <c r="B33" s="1067" t="s">
        <v>233</v>
      </c>
      <c r="C33" s="1068"/>
      <c r="D33" s="1069"/>
      <c r="E33" s="1604"/>
      <c r="F33" s="1604"/>
      <c r="G33" s="1615"/>
      <c r="H33" s="1604"/>
      <c r="I33" s="1616"/>
    </row>
    <row r="34" spans="1:10">
      <c r="B34" s="1067" t="s">
        <v>234</v>
      </c>
      <c r="C34" s="1068"/>
      <c r="D34" s="1069"/>
      <c r="E34" s="1604"/>
      <c r="F34" s="1604"/>
      <c r="G34" s="1615"/>
      <c r="H34" s="1604"/>
      <c r="I34" s="1616"/>
    </row>
    <row r="35" spans="1:10">
      <c r="B35" s="1067" t="s">
        <v>235</v>
      </c>
      <c r="C35" s="1068"/>
      <c r="D35" s="1069"/>
      <c r="E35" s="1604"/>
      <c r="F35" s="1604"/>
      <c r="G35" s="1615"/>
      <c r="H35" s="1604"/>
      <c r="I35" s="1616"/>
    </row>
    <row r="36" spans="1:10">
      <c r="B36" s="1067" t="s">
        <v>649</v>
      </c>
      <c r="C36" s="1068"/>
      <c r="D36" s="1069"/>
      <c r="E36" s="1604"/>
      <c r="F36" s="1604"/>
      <c r="G36" s="1615"/>
      <c r="H36" s="1604"/>
      <c r="I36" s="1616"/>
    </row>
    <row r="37" spans="1:10">
      <c r="B37" s="1620"/>
      <c r="C37" s="1621"/>
      <c r="D37" s="1622"/>
      <c r="E37" s="1604"/>
      <c r="F37" s="1604"/>
      <c r="G37" s="1615"/>
      <c r="H37" s="1604"/>
      <c r="I37" s="1616"/>
    </row>
    <row r="38" spans="1:10">
      <c r="B38" s="1620"/>
      <c r="C38" s="1621"/>
      <c r="D38" s="1622"/>
      <c r="E38" s="1604"/>
      <c r="F38" s="1604"/>
      <c r="G38" s="1615"/>
      <c r="H38" s="1604"/>
      <c r="I38" s="1616"/>
    </row>
    <row r="39" spans="1:10">
      <c r="B39" s="1620"/>
      <c r="C39" s="1621"/>
      <c r="D39" s="1622"/>
      <c r="E39" s="1604"/>
      <c r="F39" s="1604"/>
      <c r="G39" s="1615"/>
      <c r="H39" s="1604"/>
      <c r="I39" s="1616"/>
    </row>
    <row r="40" spans="1:10">
      <c r="B40" s="1620"/>
      <c r="C40" s="1621"/>
      <c r="D40" s="1622"/>
      <c r="E40" s="1604"/>
      <c r="F40" s="1604"/>
      <c r="G40" s="1615"/>
      <c r="H40" s="1604"/>
      <c r="I40" s="1616"/>
    </row>
    <row r="41" spans="1:10">
      <c r="B41" s="1620"/>
      <c r="C41" s="1621"/>
      <c r="D41" s="1622"/>
      <c r="E41" s="1604"/>
      <c r="F41" s="1604"/>
      <c r="G41" s="1615"/>
      <c r="H41" s="1604"/>
      <c r="I41" s="1616"/>
    </row>
    <row r="42" spans="1:10" ht="13.5" thickBot="1">
      <c r="B42" s="1623"/>
      <c r="C42" s="1624"/>
      <c r="D42" s="1625"/>
      <c r="E42" s="1617"/>
      <c r="F42" s="1617"/>
      <c r="G42" s="1618"/>
      <c r="H42" s="1617"/>
      <c r="I42" s="1619"/>
    </row>
    <row r="43" spans="1:10" ht="13.1">
      <c r="A43" s="2331" t="s">
        <v>361</v>
      </c>
      <c r="B43" s="2331"/>
      <c r="C43" s="2331"/>
      <c r="D43" s="2331"/>
      <c r="E43" s="2331"/>
      <c r="F43" s="2331"/>
      <c r="G43" s="2331"/>
      <c r="H43" s="2331"/>
      <c r="I43" s="2331"/>
      <c r="J43" s="2331"/>
    </row>
    <row r="44" spans="1:10">
      <c r="A44" s="1070" t="s">
        <v>1312</v>
      </c>
      <c r="C44" s="1604"/>
      <c r="D44" s="1003" t="s">
        <v>360</v>
      </c>
    </row>
    <row r="45" spans="1:10">
      <c r="A45" s="1070" t="s">
        <v>1313</v>
      </c>
      <c r="C45" s="1604"/>
      <c r="D45" s="1003" t="s">
        <v>931</v>
      </c>
    </row>
    <row r="46" spans="1:10">
      <c r="A46" s="1070" t="s">
        <v>1314</v>
      </c>
      <c r="C46" s="1604"/>
      <c r="D46" s="1003" t="str">
        <f>D45</f>
        <v>m³/m</v>
      </c>
    </row>
    <row r="47" spans="1:10">
      <c r="A47" s="1070" t="s">
        <v>1315</v>
      </c>
      <c r="C47" s="1604"/>
      <c r="D47" s="1003" t="str">
        <f>D44</f>
        <v>mKB</v>
      </c>
    </row>
    <row r="48" spans="1:10">
      <c r="A48" s="1070" t="s">
        <v>1316</v>
      </c>
      <c r="C48" s="1603">
        <f>IF(C44&lt;C47,(((C47-C44)*C46)+(C44*C45)),((C47-C44)*C46)+(C44*C45))</f>
        <v>0</v>
      </c>
      <c r="D48" s="1003" t="s">
        <v>218</v>
      </c>
    </row>
    <row r="51" ht="1.5" customHeight="1"/>
    <row r="52" hidden="1"/>
    <row r="53" hidden="1"/>
    <row r="54" hidden="1"/>
    <row r="55" hidden="1"/>
  </sheetData>
  <sheetProtection sheet="1" formatCells="0" formatColumns="0" formatRows="0" insertColumns="0" insertRows="0" deleteColumns="0" deleteRows="0" selectLockedCells="1"/>
  <mergeCells count="15">
    <mergeCell ref="A43:J43"/>
    <mergeCell ref="F2:I2"/>
    <mergeCell ref="D4:E4"/>
    <mergeCell ref="F4:I4"/>
    <mergeCell ref="F23:H23"/>
    <mergeCell ref="E5:F5"/>
    <mergeCell ref="G5:H5"/>
    <mergeCell ref="I5:J5"/>
    <mergeCell ref="F3:G3"/>
    <mergeCell ref="F24:H24"/>
    <mergeCell ref="E27:F27"/>
    <mergeCell ref="G27:I27"/>
    <mergeCell ref="B5:C5"/>
    <mergeCell ref="B27:D27"/>
    <mergeCell ref="B26:I26"/>
  </mergeCells>
  <phoneticPr fontId="0" type="noConversion"/>
  <pageMargins left="0" right="0" top="0.75" bottom="0.75" header="0.5" footer="0.5"/>
  <pageSetup orientation="portrait" horizontalDpi="360"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20" r:id="rId4" name="Button 4">
              <controlPr defaultSize="0" print="0" autoFill="0" autoPict="0" macro="[0]!BACKTOMENU">
                <anchor moveWithCells="1">
                  <from>
                    <xdr:col>0</xdr:col>
                    <xdr:colOff>40821</xdr:colOff>
                    <xdr:row>0</xdr:row>
                    <xdr:rowOff>19050</xdr:rowOff>
                  </from>
                  <to>
                    <xdr:col>0</xdr:col>
                    <xdr:colOff>566057</xdr:colOff>
                    <xdr:row>1</xdr:row>
                    <xdr:rowOff>48986</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436DB1E4-4964-4197-A7A0-2BBEC12747C5}">
          <x14:formula1>
            <xm:f>'Data Validation'!$C$1:$D$1</xm:f>
          </x14:formula1>
          <xm:sqref>B5:C5</xm:sqref>
        </x14:dataValidation>
        <x14:dataValidation type="list" allowBlank="1" showInputMessage="1" showErrorMessage="1" xr:uid="{CE62BDB6-E1EB-463A-B58C-566E92042A15}">
          <x14:formula1>
            <xm:f>'Data Validation'!$C$7:$D$7</xm:f>
          </x14:formula1>
          <xm:sqref>D44</xm:sqref>
        </x14:dataValidation>
        <x14:dataValidation type="list" allowBlank="1" showInputMessage="1" showErrorMessage="1" xr:uid="{BB9E6B73-9BAA-456C-86BC-D418E77D8E5C}">
          <x14:formula1>
            <xm:f>'Data Validation'!$C$11:$D$11</xm:f>
          </x14:formula1>
          <xm:sqref>D45</xm:sqref>
        </x14:dataValidation>
        <x14:dataValidation type="list" allowBlank="1" showInputMessage="1" showErrorMessage="1" xr:uid="{BBD403BD-A4BD-451A-A383-E9971EED103C}">
          <x14:formula1>
            <xm:f>'Data Validation'!$C$2:$D$2</xm:f>
          </x14:formula1>
          <xm:sqref>D48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F5A42-630B-4016-9652-D303BA79303A}">
  <sheetPr codeName="Sheet39"/>
  <dimension ref="B1:T269"/>
  <sheetViews>
    <sheetView showGridLines="0" showZeros="0" view="pageBreakPreview" zoomScaleNormal="100" workbookViewId="0">
      <selection activeCell="D12" sqref="D10:O12"/>
    </sheetView>
  </sheetViews>
  <sheetFormatPr defaultColWidth="9.15234375" defaultRowHeight="13.1"/>
  <cols>
    <col min="1" max="1" width="1.57421875" style="23" customWidth="1"/>
    <col min="2" max="2" width="5.69140625" style="23" customWidth="1"/>
    <col min="3" max="5" width="6.421875" style="23" customWidth="1"/>
    <col min="6" max="9" width="6.69140625" style="23" customWidth="1"/>
    <col min="10" max="12" width="7.69140625" style="23" customWidth="1"/>
    <col min="13" max="14" width="8.265625" style="23" customWidth="1"/>
    <col min="15" max="19" width="6.69140625" style="23" customWidth="1"/>
    <col min="20" max="20" width="8.57421875" style="23" customWidth="1"/>
    <col min="21" max="21" width="3" style="23" customWidth="1"/>
    <col min="22" max="22" width="1.84375" style="23" customWidth="1"/>
    <col min="23" max="23" width="4.15234375" style="23" customWidth="1"/>
    <col min="24" max="24" width="2.265625" style="23" customWidth="1"/>
    <col min="25" max="25" width="4.265625" style="23" customWidth="1"/>
    <col min="26" max="16384" width="9.15234375" style="23"/>
  </cols>
  <sheetData>
    <row r="1" spans="2:20" ht="13.75" thickBot="1"/>
    <row r="2" spans="2:20">
      <c r="B2" s="2406">
        <f>Summary!A2</f>
        <v>0</v>
      </c>
      <c r="C2" s="2407"/>
      <c r="D2" s="2407"/>
      <c r="E2" s="2407"/>
      <c r="F2" s="2407"/>
      <c r="G2" s="2407"/>
      <c r="H2" s="2407"/>
      <c r="I2" s="2407"/>
      <c r="J2" s="2407"/>
      <c r="K2" s="2407"/>
      <c r="L2" s="2407"/>
      <c r="M2" s="2407"/>
      <c r="N2" s="2407"/>
      <c r="O2" s="2407"/>
      <c r="P2" s="2407"/>
      <c r="Q2" s="2407"/>
      <c r="R2" s="2407"/>
      <c r="S2" s="2407"/>
      <c r="T2" s="2408"/>
    </row>
    <row r="3" spans="2:20">
      <c r="B3" s="1790" t="s">
        <v>1453</v>
      </c>
      <c r="C3" s="1659"/>
      <c r="D3" s="1659"/>
      <c r="E3" s="1659"/>
      <c r="F3" s="1659"/>
      <c r="G3" s="1659"/>
      <c r="H3" s="1659"/>
      <c r="I3" s="1659"/>
      <c r="J3" s="1659"/>
      <c r="K3" s="1659"/>
      <c r="L3" s="1659"/>
      <c r="M3" s="1659"/>
      <c r="N3" s="1659"/>
      <c r="O3" s="1659"/>
      <c r="P3" s="1659"/>
      <c r="Q3" s="1659"/>
      <c r="R3" s="1659"/>
      <c r="S3" s="1659"/>
      <c r="T3" s="1778"/>
    </row>
    <row r="4" spans="2:20">
      <c r="B4" s="84"/>
      <c r="P4" s="120" t="s">
        <v>729</v>
      </c>
      <c r="Q4" s="4">
        <f>IF(B13&gt;0,1,0)</f>
        <v>0</v>
      </c>
      <c r="R4" s="4"/>
      <c r="S4" s="120" t="s">
        <v>730</v>
      </c>
      <c r="T4" s="133">
        <f>IF(T49=2,2,Q4)</f>
        <v>0</v>
      </c>
    </row>
    <row r="5" spans="2:20">
      <c r="B5" s="84"/>
      <c r="E5"/>
      <c r="T5" s="39"/>
    </row>
    <row r="6" spans="2:20">
      <c r="B6" s="947" t="s">
        <v>634</v>
      </c>
      <c r="C6" s="23">
        <f>Summary!C6</f>
        <v>0</v>
      </c>
      <c r="T6" s="39"/>
    </row>
    <row r="7" spans="2:20">
      <c r="B7" s="137" t="s">
        <v>1605</v>
      </c>
      <c r="C7" s="2456" t="s">
        <v>1521</v>
      </c>
      <c r="D7" s="2456"/>
      <c r="E7" s="2456"/>
      <c r="T7" s="39"/>
    </row>
    <row r="8" spans="2:20">
      <c r="B8" s="84" t="s">
        <v>221</v>
      </c>
      <c r="C8" s="2416"/>
      <c r="D8" s="2416"/>
      <c r="E8" s="2000" t="s">
        <v>736</v>
      </c>
      <c r="F8" s="2000"/>
      <c r="G8" s="23">
        <v>0</v>
      </c>
      <c r="I8" s="1659" t="s">
        <v>737</v>
      </c>
      <c r="J8" s="1659"/>
      <c r="K8" s="168">
        <f>IF(Summary!C21=0,0,CONCATENATE(Summary!C21,Summary!C16," ",Summary!D21," ",Summary!D16))</f>
        <v>0</v>
      </c>
      <c r="N8" s="23" t="s">
        <v>660</v>
      </c>
      <c r="P8" s="23">
        <f>Summary!C63</f>
        <v>0</v>
      </c>
      <c r="T8" s="39"/>
    </row>
    <row r="9" spans="2:20">
      <c r="B9" s="84"/>
      <c r="D9" s="2417" t="s">
        <v>805</v>
      </c>
      <c r="E9" s="2417"/>
      <c r="F9" s="2417"/>
      <c r="G9" s="367">
        <v>0</v>
      </c>
      <c r="H9" s="2418" t="s">
        <v>1003</v>
      </c>
      <c r="I9" s="2418"/>
      <c r="J9" s="2418"/>
      <c r="K9" s="2409">
        <f>Summary!C32</f>
        <v>0</v>
      </c>
      <c r="L9" s="2409"/>
      <c r="M9" s="2409">
        <f>Summary!C33</f>
        <v>0</v>
      </c>
      <c r="N9" s="2409"/>
      <c r="O9" s="2409">
        <f>Summary!C34</f>
        <v>0</v>
      </c>
      <c r="P9" s="2409"/>
      <c r="Q9" s="2409">
        <f>Summary!C35</f>
        <v>0</v>
      </c>
      <c r="R9" s="2409"/>
      <c r="S9" s="2409"/>
      <c r="T9" s="2410"/>
    </row>
    <row r="10" spans="2:20">
      <c r="B10" s="2437" t="s">
        <v>208</v>
      </c>
      <c r="C10" s="2440" t="s">
        <v>738</v>
      </c>
      <c r="D10" s="362" t="s">
        <v>209</v>
      </c>
      <c r="E10" s="362" t="s">
        <v>207</v>
      </c>
      <c r="F10" s="2444" t="s">
        <v>210</v>
      </c>
      <c r="G10" s="2444" t="s">
        <v>210</v>
      </c>
      <c r="H10" s="2444" t="s">
        <v>209</v>
      </c>
      <c r="I10" s="362" t="s">
        <v>801</v>
      </c>
      <c r="J10" s="2446" t="s">
        <v>802</v>
      </c>
      <c r="K10" s="2447"/>
      <c r="L10" s="2448"/>
      <c r="M10" s="362" t="s">
        <v>204</v>
      </c>
      <c r="N10" s="362" t="s">
        <v>260</v>
      </c>
      <c r="O10" s="1310" t="s">
        <v>270</v>
      </c>
      <c r="P10" s="2450" t="s">
        <v>212</v>
      </c>
      <c r="Q10" s="2450"/>
      <c r="R10" s="2450"/>
      <c r="S10" s="2450"/>
      <c r="T10" s="2451"/>
    </row>
    <row r="11" spans="2:20">
      <c r="B11" s="2438"/>
      <c r="C11" s="2441"/>
      <c r="D11" s="363" t="s">
        <v>214</v>
      </c>
      <c r="E11" s="363" t="s">
        <v>215</v>
      </c>
      <c r="F11" s="2445"/>
      <c r="G11" s="2445"/>
      <c r="H11" s="2445"/>
      <c r="I11" s="363" t="s">
        <v>209</v>
      </c>
      <c r="J11" s="2444" t="s">
        <v>803</v>
      </c>
      <c r="K11" s="2444" t="s">
        <v>804</v>
      </c>
      <c r="L11" s="2431" t="str">
        <f>CONCATENATE('Daily Load'!J532,"%")</f>
        <v>Other (1)%</v>
      </c>
      <c r="M11" s="363" t="s">
        <v>217</v>
      </c>
      <c r="N11" s="363" t="s">
        <v>217</v>
      </c>
      <c r="O11" s="1311" t="s">
        <v>481</v>
      </c>
      <c r="P11" s="2452"/>
      <c r="Q11" s="2452"/>
      <c r="R11" s="2452"/>
      <c r="S11" s="2452"/>
      <c r="T11" s="2453"/>
    </row>
    <row r="12" spans="2:20">
      <c r="B12" s="2439"/>
      <c r="C12" s="2442"/>
      <c r="D12" s="364" t="s">
        <v>1526</v>
      </c>
      <c r="E12" s="364" t="str">
        <f>D12</f>
        <v xml:space="preserve">m </v>
      </c>
      <c r="F12" s="364" t="s">
        <v>211</v>
      </c>
      <c r="G12" s="364" t="s">
        <v>739</v>
      </c>
      <c r="H12" s="742" t="s">
        <v>739</v>
      </c>
      <c r="I12" s="364" t="s">
        <v>218</v>
      </c>
      <c r="J12" s="2449"/>
      <c r="K12" s="2449"/>
      <c r="L12" s="2436"/>
      <c r="M12" s="364" t="s">
        <v>509</v>
      </c>
      <c r="N12" s="364" t="str">
        <f>M12</f>
        <v>kPa</v>
      </c>
      <c r="O12" s="1626" t="s">
        <v>1081</v>
      </c>
      <c r="P12" s="2454"/>
      <c r="Q12" s="2454"/>
      <c r="R12" s="2454"/>
      <c r="S12" s="2454"/>
      <c r="T12" s="2455"/>
    </row>
    <row r="13" spans="2:20">
      <c r="B13" s="2425">
        <v>0</v>
      </c>
      <c r="C13" s="2411"/>
      <c r="D13" s="2411"/>
      <c r="E13" s="2411"/>
      <c r="F13" s="2419">
        <f>G9</f>
        <v>0</v>
      </c>
      <c r="G13" s="2419">
        <f>F13-G9</f>
        <v>0</v>
      </c>
      <c r="H13" s="2422">
        <f>G13*G8</f>
        <v>0</v>
      </c>
      <c r="I13" s="2422">
        <f>H13</f>
        <v>0</v>
      </c>
      <c r="J13" s="2419">
        <v>0</v>
      </c>
      <c r="K13" s="2419">
        <v>0</v>
      </c>
      <c r="L13" s="2419">
        <f>IF(H13=0,0,IF((100-J13-K13)&lt;0,0,100-J13-K13))</f>
        <v>0</v>
      </c>
      <c r="M13" s="2411"/>
      <c r="N13" s="2411"/>
      <c r="O13" s="2443"/>
      <c r="P13" s="758"/>
      <c r="Q13" s="758"/>
      <c r="R13" s="758"/>
      <c r="S13" s="758"/>
      <c r="T13" s="759"/>
    </row>
    <row r="14" spans="2:20">
      <c r="B14" s="2426"/>
      <c r="C14" s="2413"/>
      <c r="D14" s="2413"/>
      <c r="E14" s="2413"/>
      <c r="F14" s="2421"/>
      <c r="G14" s="2421"/>
      <c r="H14" s="2423"/>
      <c r="I14" s="2423"/>
      <c r="J14" s="2421"/>
      <c r="K14" s="2421"/>
      <c r="L14" s="2421"/>
      <c r="M14" s="2413"/>
      <c r="N14" s="2413"/>
      <c r="O14" s="2443"/>
      <c r="P14" s="173"/>
      <c r="Q14" s="173"/>
      <c r="R14" s="173"/>
      <c r="S14" s="173"/>
      <c r="T14" s="760"/>
    </row>
    <row r="15" spans="2:20">
      <c r="B15" s="2425"/>
      <c r="C15" s="2411"/>
      <c r="D15" s="2414"/>
      <c r="E15" s="2411"/>
      <c r="F15" s="2419">
        <f>F13</f>
        <v>0</v>
      </c>
      <c r="G15" s="2419">
        <f>F15-F13</f>
        <v>0</v>
      </c>
      <c r="H15" s="2422">
        <f>G15*G8</f>
        <v>0</v>
      </c>
      <c r="I15" s="2422">
        <f>I13+H15</f>
        <v>0</v>
      </c>
      <c r="J15" s="2419">
        <v>0</v>
      </c>
      <c r="K15" s="2419"/>
      <c r="L15" s="2419">
        <f>IF(H15=0,0,IF((100-J15-K15)&lt;0,0,100-J15-K15))</f>
        <v>0</v>
      </c>
      <c r="M15" s="2411"/>
      <c r="N15" s="2411"/>
      <c r="O15" s="2443"/>
      <c r="P15" s="758"/>
      <c r="Q15" s="758"/>
      <c r="R15" s="758"/>
      <c r="S15" s="758"/>
      <c r="T15" s="759"/>
    </row>
    <row r="16" spans="2:20">
      <c r="B16" s="2426"/>
      <c r="C16" s="2413"/>
      <c r="D16" s="2427"/>
      <c r="E16" s="2413"/>
      <c r="F16" s="2421"/>
      <c r="G16" s="2421"/>
      <c r="H16" s="2423"/>
      <c r="I16" s="2424"/>
      <c r="J16" s="2421"/>
      <c r="K16" s="2421"/>
      <c r="L16" s="2421"/>
      <c r="M16" s="2413"/>
      <c r="N16" s="2413"/>
      <c r="O16" s="2443"/>
      <c r="P16" s="173"/>
      <c r="Q16" s="173"/>
      <c r="R16" s="173"/>
      <c r="S16" s="173"/>
      <c r="T16" s="760"/>
    </row>
    <row r="17" spans="2:20">
      <c r="B17" s="2425"/>
      <c r="C17" s="2411"/>
      <c r="D17" s="2414"/>
      <c r="E17" s="2411"/>
      <c r="F17" s="2419">
        <f>F15</f>
        <v>0</v>
      </c>
      <c r="G17" s="2419">
        <f>F17-F15</f>
        <v>0</v>
      </c>
      <c r="H17" s="2422">
        <f>G17*G8</f>
        <v>0</v>
      </c>
      <c r="I17" s="2422">
        <f>I15+H17</f>
        <v>0</v>
      </c>
      <c r="J17" s="2419"/>
      <c r="K17" s="2419"/>
      <c r="L17" s="2419">
        <f>IF(H17=0,0,IF((100-J17-K17)&lt;0,0,100-J17-K17))</f>
        <v>0</v>
      </c>
      <c r="M17" s="2411"/>
      <c r="N17" s="2411"/>
      <c r="O17" s="2443"/>
      <c r="P17" s="758"/>
      <c r="Q17" s="758"/>
      <c r="R17" s="758"/>
      <c r="S17" s="758"/>
      <c r="T17" s="759"/>
    </row>
    <row r="18" spans="2:20">
      <c r="B18" s="2426"/>
      <c r="C18" s="2413"/>
      <c r="D18" s="2427"/>
      <c r="E18" s="2413"/>
      <c r="F18" s="2421"/>
      <c r="G18" s="2421"/>
      <c r="H18" s="2423"/>
      <c r="I18" s="2424"/>
      <c r="J18" s="2421"/>
      <c r="K18" s="2421"/>
      <c r="L18" s="2421"/>
      <c r="M18" s="2413"/>
      <c r="N18" s="2413"/>
      <c r="O18" s="2443"/>
      <c r="P18" s="173"/>
      <c r="Q18" s="173"/>
      <c r="R18" s="173"/>
      <c r="S18" s="173"/>
      <c r="T18" s="760"/>
    </row>
    <row r="19" spans="2:20">
      <c r="B19" s="2425"/>
      <c r="C19" s="2411"/>
      <c r="D19" s="2414"/>
      <c r="E19" s="2411"/>
      <c r="F19" s="2419">
        <f>F17</f>
        <v>0</v>
      </c>
      <c r="G19" s="2419">
        <f>F19-F17</f>
        <v>0</v>
      </c>
      <c r="H19" s="2422">
        <f>G19*G8</f>
        <v>0</v>
      </c>
      <c r="I19" s="2422">
        <f>I17+H19</f>
        <v>0</v>
      </c>
      <c r="J19" s="2419"/>
      <c r="K19" s="2419"/>
      <c r="L19" s="2419">
        <f>IF(H19=0,0,IF((100-J19-K19)&lt;0,0,100-J19-K19))</f>
        <v>0</v>
      </c>
      <c r="M19" s="2411"/>
      <c r="N19" s="2411"/>
      <c r="O19" s="2443"/>
      <c r="P19" s="758"/>
      <c r="Q19" s="758"/>
      <c r="R19" s="758"/>
      <c r="S19" s="758"/>
      <c r="T19" s="759"/>
    </row>
    <row r="20" spans="2:20">
      <c r="B20" s="2426"/>
      <c r="C20" s="2413"/>
      <c r="D20" s="2427"/>
      <c r="E20" s="2413"/>
      <c r="F20" s="2421"/>
      <c r="G20" s="2421"/>
      <c r="H20" s="2423"/>
      <c r="I20" s="2424"/>
      <c r="J20" s="2421"/>
      <c r="K20" s="2421"/>
      <c r="L20" s="2421"/>
      <c r="M20" s="2413"/>
      <c r="N20" s="2413"/>
      <c r="O20" s="2443"/>
      <c r="P20" s="173"/>
      <c r="Q20" s="173"/>
      <c r="R20" s="173"/>
      <c r="S20" s="173"/>
      <c r="T20" s="760"/>
    </row>
    <row r="21" spans="2:20">
      <c r="B21" s="2425"/>
      <c r="C21" s="2411"/>
      <c r="D21" s="2414"/>
      <c r="E21" s="2411"/>
      <c r="F21" s="2419">
        <f>F19</f>
        <v>0</v>
      </c>
      <c r="G21" s="2419">
        <f>F21-F19</f>
        <v>0</v>
      </c>
      <c r="H21" s="2422">
        <f>G21*G8</f>
        <v>0</v>
      </c>
      <c r="I21" s="2422">
        <f>I19+H21</f>
        <v>0</v>
      </c>
      <c r="J21" s="2419"/>
      <c r="K21" s="2419"/>
      <c r="L21" s="2419">
        <f>IF(H21=0,0,IF((100-J21-K21)&lt;0,0,100-J21-K21))</f>
        <v>0</v>
      </c>
      <c r="M21" s="2411"/>
      <c r="N21" s="2411"/>
      <c r="O21" s="2443"/>
      <c r="P21" s="758"/>
      <c r="Q21" s="758"/>
      <c r="R21" s="758"/>
      <c r="S21" s="758"/>
      <c r="T21" s="759"/>
    </row>
    <row r="22" spans="2:20">
      <c r="B22" s="2426"/>
      <c r="C22" s="2413"/>
      <c r="D22" s="2427"/>
      <c r="E22" s="2413"/>
      <c r="F22" s="2421"/>
      <c r="G22" s="2421"/>
      <c r="H22" s="2423"/>
      <c r="I22" s="2424"/>
      <c r="J22" s="2421"/>
      <c r="K22" s="2421"/>
      <c r="L22" s="2421"/>
      <c r="M22" s="2413"/>
      <c r="N22" s="2413"/>
      <c r="O22" s="2443"/>
      <c r="P22" s="173"/>
      <c r="Q22" s="173"/>
      <c r="R22" s="173"/>
      <c r="S22" s="173"/>
      <c r="T22" s="760"/>
    </row>
    <row r="23" spans="2:20">
      <c r="B23" s="2425"/>
      <c r="C23" s="2411"/>
      <c r="D23" s="2414"/>
      <c r="E23" s="2411"/>
      <c r="F23" s="2419">
        <f>F21</f>
        <v>0</v>
      </c>
      <c r="G23" s="2419">
        <f>F23-F21</f>
        <v>0</v>
      </c>
      <c r="H23" s="2422">
        <f>G23*G8</f>
        <v>0</v>
      </c>
      <c r="I23" s="2422">
        <f>I21+H23</f>
        <v>0</v>
      </c>
      <c r="J23" s="2419"/>
      <c r="K23" s="2419"/>
      <c r="L23" s="2419">
        <f>IF(H23=0,0,IF((100-J23-K23)&lt;0,0,100-J23-K23))</f>
        <v>0</v>
      </c>
      <c r="M23" s="2411"/>
      <c r="N23" s="2411"/>
      <c r="O23" s="2443"/>
      <c r="P23" s="758"/>
      <c r="Q23" s="758"/>
      <c r="R23" s="758"/>
      <c r="S23" s="758"/>
      <c r="T23" s="759"/>
    </row>
    <row r="24" spans="2:20">
      <c r="B24" s="2426"/>
      <c r="C24" s="2413"/>
      <c r="D24" s="2427"/>
      <c r="E24" s="2413"/>
      <c r="F24" s="2421"/>
      <c r="G24" s="2421"/>
      <c r="H24" s="2423"/>
      <c r="I24" s="2424"/>
      <c r="J24" s="2421"/>
      <c r="K24" s="2421"/>
      <c r="L24" s="2421"/>
      <c r="M24" s="2413"/>
      <c r="N24" s="2413"/>
      <c r="O24" s="2443"/>
      <c r="P24" s="173"/>
      <c r="Q24" s="173"/>
      <c r="R24" s="173"/>
      <c r="S24" s="173"/>
      <c r="T24" s="760"/>
    </row>
    <row r="25" spans="2:20">
      <c r="B25" s="2425"/>
      <c r="C25" s="2411"/>
      <c r="D25" s="2414"/>
      <c r="E25" s="2411"/>
      <c r="F25" s="2419">
        <f>F23</f>
        <v>0</v>
      </c>
      <c r="G25" s="2419">
        <f>F25-F23</f>
        <v>0</v>
      </c>
      <c r="H25" s="2422">
        <f>G25*G8</f>
        <v>0</v>
      </c>
      <c r="I25" s="2422">
        <f>I23+H25</f>
        <v>0</v>
      </c>
      <c r="J25" s="2419"/>
      <c r="K25" s="2419"/>
      <c r="L25" s="2419">
        <f>IF(H25=0,0,IF((100-J25-K25)&lt;0,0,100-J25-K25))</f>
        <v>0</v>
      </c>
      <c r="M25" s="2411"/>
      <c r="N25" s="2411"/>
      <c r="O25" s="2443"/>
      <c r="P25" s="758"/>
      <c r="Q25" s="758"/>
      <c r="R25" s="758"/>
      <c r="S25" s="758"/>
      <c r="T25" s="759"/>
    </row>
    <row r="26" spans="2:20">
      <c r="B26" s="2426"/>
      <c r="C26" s="2413"/>
      <c r="D26" s="2427"/>
      <c r="E26" s="2413"/>
      <c r="F26" s="2421"/>
      <c r="G26" s="2421"/>
      <c r="H26" s="2423"/>
      <c r="I26" s="2424"/>
      <c r="J26" s="2421"/>
      <c r="K26" s="2421"/>
      <c r="L26" s="2421"/>
      <c r="M26" s="2413"/>
      <c r="N26" s="2413"/>
      <c r="O26" s="2443"/>
      <c r="P26" s="173"/>
      <c r="Q26" s="173"/>
      <c r="R26" s="173"/>
      <c r="S26" s="173"/>
      <c r="T26" s="760"/>
    </row>
    <row r="27" spans="2:20">
      <c r="B27" s="2425"/>
      <c r="C27" s="2411"/>
      <c r="D27" s="2414"/>
      <c r="E27" s="2411"/>
      <c r="F27" s="2419">
        <f>F25</f>
        <v>0</v>
      </c>
      <c r="G27" s="2419">
        <f>F27-F25</f>
        <v>0</v>
      </c>
      <c r="H27" s="2422">
        <f>G27*G8</f>
        <v>0</v>
      </c>
      <c r="I27" s="2422">
        <f>I25+H27</f>
        <v>0</v>
      </c>
      <c r="J27" s="2419"/>
      <c r="K27" s="2419"/>
      <c r="L27" s="2419">
        <f>IF(H27=0,0,IF((100-J27-K27)&lt;0,0,100-J27-K27))</f>
        <v>0</v>
      </c>
      <c r="M27" s="2411"/>
      <c r="N27" s="2411"/>
      <c r="O27" s="2443"/>
      <c r="P27" s="758"/>
      <c r="Q27" s="758"/>
      <c r="R27" s="758"/>
      <c r="S27" s="758"/>
      <c r="T27" s="759"/>
    </row>
    <row r="28" spans="2:20">
      <c r="B28" s="2426"/>
      <c r="C28" s="2413"/>
      <c r="D28" s="2427"/>
      <c r="E28" s="2413"/>
      <c r="F28" s="2421"/>
      <c r="G28" s="2421"/>
      <c r="H28" s="2423"/>
      <c r="I28" s="2424"/>
      <c r="J28" s="2421"/>
      <c r="K28" s="2421"/>
      <c r="L28" s="2421"/>
      <c r="M28" s="2413"/>
      <c r="N28" s="2413"/>
      <c r="O28" s="2443"/>
      <c r="P28" s="173"/>
      <c r="Q28" s="173"/>
      <c r="R28" s="173"/>
      <c r="S28" s="173"/>
      <c r="T28" s="760"/>
    </row>
    <row r="29" spans="2:20">
      <c r="B29" s="2425"/>
      <c r="C29" s="2411"/>
      <c r="D29" s="2414"/>
      <c r="E29" s="2411"/>
      <c r="F29" s="2419">
        <f>F27</f>
        <v>0</v>
      </c>
      <c r="G29" s="2419">
        <f>F29-F27</f>
        <v>0</v>
      </c>
      <c r="H29" s="2422">
        <f>G29*G8</f>
        <v>0</v>
      </c>
      <c r="I29" s="2422">
        <f>I27+H29</f>
        <v>0</v>
      </c>
      <c r="J29" s="2419"/>
      <c r="K29" s="2419"/>
      <c r="L29" s="2419">
        <f>IF(H29=0,0,IF((100-J29-K29)&lt;0,0,100-J29-K29))</f>
        <v>0</v>
      </c>
      <c r="M29" s="2411"/>
      <c r="N29" s="2411"/>
      <c r="O29" s="2443"/>
      <c r="P29" s="758"/>
      <c r="Q29" s="758"/>
      <c r="R29" s="758"/>
      <c r="S29" s="758"/>
      <c r="T29" s="759"/>
    </row>
    <row r="30" spans="2:20">
      <c r="B30" s="2426"/>
      <c r="C30" s="2413"/>
      <c r="D30" s="2427"/>
      <c r="E30" s="2413"/>
      <c r="F30" s="2421"/>
      <c r="G30" s="2421"/>
      <c r="H30" s="2423"/>
      <c r="I30" s="2424"/>
      <c r="J30" s="2421"/>
      <c r="K30" s="2421"/>
      <c r="L30" s="2421"/>
      <c r="M30" s="2413"/>
      <c r="N30" s="2413"/>
      <c r="O30" s="2443"/>
      <c r="P30" s="173"/>
      <c r="Q30" s="173"/>
      <c r="R30" s="173"/>
      <c r="S30" s="173"/>
      <c r="T30" s="760"/>
    </row>
    <row r="31" spans="2:20">
      <c r="B31" s="2425"/>
      <c r="C31" s="2411"/>
      <c r="D31" s="2414"/>
      <c r="E31" s="2411"/>
      <c r="F31" s="2419">
        <f>F29</f>
        <v>0</v>
      </c>
      <c r="G31" s="2419">
        <f>F31-F29</f>
        <v>0</v>
      </c>
      <c r="H31" s="2422">
        <f>G31*G8</f>
        <v>0</v>
      </c>
      <c r="I31" s="2422">
        <f>I29+H31</f>
        <v>0</v>
      </c>
      <c r="J31" s="2419"/>
      <c r="K31" s="2419"/>
      <c r="L31" s="2419">
        <f>IF(H31=0,0,IF((100-J31-K31)&lt;0,0,100-J31-K31))</f>
        <v>0</v>
      </c>
      <c r="M31" s="2411"/>
      <c r="N31" s="2411"/>
      <c r="O31" s="2443"/>
      <c r="P31" s="758"/>
      <c r="Q31" s="758"/>
      <c r="R31" s="758"/>
      <c r="S31" s="758"/>
      <c r="T31" s="759"/>
    </row>
    <row r="32" spans="2:20">
      <c r="B32" s="2426"/>
      <c r="C32" s="2413"/>
      <c r="D32" s="2427"/>
      <c r="E32" s="2413"/>
      <c r="F32" s="2421"/>
      <c r="G32" s="2421"/>
      <c r="H32" s="2423"/>
      <c r="I32" s="2424"/>
      <c r="J32" s="2421"/>
      <c r="K32" s="2421"/>
      <c r="L32" s="2421"/>
      <c r="M32" s="2413"/>
      <c r="N32" s="2413"/>
      <c r="O32" s="2443"/>
      <c r="P32" s="173"/>
      <c r="Q32" s="173"/>
      <c r="R32" s="173"/>
      <c r="S32" s="173"/>
      <c r="T32" s="760"/>
    </row>
    <row r="33" spans="2:20">
      <c r="B33" s="2425"/>
      <c r="C33" s="2411"/>
      <c r="D33" s="2414"/>
      <c r="E33" s="2411"/>
      <c r="F33" s="2419">
        <f>F31</f>
        <v>0</v>
      </c>
      <c r="G33" s="2419">
        <f>F33-F31</f>
        <v>0</v>
      </c>
      <c r="H33" s="2422">
        <f>G33*G8</f>
        <v>0</v>
      </c>
      <c r="I33" s="2422">
        <f>I31+H33</f>
        <v>0</v>
      </c>
      <c r="J33" s="2419"/>
      <c r="K33" s="2419"/>
      <c r="L33" s="2419">
        <f>IF(H33=0,0,IF((100-J33-K33)&lt;0,0,100-J33-K33))</f>
        <v>0</v>
      </c>
      <c r="M33" s="2411"/>
      <c r="N33" s="2411"/>
      <c r="O33" s="2443"/>
      <c r="P33" s="758"/>
      <c r="Q33" s="758"/>
      <c r="R33" s="758"/>
      <c r="S33" s="758"/>
      <c r="T33" s="759"/>
    </row>
    <row r="34" spans="2:20">
      <c r="B34" s="2426"/>
      <c r="C34" s="2413"/>
      <c r="D34" s="2427"/>
      <c r="E34" s="2413"/>
      <c r="F34" s="2421"/>
      <c r="G34" s="2421"/>
      <c r="H34" s="2423"/>
      <c r="I34" s="2424"/>
      <c r="J34" s="2421"/>
      <c r="K34" s="2421"/>
      <c r="L34" s="2421"/>
      <c r="M34" s="2413"/>
      <c r="N34" s="2413"/>
      <c r="O34" s="2443"/>
      <c r="P34" s="173"/>
      <c r="Q34" s="173"/>
      <c r="R34" s="173"/>
      <c r="S34" s="173"/>
      <c r="T34" s="760"/>
    </row>
    <row r="35" spans="2:20">
      <c r="B35" s="2425"/>
      <c r="C35" s="2411"/>
      <c r="D35" s="2414"/>
      <c r="E35" s="2411"/>
      <c r="F35" s="2419">
        <f>F33</f>
        <v>0</v>
      </c>
      <c r="G35" s="2419">
        <f>F35-F33</f>
        <v>0</v>
      </c>
      <c r="H35" s="2422">
        <f>G35*G8</f>
        <v>0</v>
      </c>
      <c r="I35" s="2422">
        <f>I33+H35</f>
        <v>0</v>
      </c>
      <c r="J35" s="2419"/>
      <c r="K35" s="2419"/>
      <c r="L35" s="2419">
        <f>IF(H35=0,0,IF((100-J35-K35)&lt;0,0,100-J35-K35))</f>
        <v>0</v>
      </c>
      <c r="M35" s="2411"/>
      <c r="N35" s="2411"/>
      <c r="O35" s="2443"/>
      <c r="P35" s="758"/>
      <c r="Q35" s="758"/>
      <c r="R35" s="758"/>
      <c r="S35" s="758"/>
      <c r="T35" s="759"/>
    </row>
    <row r="36" spans="2:20">
      <c r="B36" s="2426"/>
      <c r="C36" s="2413"/>
      <c r="D36" s="2427"/>
      <c r="E36" s="2413"/>
      <c r="F36" s="2421"/>
      <c r="G36" s="2421"/>
      <c r="H36" s="2423"/>
      <c r="I36" s="2424"/>
      <c r="J36" s="2421"/>
      <c r="K36" s="2421"/>
      <c r="L36" s="2421"/>
      <c r="M36" s="2413"/>
      <c r="N36" s="2413"/>
      <c r="O36" s="2443"/>
      <c r="P36" s="173"/>
      <c r="Q36" s="173"/>
      <c r="R36" s="173"/>
      <c r="S36" s="173"/>
      <c r="T36" s="760"/>
    </row>
    <row r="37" spans="2:20">
      <c r="B37" s="2425"/>
      <c r="C37" s="2411"/>
      <c r="D37" s="2414"/>
      <c r="E37" s="2411"/>
      <c r="F37" s="2419">
        <f>F35</f>
        <v>0</v>
      </c>
      <c r="G37" s="2419">
        <f>F37-F35</f>
        <v>0</v>
      </c>
      <c r="H37" s="2422">
        <f>G37*G8</f>
        <v>0</v>
      </c>
      <c r="I37" s="2422">
        <f>I35+H37</f>
        <v>0</v>
      </c>
      <c r="J37" s="2419"/>
      <c r="K37" s="2419"/>
      <c r="L37" s="2419">
        <f>IF(H37=0,0,IF((100-J37-K37)&lt;0,0,100-J37-K37))</f>
        <v>0</v>
      </c>
      <c r="M37" s="2411"/>
      <c r="N37" s="2411"/>
      <c r="O37" s="2443"/>
      <c r="P37" s="758"/>
      <c r="Q37" s="758"/>
      <c r="R37" s="758"/>
      <c r="S37" s="758"/>
      <c r="T37" s="759"/>
    </row>
    <row r="38" spans="2:20">
      <c r="B38" s="2426"/>
      <c r="C38" s="2413"/>
      <c r="D38" s="2427"/>
      <c r="E38" s="2413"/>
      <c r="F38" s="2421"/>
      <c r="G38" s="2421"/>
      <c r="H38" s="2423"/>
      <c r="I38" s="2424"/>
      <c r="J38" s="2421"/>
      <c r="K38" s="2421"/>
      <c r="L38" s="2421"/>
      <c r="M38" s="2413"/>
      <c r="N38" s="2413"/>
      <c r="O38" s="2443"/>
      <c r="P38" s="173"/>
      <c r="Q38" s="173"/>
      <c r="R38" s="173"/>
      <c r="S38" s="173"/>
      <c r="T38" s="760"/>
    </row>
    <row r="39" spans="2:20">
      <c r="B39" s="2425"/>
      <c r="C39" s="2411"/>
      <c r="D39" s="2414"/>
      <c r="E39" s="2411"/>
      <c r="F39" s="2419">
        <f>F37</f>
        <v>0</v>
      </c>
      <c r="G39" s="2419">
        <f>F39-F37</f>
        <v>0</v>
      </c>
      <c r="H39" s="2422">
        <f>G39*G8</f>
        <v>0</v>
      </c>
      <c r="I39" s="2422">
        <f>I37+H39</f>
        <v>0</v>
      </c>
      <c r="J39" s="2419"/>
      <c r="K39" s="2419"/>
      <c r="L39" s="2419">
        <f>IF(H39=0,0,IF((100-J39-K39)&lt;0,0,100-J39-K39))</f>
        <v>0</v>
      </c>
      <c r="M39" s="2411"/>
      <c r="N39" s="2411"/>
      <c r="O39" s="2443"/>
      <c r="P39" s="758"/>
      <c r="Q39" s="758"/>
      <c r="R39" s="758"/>
      <c r="S39" s="758"/>
      <c r="T39" s="759"/>
    </row>
    <row r="40" spans="2:20">
      <c r="B40" s="2426"/>
      <c r="C40" s="2413"/>
      <c r="D40" s="2427"/>
      <c r="E40" s="2413"/>
      <c r="F40" s="2421"/>
      <c r="G40" s="2421"/>
      <c r="H40" s="2423"/>
      <c r="I40" s="2424"/>
      <c r="J40" s="2421"/>
      <c r="K40" s="2421"/>
      <c r="L40" s="2421"/>
      <c r="M40" s="2413"/>
      <c r="N40" s="2413"/>
      <c r="O40" s="2443"/>
      <c r="P40" s="173"/>
      <c r="Q40" s="173"/>
      <c r="R40" s="173"/>
      <c r="S40" s="173"/>
      <c r="T40" s="760"/>
    </row>
    <row r="41" spans="2:20">
      <c r="B41" s="2425"/>
      <c r="C41" s="2411"/>
      <c r="D41" s="2414"/>
      <c r="E41" s="2411"/>
      <c r="F41" s="2419">
        <f>F39</f>
        <v>0</v>
      </c>
      <c r="G41" s="2419">
        <f>F41-F39</f>
        <v>0</v>
      </c>
      <c r="H41" s="2422">
        <f>G41*G8</f>
        <v>0</v>
      </c>
      <c r="I41" s="2422">
        <f>I39+H41</f>
        <v>0</v>
      </c>
      <c r="J41" s="2419"/>
      <c r="K41" s="2419"/>
      <c r="L41" s="2419">
        <f>IF(H41=0,0,IF((100-J41-K41)&lt;0,0,100-J41-K41))</f>
        <v>0</v>
      </c>
      <c r="M41" s="2411"/>
      <c r="N41" s="2411"/>
      <c r="O41" s="2443"/>
      <c r="P41" s="758"/>
      <c r="Q41" s="758"/>
      <c r="R41" s="758"/>
      <c r="S41" s="758"/>
      <c r="T41" s="759"/>
    </row>
    <row r="42" spans="2:20">
      <c r="B42" s="2426"/>
      <c r="C42" s="2413"/>
      <c r="D42" s="2427"/>
      <c r="E42" s="2413"/>
      <c r="F42" s="2421"/>
      <c r="G42" s="2421"/>
      <c r="H42" s="2423"/>
      <c r="I42" s="2424"/>
      <c r="J42" s="2421"/>
      <c r="K42" s="2421"/>
      <c r="L42" s="2421"/>
      <c r="M42" s="2413"/>
      <c r="N42" s="2413"/>
      <c r="O42" s="2443"/>
      <c r="P42" s="173"/>
      <c r="Q42" s="173"/>
      <c r="R42" s="173"/>
      <c r="S42" s="173"/>
      <c r="T42" s="760"/>
    </row>
    <row r="43" spans="2:20">
      <c r="B43" s="2425"/>
      <c r="C43" s="2411"/>
      <c r="D43" s="2414"/>
      <c r="E43" s="2411"/>
      <c r="F43" s="2419">
        <f>F41</f>
        <v>0</v>
      </c>
      <c r="G43" s="2419">
        <f>F43-F41</f>
        <v>0</v>
      </c>
      <c r="H43" s="2422">
        <f>G43*G8</f>
        <v>0</v>
      </c>
      <c r="I43" s="2422">
        <f>I41+H43</f>
        <v>0</v>
      </c>
      <c r="J43" s="2419"/>
      <c r="K43" s="2419"/>
      <c r="L43" s="2419">
        <f>IF(H43=0,0,IF((100-J43-K43)&lt;0,0,100-J43-K43))</f>
        <v>0</v>
      </c>
      <c r="M43" s="2411"/>
      <c r="N43" s="2411"/>
      <c r="O43" s="2457"/>
      <c r="P43" s="365"/>
      <c r="Q43" s="365"/>
      <c r="R43" s="365"/>
      <c r="S43" s="365"/>
      <c r="T43" s="1086" t="str">
        <f>CONCATENATE("Ttl"," ",'Daily Load'!J532)</f>
        <v>Ttl Other (1)</v>
      </c>
    </row>
    <row r="44" spans="2:20" ht="13.75" thickBot="1">
      <c r="B44" s="2430"/>
      <c r="C44" s="2412"/>
      <c r="D44" s="2415"/>
      <c r="E44" s="2412"/>
      <c r="F44" s="2420"/>
      <c r="G44" s="2420"/>
      <c r="H44" s="2428"/>
      <c r="I44" s="2429"/>
      <c r="J44" s="2420"/>
      <c r="K44" s="2420"/>
      <c r="L44" s="2420"/>
      <c r="M44" s="2412"/>
      <c r="N44" s="2412"/>
      <c r="O44" s="2458"/>
      <c r="P44" s="1313" t="s">
        <v>806</v>
      </c>
      <c r="Q44" s="1314">
        <f>((H13*K13)+(H15*K15)+(H17*K17)+(H19*K19)+(H21*K21)+(H23*K23)+(H25*K25)+(H27*K27)+(H29*K29)+(H31*K31)+(H33*K33)+(H35*K35)+(H37*K37)+(H39*K39)+(H41*K41)+(H43*K43))/100</f>
        <v>0</v>
      </c>
      <c r="R44" s="1313" t="s">
        <v>807</v>
      </c>
      <c r="S44" s="1314">
        <f>((J13*H13)+(J15*H15)+(J17*H17)+(J19*H19)+(J21*H21)+(J23*H23)+(J25*H25)+(J27*H27)+(J29*H29)+(J31*H31)+(J33*H33)+(J35*H35)+(J37*H37)+(J39*H39)+(J41*H41)+(J43*H43))/100</f>
        <v>0</v>
      </c>
      <c r="T44" s="1395">
        <f>I43-Q44-S44</f>
        <v>0</v>
      </c>
    </row>
    <row r="45" spans="2:20">
      <c r="B45" s="752"/>
      <c r="C45" s="753"/>
      <c r="D45" s="753"/>
      <c r="E45" s="753"/>
      <c r="F45" s="754"/>
      <c r="G45" s="754"/>
      <c r="H45" s="755"/>
      <c r="I45" s="751"/>
      <c r="J45" s="754"/>
      <c r="K45" s="754"/>
      <c r="L45" s="754"/>
      <c r="M45" s="753"/>
      <c r="N45" s="753"/>
      <c r="O45" s="41"/>
      <c r="P45" s="756"/>
      <c r="Q45" s="41"/>
      <c r="R45" s="41"/>
      <c r="S45" s="756"/>
      <c r="T45" s="511"/>
    </row>
    <row r="46" spans="2:20" ht="13.75" thickBot="1">
      <c r="B46" s="512"/>
      <c r="C46" s="513"/>
      <c r="D46" s="513"/>
      <c r="E46" s="513"/>
      <c r="F46" s="514"/>
      <c r="G46" s="514"/>
      <c r="H46" s="515"/>
      <c r="I46" s="516"/>
      <c r="J46" s="514"/>
      <c r="K46" s="514"/>
      <c r="L46" s="514"/>
      <c r="M46" s="513"/>
      <c r="N46" s="513"/>
      <c r="O46" s="366"/>
      <c r="P46" s="509"/>
      <c r="Q46" s="366"/>
      <c r="R46" s="366"/>
      <c r="S46" s="509"/>
      <c r="T46" s="517"/>
    </row>
    <row r="47" spans="2:20">
      <c r="B47" s="2406">
        <f>B2</f>
        <v>0</v>
      </c>
      <c r="C47" s="2407"/>
      <c r="D47" s="2407"/>
      <c r="E47" s="2407"/>
      <c r="F47" s="2407"/>
      <c r="G47" s="2407"/>
      <c r="H47" s="2407"/>
      <c r="I47" s="2407"/>
      <c r="J47" s="2407"/>
      <c r="K47" s="2407"/>
      <c r="L47" s="2407"/>
      <c r="M47" s="2407"/>
      <c r="N47" s="2407"/>
      <c r="O47" s="2407"/>
      <c r="P47" s="2407"/>
      <c r="Q47" s="2407"/>
      <c r="R47" s="2407"/>
      <c r="S47" s="2407"/>
      <c r="T47" s="2408"/>
    </row>
    <row r="48" spans="2:20">
      <c r="B48" s="1790" t="s">
        <v>1453</v>
      </c>
      <c r="C48" s="1659"/>
      <c r="D48" s="1659"/>
      <c r="E48" s="1659"/>
      <c r="F48" s="1659"/>
      <c r="G48" s="1659"/>
      <c r="H48" s="1659"/>
      <c r="I48" s="1659"/>
      <c r="J48" s="1659"/>
      <c r="K48" s="1659"/>
      <c r="L48" s="1659"/>
      <c r="M48" s="1659"/>
      <c r="N48" s="1659"/>
      <c r="O48" s="1659"/>
      <c r="P48" s="1659"/>
      <c r="Q48" s="1659"/>
      <c r="R48" s="1659"/>
      <c r="S48" s="1659"/>
      <c r="T48" s="1778"/>
    </row>
    <row r="49" spans="2:20">
      <c r="B49" s="84"/>
      <c r="P49" s="120" t="s">
        <v>729</v>
      </c>
      <c r="Q49" s="4">
        <f>IF(B58&gt;0,2,0)</f>
        <v>0</v>
      </c>
      <c r="R49" s="4"/>
      <c r="S49" s="120" t="s">
        <v>730</v>
      </c>
      <c r="T49" s="133">
        <f>IF(Q49=2,2,0)</f>
        <v>0</v>
      </c>
    </row>
    <row r="50" spans="2:20">
      <c r="B50" s="84"/>
      <c r="E50"/>
      <c r="T50" s="39"/>
    </row>
    <row r="51" spans="2:20">
      <c r="B51" s="947" t="s">
        <v>634</v>
      </c>
      <c r="C51" s="23">
        <f>C6</f>
        <v>0</v>
      </c>
      <c r="T51" s="39"/>
    </row>
    <row r="52" spans="2:20">
      <c r="B52" s="84"/>
      <c r="T52" s="39"/>
    </row>
    <row r="53" spans="2:20">
      <c r="B53" s="84" t="s">
        <v>221</v>
      </c>
      <c r="C53" s="2416">
        <f>IF(Q49=2,C8,0)</f>
        <v>0</v>
      </c>
      <c r="D53" s="2416"/>
      <c r="E53" s="2000" t="s">
        <v>736</v>
      </c>
      <c r="F53" s="2000"/>
      <c r="G53" s="23">
        <f>G8</f>
        <v>0</v>
      </c>
      <c r="I53" s="1659" t="s">
        <v>737</v>
      </c>
      <c r="J53" s="1659"/>
      <c r="K53" s="168">
        <f>K8</f>
        <v>0</v>
      </c>
      <c r="N53" s="23" t="s">
        <v>660</v>
      </c>
      <c r="P53" s="23">
        <f>P8</f>
        <v>0</v>
      </c>
      <c r="T53" s="39"/>
    </row>
    <row r="54" spans="2:20">
      <c r="B54" s="84"/>
      <c r="D54" s="2417" t="s">
        <v>805</v>
      </c>
      <c r="E54" s="2417"/>
      <c r="F54" s="2417"/>
      <c r="G54" s="367">
        <f>F43</f>
        <v>0</v>
      </c>
      <c r="H54" s="2418" t="s">
        <v>1003</v>
      </c>
      <c r="I54" s="2418"/>
      <c r="J54" s="2418"/>
      <c r="K54" s="2409">
        <f>K9</f>
        <v>0</v>
      </c>
      <c r="L54" s="2409"/>
      <c r="M54" s="2409">
        <f>M9</f>
        <v>0</v>
      </c>
      <c r="N54" s="2409"/>
      <c r="O54" s="2409">
        <f>O9</f>
        <v>0</v>
      </c>
      <c r="P54" s="2409"/>
      <c r="Q54" s="2409">
        <f>Q9</f>
        <v>0</v>
      </c>
      <c r="R54" s="2409"/>
      <c r="S54" s="2409"/>
      <c r="T54" s="2410"/>
    </row>
    <row r="55" spans="2:20">
      <c r="B55" s="2437" t="s">
        <v>208</v>
      </c>
      <c r="C55" s="2440" t="s">
        <v>738</v>
      </c>
      <c r="D55" s="739" t="s">
        <v>209</v>
      </c>
      <c r="E55" s="739" t="s">
        <v>207</v>
      </c>
      <c r="F55" s="2431" t="s">
        <v>210</v>
      </c>
      <c r="G55" s="2431" t="s">
        <v>210</v>
      </c>
      <c r="H55" s="2431" t="s">
        <v>209</v>
      </c>
      <c r="I55" s="739" t="s">
        <v>801</v>
      </c>
      <c r="J55" s="2433" t="s">
        <v>802</v>
      </c>
      <c r="K55" s="2434"/>
      <c r="L55" s="2435"/>
      <c r="M55" s="739" t="s">
        <v>204</v>
      </c>
      <c r="N55" s="765" t="s">
        <v>260</v>
      </c>
      <c r="O55" s="1310" t="s">
        <v>270</v>
      </c>
      <c r="P55" s="2450" t="s">
        <v>212</v>
      </c>
      <c r="Q55" s="2450"/>
      <c r="R55" s="2450"/>
      <c r="S55" s="2450"/>
      <c r="T55" s="2451"/>
    </row>
    <row r="56" spans="2:20">
      <c r="B56" s="2438"/>
      <c r="C56" s="2441"/>
      <c r="D56" s="741" t="s">
        <v>214</v>
      </c>
      <c r="E56" s="741" t="s">
        <v>215</v>
      </c>
      <c r="F56" s="2432"/>
      <c r="G56" s="2432"/>
      <c r="H56" s="2432"/>
      <c r="I56" s="741" t="s">
        <v>209</v>
      </c>
      <c r="J56" s="2431" t="s">
        <v>803</v>
      </c>
      <c r="K56" s="2431" t="s">
        <v>804</v>
      </c>
      <c r="L56" s="2431" t="str">
        <f>L11</f>
        <v>Other (1)%</v>
      </c>
      <c r="M56" s="741" t="s">
        <v>217</v>
      </c>
      <c r="N56" s="766" t="s">
        <v>217</v>
      </c>
      <c r="O56" s="1311" t="s">
        <v>481</v>
      </c>
      <c r="P56" s="2452"/>
      <c r="Q56" s="2452"/>
      <c r="R56" s="2452"/>
      <c r="S56" s="2452"/>
      <c r="T56" s="2453"/>
    </row>
    <row r="57" spans="2:20">
      <c r="B57" s="2439"/>
      <c r="C57" s="2442"/>
      <c r="D57" s="740" t="str">
        <f>D12</f>
        <v xml:space="preserve">m </v>
      </c>
      <c r="E57" s="740" t="str">
        <f>D57</f>
        <v xml:space="preserve">m </v>
      </c>
      <c r="F57" s="740" t="s">
        <v>211</v>
      </c>
      <c r="G57" s="740" t="s">
        <v>739</v>
      </c>
      <c r="H57" s="742" t="str">
        <f>H12</f>
        <v>Gain</v>
      </c>
      <c r="I57" s="740" t="str">
        <f>I12</f>
        <v>m³</v>
      </c>
      <c r="J57" s="2436"/>
      <c r="K57" s="2436"/>
      <c r="L57" s="2436"/>
      <c r="M57" s="740" t="str">
        <f>M12</f>
        <v>kPa</v>
      </c>
      <c r="N57" s="767" t="str">
        <f>M57</f>
        <v>kPa</v>
      </c>
      <c r="O57" s="1312" t="str">
        <f>O12</f>
        <v>10³m³/d</v>
      </c>
      <c r="P57" s="2454"/>
      <c r="Q57" s="2454"/>
      <c r="R57" s="2454"/>
      <c r="S57" s="2454"/>
      <c r="T57" s="2455"/>
    </row>
    <row r="58" spans="2:20">
      <c r="B58" s="2425">
        <v>0</v>
      </c>
      <c r="C58" s="2411"/>
      <c r="D58" s="2411"/>
      <c r="E58" s="2411"/>
      <c r="F58" s="2419">
        <f>G54</f>
        <v>0</v>
      </c>
      <c r="G58" s="2419">
        <f>F58-G54</f>
        <v>0</v>
      </c>
      <c r="H58" s="2422">
        <f>G58*G53</f>
        <v>0</v>
      </c>
      <c r="I58" s="2422">
        <f>I43+H58</f>
        <v>0</v>
      </c>
      <c r="J58" s="2419">
        <v>0</v>
      </c>
      <c r="K58" s="2419"/>
      <c r="L58" s="2419">
        <f>IF(H58=0,0,IF((100-J58-K58)&lt;0,0,100-J58-K58))</f>
        <v>0</v>
      </c>
      <c r="M58" s="2411"/>
      <c r="N58" s="2411"/>
      <c r="O58" s="2443"/>
      <c r="P58" s="768"/>
      <c r="Q58" s="768"/>
      <c r="R58" s="768"/>
      <c r="S58" s="768"/>
      <c r="T58" s="185"/>
    </row>
    <row r="59" spans="2:20">
      <c r="B59" s="2426"/>
      <c r="C59" s="2413"/>
      <c r="D59" s="2413"/>
      <c r="E59" s="2413"/>
      <c r="F59" s="2421"/>
      <c r="G59" s="2421"/>
      <c r="H59" s="2423"/>
      <c r="I59" s="2423"/>
      <c r="J59" s="2421"/>
      <c r="K59" s="2421"/>
      <c r="L59" s="2421"/>
      <c r="M59" s="2413"/>
      <c r="N59" s="2413"/>
      <c r="O59" s="2443"/>
      <c r="P59" s="173"/>
      <c r="Q59" s="173"/>
      <c r="R59" s="173"/>
      <c r="S59" s="173"/>
      <c r="T59" s="760"/>
    </row>
    <row r="60" spans="2:20">
      <c r="B60" s="2425"/>
      <c r="C60" s="2411"/>
      <c r="D60" s="2414"/>
      <c r="E60" s="2411"/>
      <c r="F60" s="2419">
        <f>F58</f>
        <v>0</v>
      </c>
      <c r="G60" s="2419">
        <f>F60-F58</f>
        <v>0</v>
      </c>
      <c r="H60" s="2422">
        <f>G60*G53</f>
        <v>0</v>
      </c>
      <c r="I60" s="2422">
        <f>I58+H60</f>
        <v>0</v>
      </c>
      <c r="J60" s="2419"/>
      <c r="K60" s="2419"/>
      <c r="L60" s="2419">
        <f>IF(H60=0,0,IF((100-J60-K60)&lt;0,0,100-J60-K60))</f>
        <v>0</v>
      </c>
      <c r="M60" s="2411"/>
      <c r="N60" s="2411"/>
      <c r="O60" s="2443"/>
      <c r="P60" s="758"/>
      <c r="Q60" s="758"/>
      <c r="R60" s="758"/>
      <c r="S60" s="758"/>
      <c r="T60" s="759"/>
    </row>
    <row r="61" spans="2:20">
      <c r="B61" s="2426"/>
      <c r="C61" s="2413"/>
      <c r="D61" s="2427"/>
      <c r="E61" s="2413"/>
      <c r="F61" s="2421"/>
      <c r="G61" s="2421"/>
      <c r="H61" s="2423"/>
      <c r="I61" s="2424"/>
      <c r="J61" s="2421"/>
      <c r="K61" s="2421"/>
      <c r="L61" s="2421"/>
      <c r="M61" s="2413"/>
      <c r="N61" s="2413"/>
      <c r="O61" s="2443"/>
      <c r="P61" s="173"/>
      <c r="Q61" s="173"/>
      <c r="R61" s="173"/>
      <c r="S61" s="173"/>
      <c r="T61" s="760"/>
    </row>
    <row r="62" spans="2:20">
      <c r="B62" s="2425"/>
      <c r="C62" s="2411"/>
      <c r="D62" s="2414"/>
      <c r="E62" s="2411"/>
      <c r="F62" s="2419">
        <f>F60</f>
        <v>0</v>
      </c>
      <c r="G62" s="2419">
        <f>F62-F60</f>
        <v>0</v>
      </c>
      <c r="H62" s="2422">
        <f>G62*G53</f>
        <v>0</v>
      </c>
      <c r="I62" s="2422">
        <f>I60+H62</f>
        <v>0</v>
      </c>
      <c r="J62" s="2419"/>
      <c r="K62" s="2419"/>
      <c r="L62" s="2419">
        <f>IF(H62=0,0,IF((100-J62-K62)&lt;0,0,100-J62-K62))</f>
        <v>0</v>
      </c>
      <c r="M62" s="2411"/>
      <c r="N62" s="2411"/>
      <c r="O62" s="2443"/>
      <c r="P62" s="758"/>
      <c r="Q62" s="758"/>
      <c r="R62" s="758"/>
      <c r="S62" s="758"/>
      <c r="T62" s="759"/>
    </row>
    <row r="63" spans="2:20">
      <c r="B63" s="2426"/>
      <c r="C63" s="2413"/>
      <c r="D63" s="2427"/>
      <c r="E63" s="2413"/>
      <c r="F63" s="2421"/>
      <c r="G63" s="2421"/>
      <c r="H63" s="2423"/>
      <c r="I63" s="2424"/>
      <c r="J63" s="2421"/>
      <c r="K63" s="2421"/>
      <c r="L63" s="2421"/>
      <c r="M63" s="2413"/>
      <c r="N63" s="2413"/>
      <c r="O63" s="2443"/>
      <c r="P63" s="173"/>
      <c r="Q63" s="173"/>
      <c r="R63" s="173"/>
      <c r="S63" s="173"/>
      <c r="T63" s="760"/>
    </row>
    <row r="64" spans="2:20">
      <c r="B64" s="2425"/>
      <c r="C64" s="2411"/>
      <c r="D64" s="2414"/>
      <c r="E64" s="2411"/>
      <c r="F64" s="2419">
        <f>F62</f>
        <v>0</v>
      </c>
      <c r="G64" s="2419">
        <f>F64-F62</f>
        <v>0</v>
      </c>
      <c r="H64" s="2422">
        <f>G64*G53</f>
        <v>0</v>
      </c>
      <c r="I64" s="2422">
        <f>I62+H64</f>
        <v>0</v>
      </c>
      <c r="J64" s="2419"/>
      <c r="K64" s="2419"/>
      <c r="L64" s="2419">
        <f>IF(H64=0,0,IF((100-J64-K64)&lt;0,0,100-J64-K64))</f>
        <v>0</v>
      </c>
      <c r="M64" s="2411"/>
      <c r="N64" s="2411"/>
      <c r="O64" s="2443"/>
      <c r="P64" s="758"/>
      <c r="Q64" s="758"/>
      <c r="R64" s="758"/>
      <c r="S64" s="758"/>
      <c r="T64" s="759"/>
    </row>
    <row r="65" spans="2:20">
      <c r="B65" s="2426"/>
      <c r="C65" s="2413"/>
      <c r="D65" s="2427"/>
      <c r="E65" s="2413"/>
      <c r="F65" s="2421"/>
      <c r="G65" s="2421"/>
      <c r="H65" s="2423"/>
      <c r="I65" s="2424"/>
      <c r="J65" s="2421"/>
      <c r="K65" s="2421"/>
      <c r="L65" s="2421"/>
      <c r="M65" s="2413"/>
      <c r="N65" s="2413"/>
      <c r="O65" s="2443"/>
      <c r="P65" s="173"/>
      <c r="Q65" s="173"/>
      <c r="R65" s="173"/>
      <c r="S65" s="173"/>
      <c r="T65" s="760"/>
    </row>
    <row r="66" spans="2:20">
      <c r="B66" s="2425"/>
      <c r="C66" s="2411"/>
      <c r="D66" s="2414"/>
      <c r="E66" s="2411"/>
      <c r="F66" s="2419">
        <f>F64</f>
        <v>0</v>
      </c>
      <c r="G66" s="2419">
        <f>F66-F64</f>
        <v>0</v>
      </c>
      <c r="H66" s="2422">
        <f>G66*G53</f>
        <v>0</v>
      </c>
      <c r="I66" s="2422">
        <f>I64+H66</f>
        <v>0</v>
      </c>
      <c r="J66" s="2419"/>
      <c r="K66" s="2419"/>
      <c r="L66" s="2419">
        <f>IF(H66=0,0,IF((100-J66-K66)&lt;0,0,100-J66-K66))</f>
        <v>0</v>
      </c>
      <c r="M66" s="2411"/>
      <c r="N66" s="2411"/>
      <c r="O66" s="2443"/>
      <c r="P66" s="758"/>
      <c r="Q66" s="758"/>
      <c r="R66" s="758"/>
      <c r="S66" s="758"/>
      <c r="T66" s="759"/>
    </row>
    <row r="67" spans="2:20">
      <c r="B67" s="2426"/>
      <c r="C67" s="2413"/>
      <c r="D67" s="2427"/>
      <c r="E67" s="2413"/>
      <c r="F67" s="2421"/>
      <c r="G67" s="2421"/>
      <c r="H67" s="2423"/>
      <c r="I67" s="2424"/>
      <c r="J67" s="2421"/>
      <c r="K67" s="2421"/>
      <c r="L67" s="2421"/>
      <c r="M67" s="2413"/>
      <c r="N67" s="2413"/>
      <c r="O67" s="2443"/>
      <c r="P67" s="173"/>
      <c r="Q67" s="173"/>
      <c r="R67" s="173"/>
      <c r="S67" s="173"/>
      <c r="T67" s="760"/>
    </row>
    <row r="68" spans="2:20">
      <c r="B68" s="2425"/>
      <c r="C68" s="2411"/>
      <c r="D68" s="2414"/>
      <c r="E68" s="2411"/>
      <c r="F68" s="2419">
        <f>F66</f>
        <v>0</v>
      </c>
      <c r="G68" s="2419">
        <f>F68-F66</f>
        <v>0</v>
      </c>
      <c r="H68" s="2422">
        <f>G68*G53</f>
        <v>0</v>
      </c>
      <c r="I68" s="2422">
        <f>I66+H68</f>
        <v>0</v>
      </c>
      <c r="J68" s="2419"/>
      <c r="K68" s="2419"/>
      <c r="L68" s="2419">
        <f>IF(H68=0,0,IF((100-J68-K68)&lt;0,0,100-J68-K68))</f>
        <v>0</v>
      </c>
      <c r="M68" s="2411"/>
      <c r="N68" s="2411"/>
      <c r="O68" s="2443"/>
      <c r="P68" s="758"/>
      <c r="Q68" s="758"/>
      <c r="R68" s="758"/>
      <c r="S68" s="758"/>
      <c r="T68" s="759"/>
    </row>
    <row r="69" spans="2:20">
      <c r="B69" s="2426"/>
      <c r="C69" s="2413"/>
      <c r="D69" s="2427"/>
      <c r="E69" s="2413"/>
      <c r="F69" s="2421"/>
      <c r="G69" s="2421"/>
      <c r="H69" s="2423"/>
      <c r="I69" s="2424"/>
      <c r="J69" s="2421"/>
      <c r="K69" s="2421"/>
      <c r="L69" s="2421"/>
      <c r="M69" s="2413"/>
      <c r="N69" s="2413"/>
      <c r="O69" s="2443"/>
      <c r="P69" s="173"/>
      <c r="Q69" s="173"/>
      <c r="R69" s="173"/>
      <c r="S69" s="173"/>
      <c r="T69" s="760"/>
    </row>
    <row r="70" spans="2:20">
      <c r="B70" s="2425"/>
      <c r="C70" s="2411"/>
      <c r="D70" s="2414"/>
      <c r="E70" s="2411"/>
      <c r="F70" s="2419">
        <f>F68</f>
        <v>0</v>
      </c>
      <c r="G70" s="2419">
        <f>F70-F68</f>
        <v>0</v>
      </c>
      <c r="H70" s="2422">
        <f>G70*G53</f>
        <v>0</v>
      </c>
      <c r="I70" s="2422">
        <f>I68+H70</f>
        <v>0</v>
      </c>
      <c r="J70" s="2419"/>
      <c r="K70" s="2419"/>
      <c r="L70" s="2419">
        <f>IF(H70=0,0,IF((100-J70-K70)&lt;0,0,100-J70-K70))</f>
        <v>0</v>
      </c>
      <c r="M70" s="2411"/>
      <c r="N70" s="2411"/>
      <c r="O70" s="2443"/>
      <c r="P70" s="758"/>
      <c r="Q70" s="758"/>
      <c r="R70" s="758"/>
      <c r="S70" s="758"/>
      <c r="T70" s="759"/>
    </row>
    <row r="71" spans="2:20">
      <c r="B71" s="2426"/>
      <c r="C71" s="2413"/>
      <c r="D71" s="2427"/>
      <c r="E71" s="2413"/>
      <c r="F71" s="2421"/>
      <c r="G71" s="2421"/>
      <c r="H71" s="2423"/>
      <c r="I71" s="2424"/>
      <c r="J71" s="2421"/>
      <c r="K71" s="2421"/>
      <c r="L71" s="2421"/>
      <c r="M71" s="2413"/>
      <c r="N71" s="2413"/>
      <c r="O71" s="2443"/>
      <c r="P71" s="173"/>
      <c r="Q71" s="173"/>
      <c r="R71" s="173"/>
      <c r="S71" s="173"/>
      <c r="T71" s="760"/>
    </row>
    <row r="72" spans="2:20">
      <c r="B72" s="2425"/>
      <c r="C72" s="2411"/>
      <c r="D72" s="2414"/>
      <c r="E72" s="2411"/>
      <c r="F72" s="2419">
        <f>F70</f>
        <v>0</v>
      </c>
      <c r="G72" s="2419">
        <f>F72-F70</f>
        <v>0</v>
      </c>
      <c r="H72" s="2422">
        <f>G72*G53</f>
        <v>0</v>
      </c>
      <c r="I72" s="2422">
        <f>I70+H72</f>
        <v>0</v>
      </c>
      <c r="J72" s="2419"/>
      <c r="K72" s="2419"/>
      <c r="L72" s="2419">
        <f>IF(H72=0,0,IF((100-J72-K72)&lt;0,0,100-J72-K72))</f>
        <v>0</v>
      </c>
      <c r="M72" s="2411"/>
      <c r="N72" s="2411"/>
      <c r="O72" s="2443"/>
      <c r="P72" s="758"/>
      <c r="Q72" s="758"/>
      <c r="R72" s="758"/>
      <c r="S72" s="758"/>
      <c r="T72" s="759"/>
    </row>
    <row r="73" spans="2:20">
      <c r="B73" s="2426"/>
      <c r="C73" s="2413"/>
      <c r="D73" s="2427"/>
      <c r="E73" s="2413"/>
      <c r="F73" s="2421"/>
      <c r="G73" s="2421"/>
      <c r="H73" s="2423"/>
      <c r="I73" s="2424"/>
      <c r="J73" s="2421"/>
      <c r="K73" s="2421"/>
      <c r="L73" s="2421"/>
      <c r="M73" s="2413"/>
      <c r="N73" s="2413"/>
      <c r="O73" s="2443"/>
      <c r="P73" s="173"/>
      <c r="Q73" s="173"/>
      <c r="R73" s="173"/>
      <c r="S73" s="173"/>
      <c r="T73" s="760"/>
    </row>
    <row r="74" spans="2:20">
      <c r="B74" s="2425"/>
      <c r="C74" s="2411"/>
      <c r="D74" s="2414"/>
      <c r="E74" s="2411"/>
      <c r="F74" s="2419">
        <f>F72</f>
        <v>0</v>
      </c>
      <c r="G74" s="2419">
        <f>F74-F72</f>
        <v>0</v>
      </c>
      <c r="H74" s="2422">
        <f>G74*G53</f>
        <v>0</v>
      </c>
      <c r="I74" s="2422">
        <f>I72+H74</f>
        <v>0</v>
      </c>
      <c r="J74" s="2419"/>
      <c r="K74" s="2419"/>
      <c r="L74" s="2419">
        <f>IF(H74=0,0,IF((100-J74-K74)&lt;0,0,100-J74-K74))</f>
        <v>0</v>
      </c>
      <c r="M74" s="2411"/>
      <c r="N74" s="2411"/>
      <c r="O74" s="2443"/>
      <c r="P74" s="758"/>
      <c r="Q74" s="758"/>
      <c r="R74" s="758"/>
      <c r="S74" s="758"/>
      <c r="T74" s="759"/>
    </row>
    <row r="75" spans="2:20">
      <c r="B75" s="2426"/>
      <c r="C75" s="2413"/>
      <c r="D75" s="2427"/>
      <c r="E75" s="2413"/>
      <c r="F75" s="2421"/>
      <c r="G75" s="2421"/>
      <c r="H75" s="2423"/>
      <c r="I75" s="2424"/>
      <c r="J75" s="2421"/>
      <c r="K75" s="2421"/>
      <c r="L75" s="2421"/>
      <c r="M75" s="2413"/>
      <c r="N75" s="2413"/>
      <c r="O75" s="2443"/>
      <c r="P75" s="173"/>
      <c r="Q75" s="173"/>
      <c r="R75" s="173"/>
      <c r="S75" s="173"/>
      <c r="T75" s="760"/>
    </row>
    <row r="76" spans="2:20">
      <c r="B76" s="2425"/>
      <c r="C76" s="2411"/>
      <c r="D76" s="2414"/>
      <c r="E76" s="2411"/>
      <c r="F76" s="2419">
        <f>F74</f>
        <v>0</v>
      </c>
      <c r="G76" s="2419">
        <f>F76-F74</f>
        <v>0</v>
      </c>
      <c r="H76" s="2422">
        <f>G76*G53</f>
        <v>0</v>
      </c>
      <c r="I76" s="2422">
        <f>I74+H76</f>
        <v>0</v>
      </c>
      <c r="J76" s="2419"/>
      <c r="K76" s="2419"/>
      <c r="L76" s="2419">
        <f>IF(H76=0,0,IF((100-J76-K76)&lt;0,0,100-J76-K76))</f>
        <v>0</v>
      </c>
      <c r="M76" s="2411"/>
      <c r="N76" s="2411"/>
      <c r="O76" s="2443"/>
      <c r="P76" s="758"/>
      <c r="Q76" s="758"/>
      <c r="R76" s="758"/>
      <c r="S76" s="758"/>
      <c r="T76" s="759"/>
    </row>
    <row r="77" spans="2:20">
      <c r="B77" s="2426"/>
      <c r="C77" s="2413"/>
      <c r="D77" s="2427"/>
      <c r="E77" s="2413"/>
      <c r="F77" s="2421"/>
      <c r="G77" s="2421"/>
      <c r="H77" s="2423"/>
      <c r="I77" s="2424"/>
      <c r="J77" s="2421"/>
      <c r="K77" s="2421"/>
      <c r="L77" s="2421"/>
      <c r="M77" s="2413"/>
      <c r="N77" s="2413"/>
      <c r="O77" s="2443"/>
      <c r="P77" s="173"/>
      <c r="Q77" s="173"/>
      <c r="R77" s="173"/>
      <c r="S77" s="173"/>
      <c r="T77" s="760"/>
    </row>
    <row r="78" spans="2:20">
      <c r="B78" s="2425"/>
      <c r="C78" s="2411"/>
      <c r="D78" s="2414"/>
      <c r="E78" s="2411"/>
      <c r="F78" s="2419">
        <f>F76</f>
        <v>0</v>
      </c>
      <c r="G78" s="2419">
        <f>F78-F76</f>
        <v>0</v>
      </c>
      <c r="H78" s="2422">
        <f>G78*G53</f>
        <v>0</v>
      </c>
      <c r="I78" s="2422">
        <f>I76+H78</f>
        <v>0</v>
      </c>
      <c r="J78" s="2419"/>
      <c r="K78" s="2419"/>
      <c r="L78" s="2419">
        <f>IF(H78=0,0,IF((100-J78-K78)&lt;0,0,100-J78-K78))</f>
        <v>0</v>
      </c>
      <c r="M78" s="2411"/>
      <c r="N78" s="2411"/>
      <c r="O78" s="2443"/>
      <c r="P78" s="758"/>
      <c r="Q78" s="758"/>
      <c r="R78" s="758"/>
      <c r="S78" s="758"/>
      <c r="T78" s="759"/>
    </row>
    <row r="79" spans="2:20">
      <c r="B79" s="2426"/>
      <c r="C79" s="2413"/>
      <c r="D79" s="2427"/>
      <c r="E79" s="2413"/>
      <c r="F79" s="2421"/>
      <c r="G79" s="2421"/>
      <c r="H79" s="2423"/>
      <c r="I79" s="2424"/>
      <c r="J79" s="2421"/>
      <c r="K79" s="2421"/>
      <c r="L79" s="2421"/>
      <c r="M79" s="2413"/>
      <c r="N79" s="2413"/>
      <c r="O79" s="2443"/>
      <c r="P79" s="173"/>
      <c r="Q79" s="173"/>
      <c r="R79" s="173"/>
      <c r="S79" s="173"/>
      <c r="T79" s="760"/>
    </row>
    <row r="80" spans="2:20">
      <c r="B80" s="2425"/>
      <c r="C80" s="2411"/>
      <c r="D80" s="2414"/>
      <c r="E80" s="2411"/>
      <c r="F80" s="2419">
        <f>F78</f>
        <v>0</v>
      </c>
      <c r="G80" s="2419">
        <f>F80-F78</f>
        <v>0</v>
      </c>
      <c r="H80" s="2422">
        <f>G80*G53</f>
        <v>0</v>
      </c>
      <c r="I80" s="2422">
        <f>I78+H80</f>
        <v>0</v>
      </c>
      <c r="J80" s="2419"/>
      <c r="K80" s="2419"/>
      <c r="L80" s="2419">
        <f>IF(H80=0,0,IF((100-J80-K80)&lt;0,0,100-J80-K80))</f>
        <v>0</v>
      </c>
      <c r="M80" s="2411"/>
      <c r="N80" s="2411"/>
      <c r="O80" s="2443"/>
      <c r="P80" s="758"/>
      <c r="Q80" s="758"/>
      <c r="R80" s="758"/>
      <c r="S80" s="758"/>
      <c r="T80" s="759"/>
    </row>
    <row r="81" spans="2:20">
      <c r="B81" s="2426"/>
      <c r="C81" s="2413"/>
      <c r="D81" s="2427"/>
      <c r="E81" s="2413"/>
      <c r="F81" s="2421"/>
      <c r="G81" s="2421"/>
      <c r="H81" s="2423"/>
      <c r="I81" s="2424"/>
      <c r="J81" s="2421"/>
      <c r="K81" s="2421"/>
      <c r="L81" s="2421"/>
      <c r="M81" s="2413"/>
      <c r="N81" s="2413"/>
      <c r="O81" s="2443"/>
      <c r="P81" s="173"/>
      <c r="Q81" s="173"/>
      <c r="R81" s="173"/>
      <c r="S81" s="173"/>
      <c r="T81" s="760"/>
    </row>
    <row r="82" spans="2:20">
      <c r="B82" s="2425"/>
      <c r="C82" s="2411"/>
      <c r="D82" s="2414"/>
      <c r="E82" s="2411"/>
      <c r="F82" s="2419">
        <f>F80</f>
        <v>0</v>
      </c>
      <c r="G82" s="2419">
        <f>F82-F80</f>
        <v>0</v>
      </c>
      <c r="H82" s="2422">
        <f>G82*G53</f>
        <v>0</v>
      </c>
      <c r="I82" s="2422">
        <f>I80+H82</f>
        <v>0</v>
      </c>
      <c r="J82" s="2419"/>
      <c r="K82" s="2419"/>
      <c r="L82" s="2419">
        <f>IF(H82=0,0,IF((100-J82-K82)&lt;0,0,100-J82-K82))</f>
        <v>0</v>
      </c>
      <c r="M82" s="2411"/>
      <c r="N82" s="2411"/>
      <c r="O82" s="2443"/>
      <c r="P82" s="758"/>
      <c r="Q82" s="758"/>
      <c r="R82" s="758"/>
      <c r="S82" s="758"/>
      <c r="T82" s="759"/>
    </row>
    <row r="83" spans="2:20">
      <c r="B83" s="2426"/>
      <c r="C83" s="2413"/>
      <c r="D83" s="2427"/>
      <c r="E83" s="2413"/>
      <c r="F83" s="2421"/>
      <c r="G83" s="2421"/>
      <c r="H83" s="2423"/>
      <c r="I83" s="2424"/>
      <c r="J83" s="2421"/>
      <c r="K83" s="2421"/>
      <c r="L83" s="2421"/>
      <c r="M83" s="2413"/>
      <c r="N83" s="2413"/>
      <c r="O83" s="2443"/>
      <c r="P83" s="173"/>
      <c r="Q83" s="173"/>
      <c r="R83" s="173"/>
      <c r="S83" s="173"/>
      <c r="T83" s="760"/>
    </row>
    <row r="84" spans="2:20">
      <c r="B84" s="2425"/>
      <c r="C84" s="2411"/>
      <c r="D84" s="2414"/>
      <c r="E84" s="2411"/>
      <c r="F84" s="2419">
        <f>F82</f>
        <v>0</v>
      </c>
      <c r="G84" s="2419">
        <f>F84-F82</f>
        <v>0</v>
      </c>
      <c r="H84" s="2422">
        <f>G84*G53</f>
        <v>0</v>
      </c>
      <c r="I84" s="2422">
        <f>I82+H84</f>
        <v>0</v>
      </c>
      <c r="J84" s="2419"/>
      <c r="K84" s="2419"/>
      <c r="L84" s="2419">
        <f>IF(H84=0,0,IF((100-J84-K84)&lt;0,0,100-J84-K84))</f>
        <v>0</v>
      </c>
      <c r="M84" s="2411"/>
      <c r="N84" s="2411"/>
      <c r="O84" s="2443"/>
      <c r="P84" s="758"/>
      <c r="Q84" s="758"/>
      <c r="R84" s="758"/>
      <c r="S84" s="758"/>
      <c r="T84" s="759"/>
    </row>
    <row r="85" spans="2:20">
      <c r="B85" s="2426"/>
      <c r="C85" s="2413"/>
      <c r="D85" s="2427"/>
      <c r="E85" s="2413"/>
      <c r="F85" s="2421"/>
      <c r="G85" s="2421"/>
      <c r="H85" s="2423"/>
      <c r="I85" s="2424"/>
      <c r="J85" s="2421"/>
      <c r="K85" s="2421"/>
      <c r="L85" s="2421"/>
      <c r="M85" s="2413"/>
      <c r="N85" s="2413"/>
      <c r="O85" s="2443"/>
      <c r="P85" s="173"/>
      <c r="Q85" s="173"/>
      <c r="R85" s="173"/>
      <c r="S85" s="173"/>
      <c r="T85" s="760"/>
    </row>
    <row r="86" spans="2:20">
      <c r="B86" s="2425"/>
      <c r="C86" s="2411"/>
      <c r="D86" s="2414"/>
      <c r="E86" s="2411"/>
      <c r="F86" s="2419">
        <f>F84</f>
        <v>0</v>
      </c>
      <c r="G86" s="2419">
        <f>F86-F84</f>
        <v>0</v>
      </c>
      <c r="H86" s="2422">
        <f>G86*G53</f>
        <v>0</v>
      </c>
      <c r="I86" s="2422">
        <f>I84+H86</f>
        <v>0</v>
      </c>
      <c r="J86" s="2419"/>
      <c r="K86" s="2419"/>
      <c r="L86" s="2419">
        <f>IF(H86=0,0,IF((100-J86-K86)&lt;0,0,100-J86-K86))</f>
        <v>0</v>
      </c>
      <c r="M86" s="2411"/>
      <c r="N86" s="2411"/>
      <c r="O86" s="2443"/>
      <c r="P86" s="758"/>
      <c r="Q86" s="758"/>
      <c r="R86" s="758"/>
      <c r="S86" s="758"/>
      <c r="T86" s="759"/>
    </row>
    <row r="87" spans="2:20" ht="13.75" thickBot="1">
      <c r="B87" s="2426"/>
      <c r="C87" s="2413"/>
      <c r="D87" s="2427"/>
      <c r="E87" s="2413"/>
      <c r="F87" s="2421"/>
      <c r="G87" s="2421"/>
      <c r="H87" s="2423"/>
      <c r="I87" s="2424"/>
      <c r="J87" s="2421"/>
      <c r="K87" s="2421"/>
      <c r="L87" s="2421"/>
      <c r="M87" s="2413"/>
      <c r="N87" s="2413"/>
      <c r="O87" s="2443"/>
      <c r="P87" s="173"/>
      <c r="Q87" s="173"/>
      <c r="R87" s="173"/>
      <c r="S87" s="173"/>
      <c r="T87" s="185"/>
    </row>
    <row r="88" spans="2:20">
      <c r="B88" s="2425"/>
      <c r="C88" s="2411"/>
      <c r="D88" s="2414"/>
      <c r="E88" s="2411"/>
      <c r="F88" s="2419">
        <f>F86</f>
        <v>0</v>
      </c>
      <c r="G88" s="2419">
        <f>F88-F86</f>
        <v>0</v>
      </c>
      <c r="H88" s="2422">
        <f>G88*G53</f>
        <v>0</v>
      </c>
      <c r="I88" s="2422">
        <f>I86+H88</f>
        <v>0</v>
      </c>
      <c r="J88" s="2419"/>
      <c r="K88" s="2419"/>
      <c r="L88" s="2419">
        <f>IF(H88=0,0,IF((100-J88-K88)&lt;0,0,100-J88-K88))</f>
        <v>0</v>
      </c>
      <c r="M88" s="2411"/>
      <c r="N88" s="2411"/>
      <c r="O88" s="2457"/>
      <c r="P88" s="365"/>
      <c r="Q88" s="365"/>
      <c r="R88" s="365"/>
      <c r="S88" s="365"/>
      <c r="T88" s="1087" t="str">
        <f>T43</f>
        <v>Ttl Other (1)</v>
      </c>
    </row>
    <row r="89" spans="2:20" ht="13.75" thickBot="1">
      <c r="B89" s="2430"/>
      <c r="C89" s="2412"/>
      <c r="D89" s="2415"/>
      <c r="E89" s="2412"/>
      <c r="F89" s="2420"/>
      <c r="G89" s="2420"/>
      <c r="H89" s="2428"/>
      <c r="I89" s="2429"/>
      <c r="J89" s="2420"/>
      <c r="K89" s="2420"/>
      <c r="L89" s="2420"/>
      <c r="M89" s="2412"/>
      <c r="N89" s="2412"/>
      <c r="O89" s="2458"/>
      <c r="P89" s="1313" t="s">
        <v>806</v>
      </c>
      <c r="Q89" s="1314">
        <f>((H58*K58)+(H60*K60)+(H62*K62)+(H64*K64)+(H66*K66)+(H68*K68)+(H70*K70)+(H72*K72)+(H74*K74)+(H76*K76)+(H78*K78)+(H80*K80)+(H82*K82)+(H84*K84)+(H86*K86)+(H88*K88))/100+Q44</f>
        <v>0</v>
      </c>
      <c r="R89" s="1313" t="s">
        <v>807</v>
      </c>
      <c r="S89" s="1314">
        <f>((J58*H58)+(J60*H60)+(J62*H62)+(J64*H64)+(J66*H66)+(J68*H68)+(J70*H70)+(J72*H72)+(J74*H74)+(J76*H76)+(J78*H78)+(J80*H80)+(J82*H82)+(J84*H84)+(J86*H86)+(J88*H88))/100+S44</f>
        <v>0</v>
      </c>
      <c r="T89" s="764">
        <f>I88-Q89-S89</f>
        <v>0</v>
      </c>
    </row>
    <row r="90" spans="2:20">
      <c r="B90" s="752"/>
      <c r="C90" s="753"/>
      <c r="D90" s="753"/>
      <c r="E90" s="753"/>
      <c r="F90" s="754"/>
      <c r="G90" s="754"/>
      <c r="H90" s="755"/>
      <c r="I90" s="751"/>
      <c r="J90" s="754"/>
      <c r="K90" s="754"/>
      <c r="L90" s="754"/>
      <c r="M90" s="753"/>
      <c r="N90" s="753"/>
      <c r="O90" s="41"/>
      <c r="P90" s="756"/>
      <c r="Q90" s="41"/>
      <c r="R90" s="41"/>
      <c r="S90" s="756"/>
      <c r="T90" s="761"/>
    </row>
    <row r="91" spans="2:20" ht="13.75" thickBot="1">
      <c r="B91" s="512"/>
      <c r="C91" s="757"/>
      <c r="D91" s="513"/>
      <c r="E91" s="513"/>
      <c r="F91" s="514"/>
      <c r="G91" s="514"/>
      <c r="H91" s="515"/>
      <c r="I91" s="516"/>
      <c r="J91" s="514"/>
      <c r="K91" s="514"/>
      <c r="L91" s="514"/>
      <c r="M91" s="513"/>
      <c r="N91" s="513"/>
      <c r="O91" s="366"/>
      <c r="P91" s="366"/>
      <c r="Q91" s="366"/>
      <c r="R91" s="366"/>
      <c r="S91" s="366"/>
      <c r="T91" s="762"/>
    </row>
    <row r="92" spans="2:20">
      <c r="B92" s="2406">
        <f>B47</f>
        <v>0</v>
      </c>
      <c r="C92" s="2407"/>
      <c r="D92" s="2407"/>
      <c r="E92" s="2407"/>
      <c r="F92" s="2407"/>
      <c r="G92" s="2407"/>
      <c r="H92" s="2407"/>
      <c r="I92" s="2407"/>
      <c r="J92" s="2407"/>
      <c r="K92" s="2407"/>
      <c r="L92" s="2407"/>
      <c r="M92" s="2407"/>
      <c r="N92" s="2407"/>
      <c r="O92" s="2407"/>
      <c r="P92" s="2407"/>
      <c r="Q92" s="2407"/>
      <c r="R92" s="2407"/>
      <c r="S92" s="2407"/>
      <c r="T92" s="2408"/>
    </row>
    <row r="93" spans="2:20">
      <c r="B93" s="1790" t="s">
        <v>1453</v>
      </c>
      <c r="C93" s="1659"/>
      <c r="D93" s="1659"/>
      <c r="E93" s="1659"/>
      <c r="F93" s="1659"/>
      <c r="G93" s="1659"/>
      <c r="H93" s="1659"/>
      <c r="I93" s="1659"/>
      <c r="J93" s="1659"/>
      <c r="K93" s="1659"/>
      <c r="L93" s="1659"/>
      <c r="M93" s="1659"/>
      <c r="N93" s="1659"/>
      <c r="O93" s="1659"/>
      <c r="P93" s="1659"/>
      <c r="Q93" s="1659"/>
      <c r="R93" s="1659"/>
      <c r="S93" s="1659"/>
      <c r="T93" s="1778"/>
    </row>
    <row r="94" spans="2:20">
      <c r="B94" s="84"/>
      <c r="P94" s="120" t="s">
        <v>729</v>
      </c>
      <c r="Q94" s="4">
        <f>IF(B103&gt;0,1,0)</f>
        <v>0</v>
      </c>
      <c r="R94" s="4"/>
      <c r="S94" s="120" t="s">
        <v>730</v>
      </c>
      <c r="T94" s="133">
        <f>IF(T139=2,2,Q94)</f>
        <v>0</v>
      </c>
    </row>
    <row r="95" spans="2:20">
      <c r="B95" s="84"/>
      <c r="E95"/>
      <c r="T95" s="39"/>
    </row>
    <row r="96" spans="2:20">
      <c r="B96" s="947" t="s">
        <v>634</v>
      </c>
      <c r="C96" s="23">
        <f>C51</f>
        <v>0</v>
      </c>
      <c r="T96" s="39"/>
    </row>
    <row r="97" spans="2:20">
      <c r="B97" s="84"/>
      <c r="T97" s="39"/>
    </row>
    <row r="98" spans="2:20">
      <c r="B98" s="84" t="s">
        <v>221</v>
      </c>
      <c r="C98" s="2416"/>
      <c r="D98" s="2416"/>
      <c r="E98" s="2000" t="s">
        <v>736</v>
      </c>
      <c r="F98" s="2000"/>
      <c r="G98" s="23">
        <v>0</v>
      </c>
      <c r="I98" s="1659" t="s">
        <v>737</v>
      </c>
      <c r="J98" s="1659"/>
      <c r="K98" s="168">
        <f>K53</f>
        <v>0</v>
      </c>
      <c r="N98" s="23" t="s">
        <v>660</v>
      </c>
      <c r="P98" s="23">
        <f>P53</f>
        <v>0</v>
      </c>
      <c r="T98" s="39"/>
    </row>
    <row r="99" spans="2:20">
      <c r="B99" s="84"/>
      <c r="D99" s="2417" t="s">
        <v>805</v>
      </c>
      <c r="E99" s="2417"/>
      <c r="F99" s="2417"/>
      <c r="G99" s="367">
        <v>0</v>
      </c>
      <c r="H99" s="2418" t="s">
        <v>1003</v>
      </c>
      <c r="I99" s="2418"/>
      <c r="J99" s="2418"/>
      <c r="K99" s="2409">
        <f>K54</f>
        <v>0</v>
      </c>
      <c r="L99" s="2409"/>
      <c r="M99" s="2409">
        <f>M54</f>
        <v>0</v>
      </c>
      <c r="N99" s="2409"/>
      <c r="O99" s="2409">
        <f>O54</f>
        <v>0</v>
      </c>
      <c r="P99" s="2409"/>
      <c r="Q99" s="2409">
        <f>Q54</f>
        <v>0</v>
      </c>
      <c r="R99" s="2409"/>
      <c r="S99" s="2409"/>
      <c r="T99" s="2410"/>
    </row>
    <row r="100" spans="2:20">
      <c r="B100" s="2437" t="s">
        <v>208</v>
      </c>
      <c r="C100" s="2440" t="s">
        <v>738</v>
      </c>
      <c r="D100" s="739" t="s">
        <v>209</v>
      </c>
      <c r="E100" s="739" t="s">
        <v>207</v>
      </c>
      <c r="F100" s="2431" t="s">
        <v>210</v>
      </c>
      <c r="G100" s="2431" t="s">
        <v>210</v>
      </c>
      <c r="H100" s="2431" t="s">
        <v>209</v>
      </c>
      <c r="I100" s="739" t="s">
        <v>801</v>
      </c>
      <c r="J100" s="2433" t="s">
        <v>802</v>
      </c>
      <c r="K100" s="2434"/>
      <c r="L100" s="2435"/>
      <c r="M100" s="739" t="s">
        <v>204</v>
      </c>
      <c r="N100" s="739" t="s">
        <v>260</v>
      </c>
      <c r="O100" s="1310" t="s">
        <v>270</v>
      </c>
      <c r="P100" s="2450" t="s">
        <v>212</v>
      </c>
      <c r="Q100" s="2450"/>
      <c r="R100" s="2450"/>
      <c r="S100" s="2450"/>
      <c r="T100" s="2451"/>
    </row>
    <row r="101" spans="2:20">
      <c r="B101" s="2438"/>
      <c r="C101" s="2441"/>
      <c r="D101" s="741" t="s">
        <v>214</v>
      </c>
      <c r="E101" s="741" t="s">
        <v>215</v>
      </c>
      <c r="F101" s="2432"/>
      <c r="G101" s="2432"/>
      <c r="H101" s="2432"/>
      <c r="I101" s="741" t="s">
        <v>209</v>
      </c>
      <c r="J101" s="2431" t="s">
        <v>803</v>
      </c>
      <c r="K101" s="2431" t="s">
        <v>804</v>
      </c>
      <c r="L101" s="2431" t="str">
        <f>L56</f>
        <v>Other (1)%</v>
      </c>
      <c r="M101" s="741" t="s">
        <v>217</v>
      </c>
      <c r="N101" s="741" t="s">
        <v>217</v>
      </c>
      <c r="O101" s="1311" t="s">
        <v>481</v>
      </c>
      <c r="P101" s="2452"/>
      <c r="Q101" s="2452"/>
      <c r="R101" s="2452"/>
      <c r="S101" s="2452"/>
      <c r="T101" s="2453"/>
    </row>
    <row r="102" spans="2:20">
      <c r="B102" s="2439"/>
      <c r="C102" s="2442"/>
      <c r="D102" s="740" t="str">
        <f>D57</f>
        <v xml:space="preserve">m </v>
      </c>
      <c r="E102" s="740" t="str">
        <f>E57</f>
        <v xml:space="preserve">m </v>
      </c>
      <c r="F102" s="740" t="s">
        <v>211</v>
      </c>
      <c r="G102" s="740" t="s">
        <v>739</v>
      </c>
      <c r="H102" s="742" t="str">
        <f>H57</f>
        <v>Gain</v>
      </c>
      <c r="I102" s="740" t="str">
        <f>I57</f>
        <v>m³</v>
      </c>
      <c r="J102" s="2436"/>
      <c r="K102" s="2436"/>
      <c r="L102" s="2436"/>
      <c r="M102" s="740" t="str">
        <f>N102</f>
        <v>kPa</v>
      </c>
      <c r="N102" s="740" t="str">
        <f>N57</f>
        <v>kPa</v>
      </c>
      <c r="O102" s="1312" t="str">
        <f>O57</f>
        <v>10³m³/d</v>
      </c>
      <c r="P102" s="2454"/>
      <c r="Q102" s="2454"/>
      <c r="R102" s="2454"/>
      <c r="S102" s="2454"/>
      <c r="T102" s="2455"/>
    </row>
    <row r="103" spans="2:20">
      <c r="B103" s="2425">
        <v>0</v>
      </c>
      <c r="C103" s="2411"/>
      <c r="D103" s="2411"/>
      <c r="E103" s="2411"/>
      <c r="F103" s="2419">
        <f>G99</f>
        <v>0</v>
      </c>
      <c r="G103" s="2419">
        <f>F103-G99</f>
        <v>0</v>
      </c>
      <c r="H103" s="2422">
        <f>G103*G98</f>
        <v>0</v>
      </c>
      <c r="I103" s="2422">
        <f>H103</f>
        <v>0</v>
      </c>
      <c r="J103" s="2419">
        <v>0</v>
      </c>
      <c r="K103" s="2419">
        <v>0</v>
      </c>
      <c r="L103" s="2419">
        <f>IF(H103=0,0,IF((100-J103-K103)&lt;0,0,100-J103-K103))</f>
        <v>0</v>
      </c>
      <c r="M103" s="2411"/>
      <c r="N103" s="2411"/>
      <c r="O103" s="2443"/>
      <c r="P103" s="758"/>
      <c r="Q103" s="758"/>
      <c r="R103" s="758"/>
      <c r="S103" s="758"/>
      <c r="T103" s="759"/>
    </row>
    <row r="104" spans="2:20">
      <c r="B104" s="2426"/>
      <c r="C104" s="2413"/>
      <c r="D104" s="2413"/>
      <c r="E104" s="2413"/>
      <c r="F104" s="2421"/>
      <c r="G104" s="2421"/>
      <c r="H104" s="2423"/>
      <c r="I104" s="2423"/>
      <c r="J104" s="2421"/>
      <c r="K104" s="2421"/>
      <c r="L104" s="2421"/>
      <c r="M104" s="2413"/>
      <c r="N104" s="2413"/>
      <c r="O104" s="2443"/>
      <c r="P104" s="173"/>
      <c r="Q104" s="173"/>
      <c r="R104" s="173"/>
      <c r="S104" s="173"/>
      <c r="T104" s="760"/>
    </row>
    <row r="105" spans="2:20">
      <c r="B105" s="2425"/>
      <c r="C105" s="2411"/>
      <c r="D105" s="2414"/>
      <c r="E105" s="2411"/>
      <c r="F105" s="2419">
        <f>F103</f>
        <v>0</v>
      </c>
      <c r="G105" s="2419">
        <f>F105-F103</f>
        <v>0</v>
      </c>
      <c r="H105" s="2422">
        <f>G105*G98</f>
        <v>0</v>
      </c>
      <c r="I105" s="2422">
        <f>I103+H105</f>
        <v>0</v>
      </c>
      <c r="J105" s="2419"/>
      <c r="K105" s="2419"/>
      <c r="L105" s="2419">
        <f>IF(H105=0,0,IF((100-J105-K105)&lt;0,0,100-J105-K105))</f>
        <v>0</v>
      </c>
      <c r="M105" s="2411"/>
      <c r="N105" s="2411"/>
      <c r="O105" s="2443"/>
      <c r="P105" s="758"/>
      <c r="Q105" s="758"/>
      <c r="R105" s="758"/>
      <c r="S105" s="758"/>
      <c r="T105" s="759"/>
    </row>
    <row r="106" spans="2:20">
      <c r="B106" s="2426"/>
      <c r="C106" s="2413"/>
      <c r="D106" s="2427"/>
      <c r="E106" s="2413"/>
      <c r="F106" s="2421"/>
      <c r="G106" s="2421"/>
      <c r="H106" s="2423"/>
      <c r="I106" s="2424"/>
      <c r="J106" s="2421"/>
      <c r="K106" s="2421"/>
      <c r="L106" s="2421"/>
      <c r="M106" s="2413"/>
      <c r="N106" s="2413"/>
      <c r="O106" s="2443"/>
      <c r="P106" s="173"/>
      <c r="Q106" s="173"/>
      <c r="R106" s="173"/>
      <c r="S106" s="173"/>
      <c r="T106" s="760"/>
    </row>
    <row r="107" spans="2:20">
      <c r="B107" s="2425"/>
      <c r="C107" s="2411"/>
      <c r="D107" s="2414"/>
      <c r="E107" s="2411"/>
      <c r="F107" s="2419">
        <f>F105</f>
        <v>0</v>
      </c>
      <c r="G107" s="2419">
        <f>F107-F105</f>
        <v>0</v>
      </c>
      <c r="H107" s="2422">
        <f>G107*G98</f>
        <v>0</v>
      </c>
      <c r="I107" s="2422">
        <f>I105+H107</f>
        <v>0</v>
      </c>
      <c r="J107" s="2419"/>
      <c r="K107" s="2419"/>
      <c r="L107" s="2419">
        <f>IF(H107=0,0,IF((100-J107-K107)&lt;0,0,100-J107-K107))</f>
        <v>0</v>
      </c>
      <c r="M107" s="2411"/>
      <c r="N107" s="2411"/>
      <c r="O107" s="2443"/>
      <c r="P107" s="758"/>
      <c r="Q107" s="758"/>
      <c r="R107" s="758"/>
      <c r="S107" s="758"/>
      <c r="T107" s="759"/>
    </row>
    <row r="108" spans="2:20">
      <c r="B108" s="2426"/>
      <c r="C108" s="2413"/>
      <c r="D108" s="2427"/>
      <c r="E108" s="2413"/>
      <c r="F108" s="2421"/>
      <c r="G108" s="2421"/>
      <c r="H108" s="2423"/>
      <c r="I108" s="2424"/>
      <c r="J108" s="2421"/>
      <c r="K108" s="2421"/>
      <c r="L108" s="2421"/>
      <c r="M108" s="2413"/>
      <c r="N108" s="2413"/>
      <c r="O108" s="2443"/>
      <c r="P108" s="173"/>
      <c r="Q108" s="173"/>
      <c r="R108" s="173"/>
      <c r="S108" s="173"/>
      <c r="T108" s="760"/>
    </row>
    <row r="109" spans="2:20">
      <c r="B109" s="2425"/>
      <c r="C109" s="2411"/>
      <c r="D109" s="2414"/>
      <c r="E109" s="2411"/>
      <c r="F109" s="2419">
        <f>F107</f>
        <v>0</v>
      </c>
      <c r="G109" s="2419">
        <f>F109-F107</f>
        <v>0</v>
      </c>
      <c r="H109" s="2422">
        <f>G109*G98</f>
        <v>0</v>
      </c>
      <c r="I109" s="2422">
        <f>I107+H109</f>
        <v>0</v>
      </c>
      <c r="J109" s="2419"/>
      <c r="K109" s="2419"/>
      <c r="L109" s="2419">
        <f>IF(H109=0,0,IF((100-J109-K109)&lt;0,0,100-J109-K109))</f>
        <v>0</v>
      </c>
      <c r="M109" s="2411"/>
      <c r="N109" s="2411"/>
      <c r="O109" s="2443"/>
      <c r="P109" s="758"/>
      <c r="Q109" s="758"/>
      <c r="R109" s="758"/>
      <c r="S109" s="758"/>
      <c r="T109" s="759"/>
    </row>
    <row r="110" spans="2:20">
      <c r="B110" s="2426"/>
      <c r="C110" s="2413"/>
      <c r="D110" s="2427"/>
      <c r="E110" s="2413"/>
      <c r="F110" s="2421"/>
      <c r="G110" s="2421"/>
      <c r="H110" s="2423"/>
      <c r="I110" s="2424"/>
      <c r="J110" s="2421"/>
      <c r="K110" s="2421"/>
      <c r="L110" s="2421"/>
      <c r="M110" s="2413"/>
      <c r="N110" s="2413"/>
      <c r="O110" s="2443"/>
      <c r="P110" s="173"/>
      <c r="Q110" s="173"/>
      <c r="R110" s="173"/>
      <c r="S110" s="173"/>
      <c r="T110" s="760"/>
    </row>
    <row r="111" spans="2:20">
      <c r="B111" s="2425"/>
      <c r="C111" s="2411"/>
      <c r="D111" s="2414"/>
      <c r="E111" s="2411"/>
      <c r="F111" s="2419">
        <f>F109</f>
        <v>0</v>
      </c>
      <c r="G111" s="2419">
        <f>F111-F109</f>
        <v>0</v>
      </c>
      <c r="H111" s="2422">
        <f>G111*G98</f>
        <v>0</v>
      </c>
      <c r="I111" s="2422">
        <f>I109+H111</f>
        <v>0</v>
      </c>
      <c r="J111" s="2419"/>
      <c r="K111" s="2419"/>
      <c r="L111" s="2419">
        <f>IF(H111=0,0,IF((100-J111-K111)&lt;0,0,100-J111-K111))</f>
        <v>0</v>
      </c>
      <c r="M111" s="2411"/>
      <c r="N111" s="2411"/>
      <c r="O111" s="2443"/>
      <c r="P111" s="758"/>
      <c r="Q111" s="758"/>
      <c r="R111" s="758"/>
      <c r="S111" s="758"/>
      <c r="T111" s="759"/>
    </row>
    <row r="112" spans="2:20">
      <c r="B112" s="2426"/>
      <c r="C112" s="2413"/>
      <c r="D112" s="2427"/>
      <c r="E112" s="2413"/>
      <c r="F112" s="2421"/>
      <c r="G112" s="2421"/>
      <c r="H112" s="2423"/>
      <c r="I112" s="2424"/>
      <c r="J112" s="2421"/>
      <c r="K112" s="2421"/>
      <c r="L112" s="2421"/>
      <c r="M112" s="2413"/>
      <c r="N112" s="2413"/>
      <c r="O112" s="2443"/>
      <c r="P112" s="173"/>
      <c r="Q112" s="173"/>
      <c r="R112" s="173"/>
      <c r="S112" s="173"/>
      <c r="T112" s="760"/>
    </row>
    <row r="113" spans="2:20">
      <c r="B113" s="2425"/>
      <c r="C113" s="2411"/>
      <c r="D113" s="2414"/>
      <c r="E113" s="2411"/>
      <c r="F113" s="2419">
        <f>F111</f>
        <v>0</v>
      </c>
      <c r="G113" s="2419">
        <f>F113-F111</f>
        <v>0</v>
      </c>
      <c r="H113" s="2422">
        <f>G113*G98</f>
        <v>0</v>
      </c>
      <c r="I113" s="2422">
        <f>I111+H113</f>
        <v>0</v>
      </c>
      <c r="J113" s="2419"/>
      <c r="K113" s="2419"/>
      <c r="L113" s="2419">
        <f>IF(H113=0,0,IF((100-J113-K113)&lt;0,0,100-J113-K113))</f>
        <v>0</v>
      </c>
      <c r="M113" s="2411"/>
      <c r="N113" s="2411"/>
      <c r="O113" s="2443"/>
      <c r="P113" s="758"/>
      <c r="Q113" s="758"/>
      <c r="R113" s="758"/>
      <c r="S113" s="758"/>
      <c r="T113" s="759"/>
    </row>
    <row r="114" spans="2:20">
      <c r="B114" s="2426"/>
      <c r="C114" s="2413"/>
      <c r="D114" s="2427"/>
      <c r="E114" s="2413"/>
      <c r="F114" s="2421"/>
      <c r="G114" s="2421"/>
      <c r="H114" s="2423"/>
      <c r="I114" s="2424"/>
      <c r="J114" s="2421"/>
      <c r="K114" s="2421"/>
      <c r="L114" s="2421"/>
      <c r="M114" s="2413"/>
      <c r="N114" s="2413"/>
      <c r="O114" s="2443"/>
      <c r="P114" s="173"/>
      <c r="Q114" s="173"/>
      <c r="R114" s="173"/>
      <c r="S114" s="173"/>
      <c r="T114" s="760"/>
    </row>
    <row r="115" spans="2:20">
      <c r="B115" s="2425"/>
      <c r="C115" s="2411"/>
      <c r="D115" s="2414"/>
      <c r="E115" s="2411"/>
      <c r="F115" s="2419">
        <f>F113</f>
        <v>0</v>
      </c>
      <c r="G115" s="2419">
        <f>F115-F113</f>
        <v>0</v>
      </c>
      <c r="H115" s="2422">
        <f>G115*G98</f>
        <v>0</v>
      </c>
      <c r="I115" s="2422">
        <f>I113+H115</f>
        <v>0</v>
      </c>
      <c r="J115" s="2419"/>
      <c r="K115" s="2419"/>
      <c r="L115" s="2419">
        <f>IF(H115=0,0,IF((100-J115-K115)&lt;0,0,100-J115-K115))</f>
        <v>0</v>
      </c>
      <c r="M115" s="2411"/>
      <c r="N115" s="2411"/>
      <c r="O115" s="2443"/>
      <c r="P115" s="758"/>
      <c r="Q115" s="758"/>
      <c r="R115" s="758"/>
      <c r="S115" s="758"/>
      <c r="T115" s="759"/>
    </row>
    <row r="116" spans="2:20">
      <c r="B116" s="2426"/>
      <c r="C116" s="2413"/>
      <c r="D116" s="2427"/>
      <c r="E116" s="2413"/>
      <c r="F116" s="2421"/>
      <c r="G116" s="2421"/>
      <c r="H116" s="2423"/>
      <c r="I116" s="2424"/>
      <c r="J116" s="2421"/>
      <c r="K116" s="2421"/>
      <c r="L116" s="2421"/>
      <c r="M116" s="2413"/>
      <c r="N116" s="2413"/>
      <c r="O116" s="2443"/>
      <c r="P116" s="173"/>
      <c r="Q116" s="173"/>
      <c r="R116" s="173"/>
      <c r="S116" s="173"/>
      <c r="T116" s="760"/>
    </row>
    <row r="117" spans="2:20">
      <c r="B117" s="2425"/>
      <c r="C117" s="2411"/>
      <c r="D117" s="2414"/>
      <c r="E117" s="2411"/>
      <c r="F117" s="2419">
        <f>F115</f>
        <v>0</v>
      </c>
      <c r="G117" s="2419">
        <f>F117-F115</f>
        <v>0</v>
      </c>
      <c r="H117" s="2422">
        <f>G117*G98</f>
        <v>0</v>
      </c>
      <c r="I117" s="2422">
        <f>I115+H117</f>
        <v>0</v>
      </c>
      <c r="J117" s="2419"/>
      <c r="K117" s="2419"/>
      <c r="L117" s="2419">
        <f>IF(H117=0,0,IF((100-J117-K117)&lt;0,0,100-J117-K117))</f>
        <v>0</v>
      </c>
      <c r="M117" s="2411"/>
      <c r="N117" s="2411"/>
      <c r="O117" s="2443"/>
      <c r="P117" s="758"/>
      <c r="Q117" s="758"/>
      <c r="R117" s="758"/>
      <c r="S117" s="758"/>
      <c r="T117" s="759"/>
    </row>
    <row r="118" spans="2:20">
      <c r="B118" s="2426"/>
      <c r="C118" s="2413"/>
      <c r="D118" s="2427"/>
      <c r="E118" s="2413"/>
      <c r="F118" s="2421"/>
      <c r="G118" s="2421"/>
      <c r="H118" s="2423"/>
      <c r="I118" s="2424"/>
      <c r="J118" s="2421"/>
      <c r="K118" s="2421"/>
      <c r="L118" s="2421"/>
      <c r="M118" s="2413"/>
      <c r="N118" s="2413"/>
      <c r="O118" s="2443"/>
      <c r="P118" s="173"/>
      <c r="Q118" s="173"/>
      <c r="R118" s="173"/>
      <c r="S118" s="173"/>
      <c r="T118" s="760"/>
    </row>
    <row r="119" spans="2:20">
      <c r="B119" s="2425"/>
      <c r="C119" s="2411"/>
      <c r="D119" s="2414"/>
      <c r="E119" s="2411"/>
      <c r="F119" s="2419">
        <f>F117</f>
        <v>0</v>
      </c>
      <c r="G119" s="2419">
        <f>F119-F117</f>
        <v>0</v>
      </c>
      <c r="H119" s="2422">
        <f>G119*G98</f>
        <v>0</v>
      </c>
      <c r="I119" s="2422">
        <f>I117+H119</f>
        <v>0</v>
      </c>
      <c r="J119" s="2419"/>
      <c r="K119" s="2419"/>
      <c r="L119" s="2419">
        <f>IF(H119=0,0,IF((100-J119-K119)&lt;0,0,100-J119-K119))</f>
        <v>0</v>
      </c>
      <c r="M119" s="2411"/>
      <c r="N119" s="2411"/>
      <c r="O119" s="2443"/>
      <c r="P119" s="758"/>
      <c r="Q119" s="758"/>
      <c r="R119" s="758"/>
      <c r="S119" s="758"/>
      <c r="T119" s="759"/>
    </row>
    <row r="120" spans="2:20">
      <c r="B120" s="2426"/>
      <c r="C120" s="2413"/>
      <c r="D120" s="2427"/>
      <c r="E120" s="2413"/>
      <c r="F120" s="2421"/>
      <c r="G120" s="2421"/>
      <c r="H120" s="2423"/>
      <c r="I120" s="2424"/>
      <c r="J120" s="2421"/>
      <c r="K120" s="2421"/>
      <c r="L120" s="2421"/>
      <c r="M120" s="2413"/>
      <c r="N120" s="2413"/>
      <c r="O120" s="2443"/>
      <c r="P120" s="173"/>
      <c r="Q120" s="173"/>
      <c r="R120" s="173"/>
      <c r="S120" s="173"/>
      <c r="T120" s="760"/>
    </row>
    <row r="121" spans="2:20">
      <c r="B121" s="2425"/>
      <c r="C121" s="2411"/>
      <c r="D121" s="2414"/>
      <c r="E121" s="2411"/>
      <c r="F121" s="2419">
        <f>F119</f>
        <v>0</v>
      </c>
      <c r="G121" s="2419">
        <f>F121-F119</f>
        <v>0</v>
      </c>
      <c r="H121" s="2422">
        <f>G121*G98</f>
        <v>0</v>
      </c>
      <c r="I121" s="2422">
        <f>I119+H121</f>
        <v>0</v>
      </c>
      <c r="J121" s="2419"/>
      <c r="K121" s="2419"/>
      <c r="L121" s="2419">
        <f>IF(H121=0,0,IF((100-J121-K121)&lt;0,0,100-J121-K121))</f>
        <v>0</v>
      </c>
      <c r="M121" s="2411"/>
      <c r="N121" s="2411"/>
      <c r="O121" s="2443"/>
      <c r="P121" s="758"/>
      <c r="Q121" s="758"/>
      <c r="R121" s="758"/>
      <c r="S121" s="758"/>
      <c r="T121" s="759"/>
    </row>
    <row r="122" spans="2:20">
      <c r="B122" s="2426"/>
      <c r="C122" s="2413"/>
      <c r="D122" s="2427"/>
      <c r="E122" s="2413"/>
      <c r="F122" s="2421"/>
      <c r="G122" s="2421"/>
      <c r="H122" s="2423"/>
      <c r="I122" s="2424"/>
      <c r="J122" s="2421"/>
      <c r="K122" s="2421"/>
      <c r="L122" s="2421"/>
      <c r="M122" s="2413"/>
      <c r="N122" s="2413"/>
      <c r="O122" s="2443"/>
      <c r="P122" s="173"/>
      <c r="Q122" s="173"/>
      <c r="R122" s="173"/>
      <c r="S122" s="173"/>
      <c r="T122" s="760"/>
    </row>
    <row r="123" spans="2:20">
      <c r="B123" s="2425"/>
      <c r="C123" s="2411"/>
      <c r="D123" s="2414"/>
      <c r="E123" s="2411"/>
      <c r="F123" s="2419">
        <f>F121</f>
        <v>0</v>
      </c>
      <c r="G123" s="2419">
        <f>F123-F121</f>
        <v>0</v>
      </c>
      <c r="H123" s="2422">
        <f>G123*G98</f>
        <v>0</v>
      </c>
      <c r="I123" s="2422">
        <f>I121+H123</f>
        <v>0</v>
      </c>
      <c r="J123" s="2419"/>
      <c r="K123" s="2419"/>
      <c r="L123" s="2419">
        <f>IF(H123=0,0,IF((100-J123-K123)&lt;0,0,100-J123-K123))</f>
        <v>0</v>
      </c>
      <c r="M123" s="2411"/>
      <c r="N123" s="2411"/>
      <c r="O123" s="2443"/>
      <c r="P123" s="758"/>
      <c r="Q123" s="758"/>
      <c r="R123" s="758"/>
      <c r="S123" s="758"/>
      <c r="T123" s="759"/>
    </row>
    <row r="124" spans="2:20">
      <c r="B124" s="2426"/>
      <c r="C124" s="2413"/>
      <c r="D124" s="2427"/>
      <c r="E124" s="2413"/>
      <c r="F124" s="2421"/>
      <c r="G124" s="2421"/>
      <c r="H124" s="2423"/>
      <c r="I124" s="2424"/>
      <c r="J124" s="2421"/>
      <c r="K124" s="2421"/>
      <c r="L124" s="2421"/>
      <c r="M124" s="2413"/>
      <c r="N124" s="2413"/>
      <c r="O124" s="2443"/>
      <c r="P124" s="173"/>
      <c r="Q124" s="173"/>
      <c r="R124" s="173"/>
      <c r="S124" s="173"/>
      <c r="T124" s="760"/>
    </row>
    <row r="125" spans="2:20">
      <c r="B125" s="2425"/>
      <c r="C125" s="2411"/>
      <c r="D125" s="2414"/>
      <c r="E125" s="2411"/>
      <c r="F125" s="2419">
        <f>F123</f>
        <v>0</v>
      </c>
      <c r="G125" s="2419">
        <f>F125-F123</f>
        <v>0</v>
      </c>
      <c r="H125" s="2422">
        <f>G125*G98</f>
        <v>0</v>
      </c>
      <c r="I125" s="2422">
        <f>I123+H125</f>
        <v>0</v>
      </c>
      <c r="J125" s="2419"/>
      <c r="K125" s="2419"/>
      <c r="L125" s="2419">
        <f>IF(H125=0,0,IF((100-J125-K125)&lt;0,0,100-J125-K125))</f>
        <v>0</v>
      </c>
      <c r="M125" s="2411"/>
      <c r="N125" s="2411"/>
      <c r="O125" s="2443"/>
      <c r="P125" s="758"/>
      <c r="Q125" s="758"/>
      <c r="R125" s="758"/>
      <c r="S125" s="758"/>
      <c r="T125" s="759"/>
    </row>
    <row r="126" spans="2:20">
      <c r="B126" s="2426"/>
      <c r="C126" s="2413"/>
      <c r="D126" s="2427"/>
      <c r="E126" s="2413"/>
      <c r="F126" s="2421"/>
      <c r="G126" s="2421"/>
      <c r="H126" s="2423"/>
      <c r="I126" s="2424"/>
      <c r="J126" s="2421"/>
      <c r="K126" s="2421"/>
      <c r="L126" s="2421"/>
      <c r="M126" s="2413"/>
      <c r="N126" s="2413"/>
      <c r="O126" s="2443"/>
      <c r="P126" s="173"/>
      <c r="Q126" s="173"/>
      <c r="R126" s="173"/>
      <c r="S126" s="173"/>
      <c r="T126" s="760"/>
    </row>
    <row r="127" spans="2:20">
      <c r="B127" s="2425"/>
      <c r="C127" s="2411"/>
      <c r="D127" s="2414"/>
      <c r="E127" s="2411"/>
      <c r="F127" s="2419">
        <f>F125</f>
        <v>0</v>
      </c>
      <c r="G127" s="2419">
        <f>F127-F125</f>
        <v>0</v>
      </c>
      <c r="H127" s="2422">
        <f>G127*G98</f>
        <v>0</v>
      </c>
      <c r="I127" s="2422">
        <f>I125+H127</f>
        <v>0</v>
      </c>
      <c r="J127" s="2419"/>
      <c r="K127" s="2419"/>
      <c r="L127" s="2419">
        <f>IF(H127=0,0,IF((100-J127-K127)&lt;0,0,100-J127-K127))</f>
        <v>0</v>
      </c>
      <c r="M127" s="2411"/>
      <c r="N127" s="2411"/>
      <c r="O127" s="2443"/>
      <c r="P127" s="758"/>
      <c r="Q127" s="758"/>
      <c r="R127" s="758"/>
      <c r="S127" s="758"/>
      <c r="T127" s="759"/>
    </row>
    <row r="128" spans="2:20">
      <c r="B128" s="2426"/>
      <c r="C128" s="2413"/>
      <c r="D128" s="2427"/>
      <c r="E128" s="2413"/>
      <c r="F128" s="2421"/>
      <c r="G128" s="2421"/>
      <c r="H128" s="2423"/>
      <c r="I128" s="2424"/>
      <c r="J128" s="2421"/>
      <c r="K128" s="2421"/>
      <c r="L128" s="2421"/>
      <c r="M128" s="2413"/>
      <c r="N128" s="2413"/>
      <c r="O128" s="2443"/>
      <c r="P128" s="173"/>
      <c r="Q128" s="173"/>
      <c r="R128" s="173"/>
      <c r="S128" s="173"/>
      <c r="T128" s="760"/>
    </row>
    <row r="129" spans="2:20">
      <c r="B129" s="2425"/>
      <c r="C129" s="2411"/>
      <c r="D129" s="2414"/>
      <c r="E129" s="2411"/>
      <c r="F129" s="2419">
        <f>F127</f>
        <v>0</v>
      </c>
      <c r="G129" s="2419">
        <f>F129-F127</f>
        <v>0</v>
      </c>
      <c r="H129" s="2422">
        <f>G129*G98</f>
        <v>0</v>
      </c>
      <c r="I129" s="2422">
        <f>I127+H129</f>
        <v>0</v>
      </c>
      <c r="J129" s="2419"/>
      <c r="K129" s="2419"/>
      <c r="L129" s="2419">
        <f>IF(H129=0,0,IF((100-J129-K129)&lt;0,0,100-J129-K129))</f>
        <v>0</v>
      </c>
      <c r="M129" s="2411"/>
      <c r="N129" s="2411"/>
      <c r="O129" s="2443"/>
      <c r="P129" s="758"/>
      <c r="Q129" s="758"/>
      <c r="R129" s="758"/>
      <c r="S129" s="758"/>
      <c r="T129" s="759"/>
    </row>
    <row r="130" spans="2:20">
      <c r="B130" s="2426"/>
      <c r="C130" s="2413"/>
      <c r="D130" s="2427"/>
      <c r="E130" s="2413"/>
      <c r="F130" s="2421"/>
      <c r="G130" s="2421"/>
      <c r="H130" s="2423"/>
      <c r="I130" s="2424"/>
      <c r="J130" s="2421"/>
      <c r="K130" s="2421"/>
      <c r="L130" s="2421"/>
      <c r="M130" s="2413"/>
      <c r="N130" s="2413"/>
      <c r="O130" s="2443"/>
      <c r="P130" s="173"/>
      <c r="Q130" s="173"/>
      <c r="R130" s="173"/>
      <c r="S130" s="173"/>
      <c r="T130" s="760"/>
    </row>
    <row r="131" spans="2:20">
      <c r="B131" s="2425"/>
      <c r="C131" s="2411"/>
      <c r="D131" s="2414"/>
      <c r="E131" s="2411"/>
      <c r="F131" s="2419">
        <f>F129</f>
        <v>0</v>
      </c>
      <c r="G131" s="2419">
        <f>F131-F129</f>
        <v>0</v>
      </c>
      <c r="H131" s="2422">
        <f>G131*G98</f>
        <v>0</v>
      </c>
      <c r="I131" s="2422">
        <f>I129+H131</f>
        <v>0</v>
      </c>
      <c r="J131" s="2419"/>
      <c r="K131" s="2419"/>
      <c r="L131" s="2419">
        <f>IF(H131=0,0,IF((100-J131-K131)&lt;0,0,100-J131-K131))</f>
        <v>0</v>
      </c>
      <c r="M131" s="2411"/>
      <c r="N131" s="2411"/>
      <c r="O131" s="2443"/>
      <c r="P131" s="758"/>
      <c r="Q131" s="758"/>
      <c r="R131" s="758"/>
      <c r="S131" s="758"/>
      <c r="T131" s="759"/>
    </row>
    <row r="132" spans="2:20" ht="13.75" thickBot="1">
      <c r="B132" s="2426"/>
      <c r="C132" s="2413"/>
      <c r="D132" s="2427"/>
      <c r="E132" s="2413"/>
      <c r="F132" s="2421"/>
      <c r="G132" s="2421"/>
      <c r="H132" s="2423"/>
      <c r="I132" s="2424"/>
      <c r="J132" s="2421"/>
      <c r="K132" s="2421"/>
      <c r="L132" s="2421"/>
      <c r="M132" s="2413"/>
      <c r="N132" s="2413"/>
      <c r="O132" s="2443"/>
      <c r="P132" s="173"/>
      <c r="Q132" s="173"/>
      <c r="R132" s="173"/>
      <c r="S132" s="173"/>
      <c r="T132" s="185"/>
    </row>
    <row r="133" spans="2:20">
      <c r="B133" s="2425"/>
      <c r="C133" s="2411"/>
      <c r="D133" s="2414"/>
      <c r="E133" s="2411"/>
      <c r="F133" s="2419">
        <f>F131</f>
        <v>0</v>
      </c>
      <c r="G133" s="2419">
        <f>F133-F131</f>
        <v>0</v>
      </c>
      <c r="H133" s="2422">
        <f>G133*G98</f>
        <v>0</v>
      </c>
      <c r="I133" s="2422">
        <f>I131+H133</f>
        <v>0</v>
      </c>
      <c r="J133" s="2419"/>
      <c r="K133" s="2419"/>
      <c r="L133" s="2419">
        <f>IF(H133=0,0,IF((100-J133-K133)&lt;0,0,100-J133-K133))</f>
        <v>0</v>
      </c>
      <c r="M133" s="2411"/>
      <c r="N133" s="2411"/>
      <c r="O133" s="2457"/>
      <c r="P133" s="365"/>
      <c r="Q133" s="365"/>
      <c r="R133" s="365"/>
      <c r="S133" s="365"/>
      <c r="T133" s="1087" t="str">
        <f>T88</f>
        <v>Ttl Other (1)</v>
      </c>
    </row>
    <row r="134" spans="2:20" ht="13.75" thickBot="1">
      <c r="B134" s="2430"/>
      <c r="C134" s="2412"/>
      <c r="D134" s="2415"/>
      <c r="E134" s="2412"/>
      <c r="F134" s="2420"/>
      <c r="G134" s="2420"/>
      <c r="H134" s="2428"/>
      <c r="I134" s="2429"/>
      <c r="J134" s="2420"/>
      <c r="K134" s="2420"/>
      <c r="L134" s="2420"/>
      <c r="M134" s="2412"/>
      <c r="N134" s="2412"/>
      <c r="O134" s="2458"/>
      <c r="P134" s="1313" t="s">
        <v>806</v>
      </c>
      <c r="Q134" s="1314">
        <f>((H103*K103)+(H105*K105)+(H107*K107)+(H109*K109)+(H111*K111)+(H113*K113)+(H115*K115)+(H117*K117)+(H119*K119)+(H121*K121)+(H123*K123)+(H125*K125)+(H127*K127)+(H129*K129)+(H131*K131)+(H133*K133))/100</f>
        <v>0</v>
      </c>
      <c r="R134" s="1313" t="s">
        <v>807</v>
      </c>
      <c r="S134" s="1314">
        <f>((J103*H103)+(J105*H105)+(J107*H107)+(J109*H109)+(J111*H111)+(J113*H113)+(J115*H115)+(J117*H117)+(J119*H119)+(J121*H121)+(J123*H123)+(J125*H125)+(J127*H127)+(J129*H129)+(J131*H131)+(J133*H133))/100</f>
        <v>0</v>
      </c>
      <c r="T134" s="763">
        <f>I133-Q134-S134</f>
        <v>0</v>
      </c>
    </row>
    <row r="135" spans="2:20">
      <c r="B135" s="752"/>
      <c r="C135" s="753"/>
      <c r="D135" s="753"/>
      <c r="E135" s="753"/>
      <c r="F135" s="754"/>
      <c r="G135" s="754"/>
      <c r="H135" s="755"/>
      <c r="I135" s="751"/>
      <c r="J135" s="754"/>
      <c r="K135" s="754"/>
      <c r="L135" s="754"/>
      <c r="M135" s="753"/>
      <c r="N135" s="753"/>
      <c r="O135" s="41"/>
      <c r="P135" s="756"/>
      <c r="Q135" s="41"/>
      <c r="R135" s="41"/>
      <c r="S135" s="756"/>
      <c r="T135" s="761"/>
    </row>
    <row r="136" spans="2:20" ht="13.75" thickBot="1">
      <c r="B136" s="512"/>
      <c r="C136" s="757"/>
      <c r="D136" s="513"/>
      <c r="E136" s="513"/>
      <c r="F136" s="514"/>
      <c r="G136" s="514"/>
      <c r="H136" s="515"/>
      <c r="I136" s="516"/>
      <c r="J136" s="514"/>
      <c r="K136" s="514"/>
      <c r="L136" s="514"/>
      <c r="M136" s="513"/>
      <c r="N136" s="513"/>
      <c r="O136" s="366"/>
      <c r="P136" s="366"/>
      <c r="Q136" s="366"/>
      <c r="R136" s="366"/>
      <c r="S136" s="366"/>
      <c r="T136" s="762"/>
    </row>
    <row r="137" spans="2:20">
      <c r="B137" s="2406">
        <f>Summary!A212</f>
        <v>0</v>
      </c>
      <c r="C137" s="2407"/>
      <c r="D137" s="2407"/>
      <c r="E137" s="2407"/>
      <c r="F137" s="2407"/>
      <c r="G137" s="2407"/>
      <c r="H137" s="2407"/>
      <c r="I137" s="2407"/>
      <c r="J137" s="2407"/>
      <c r="K137" s="2407"/>
      <c r="L137" s="2407"/>
      <c r="M137" s="2407"/>
      <c r="N137" s="2407"/>
      <c r="O137" s="2407"/>
      <c r="P137" s="2407"/>
      <c r="Q137" s="2407"/>
      <c r="R137" s="2407"/>
      <c r="S137" s="2407"/>
      <c r="T137" s="2408"/>
    </row>
    <row r="138" spans="2:20">
      <c r="B138" s="1790" t="s">
        <v>1453</v>
      </c>
      <c r="C138" s="1659"/>
      <c r="D138" s="1659"/>
      <c r="E138" s="1659"/>
      <c r="F138" s="1659"/>
      <c r="G138" s="1659"/>
      <c r="H138" s="1659"/>
      <c r="I138" s="1659"/>
      <c r="J138" s="1659"/>
      <c r="K138" s="1659"/>
      <c r="L138" s="1659"/>
      <c r="M138" s="1659"/>
      <c r="N138" s="1659"/>
      <c r="O138" s="1659"/>
      <c r="P138" s="1659"/>
      <c r="Q138" s="1659"/>
      <c r="R138" s="1659"/>
      <c r="S138" s="1659"/>
      <c r="T138" s="1778"/>
    </row>
    <row r="139" spans="2:20">
      <c r="B139" s="84"/>
      <c r="P139" s="120" t="s">
        <v>729</v>
      </c>
      <c r="Q139" s="4">
        <f>IF(B148&gt;0,2,0)</f>
        <v>0</v>
      </c>
      <c r="R139" s="4"/>
      <c r="S139" s="120" t="s">
        <v>730</v>
      </c>
      <c r="T139" s="133">
        <f>IF(Q139=2,2,0)</f>
        <v>0</v>
      </c>
    </row>
    <row r="140" spans="2:20">
      <c r="B140" s="84"/>
      <c r="E140"/>
      <c r="T140" s="39"/>
    </row>
    <row r="141" spans="2:20">
      <c r="B141" s="947" t="s">
        <v>634</v>
      </c>
      <c r="C141" s="23">
        <f>C96</f>
        <v>0</v>
      </c>
      <c r="T141" s="39"/>
    </row>
    <row r="142" spans="2:20">
      <c r="B142" s="84"/>
      <c r="T142" s="39"/>
    </row>
    <row r="143" spans="2:20">
      <c r="B143" s="84" t="s">
        <v>221</v>
      </c>
      <c r="C143" s="2416">
        <f>IF(Q139=2,C98,0)</f>
        <v>0</v>
      </c>
      <c r="D143" s="2416"/>
      <c r="E143" s="2000" t="s">
        <v>736</v>
      </c>
      <c r="F143" s="2000"/>
      <c r="G143" s="23">
        <f>G98</f>
        <v>0</v>
      </c>
      <c r="I143" s="1659" t="s">
        <v>737</v>
      </c>
      <c r="J143" s="1659"/>
      <c r="K143" s="168">
        <f>K98</f>
        <v>0</v>
      </c>
      <c r="N143" s="23" t="s">
        <v>660</v>
      </c>
      <c r="P143" s="23">
        <f>P98</f>
        <v>0</v>
      </c>
      <c r="T143" s="39"/>
    </row>
    <row r="144" spans="2:20">
      <c r="B144" s="84"/>
      <c r="D144" s="2417" t="s">
        <v>805</v>
      </c>
      <c r="E144" s="2417"/>
      <c r="F144" s="2417"/>
      <c r="G144" s="367">
        <f>F133</f>
        <v>0</v>
      </c>
      <c r="H144" s="2418" t="s">
        <v>1003</v>
      </c>
      <c r="I144" s="2418"/>
      <c r="J144" s="2418"/>
      <c r="K144" s="2409">
        <f>K99</f>
        <v>0</v>
      </c>
      <c r="L144" s="2409"/>
      <c r="M144" s="2409">
        <f>M99</f>
        <v>0</v>
      </c>
      <c r="N144" s="2409"/>
      <c r="O144" s="2409">
        <f>O99</f>
        <v>0</v>
      </c>
      <c r="P144" s="2409"/>
      <c r="Q144" s="2409">
        <f>Q99</f>
        <v>0</v>
      </c>
      <c r="R144" s="2409"/>
      <c r="S144" s="2409"/>
      <c r="T144" s="2410"/>
    </row>
    <row r="145" spans="2:20" ht="12.75" customHeight="1">
      <c r="B145" s="2437" t="s">
        <v>208</v>
      </c>
      <c r="C145" s="2440" t="s">
        <v>738</v>
      </c>
      <c r="D145" s="739" t="s">
        <v>209</v>
      </c>
      <c r="E145" s="739" t="s">
        <v>207</v>
      </c>
      <c r="F145" s="2431" t="s">
        <v>210</v>
      </c>
      <c r="G145" s="2431" t="s">
        <v>210</v>
      </c>
      <c r="H145" s="2431" t="s">
        <v>209</v>
      </c>
      <c r="I145" s="739" t="s">
        <v>801</v>
      </c>
      <c r="J145" s="2433" t="s">
        <v>802</v>
      </c>
      <c r="K145" s="2434"/>
      <c r="L145" s="2435"/>
      <c r="M145" s="739" t="s">
        <v>204</v>
      </c>
      <c r="N145" s="739" t="s">
        <v>260</v>
      </c>
      <c r="O145" s="1310" t="s">
        <v>270</v>
      </c>
      <c r="P145" s="2450" t="s">
        <v>212</v>
      </c>
      <c r="Q145" s="2450"/>
      <c r="R145" s="2450"/>
      <c r="S145" s="2450"/>
      <c r="T145" s="2451"/>
    </row>
    <row r="146" spans="2:20">
      <c r="B146" s="2438"/>
      <c r="C146" s="2441"/>
      <c r="D146" s="741" t="s">
        <v>214</v>
      </c>
      <c r="E146" s="741" t="s">
        <v>215</v>
      </c>
      <c r="F146" s="2432"/>
      <c r="G146" s="2432"/>
      <c r="H146" s="2432"/>
      <c r="I146" s="741" t="s">
        <v>209</v>
      </c>
      <c r="J146" s="2431" t="s">
        <v>803</v>
      </c>
      <c r="K146" s="2431" t="s">
        <v>804</v>
      </c>
      <c r="L146" s="2431" t="str">
        <f>L101</f>
        <v>Other (1)%</v>
      </c>
      <c r="M146" s="741" t="s">
        <v>217</v>
      </c>
      <c r="N146" s="741" t="s">
        <v>217</v>
      </c>
      <c r="O146" s="1311" t="s">
        <v>481</v>
      </c>
      <c r="P146" s="2452"/>
      <c r="Q146" s="2452"/>
      <c r="R146" s="2452"/>
      <c r="S146" s="2452"/>
      <c r="T146" s="2453"/>
    </row>
    <row r="147" spans="2:20">
      <c r="B147" s="2439"/>
      <c r="C147" s="2442"/>
      <c r="D147" s="740" t="str">
        <f>D102</f>
        <v xml:space="preserve">m </v>
      </c>
      <c r="E147" s="740" t="str">
        <f>D147</f>
        <v xml:space="preserve">m </v>
      </c>
      <c r="F147" s="740" t="s">
        <v>211</v>
      </c>
      <c r="G147" s="740" t="s">
        <v>739</v>
      </c>
      <c r="H147" s="742" t="str">
        <f>H102</f>
        <v>Gain</v>
      </c>
      <c r="I147" s="740" t="str">
        <f>I102</f>
        <v>m³</v>
      </c>
      <c r="J147" s="2436"/>
      <c r="K147" s="2436"/>
      <c r="L147" s="2436"/>
      <c r="M147" s="740" t="str">
        <f>M102</f>
        <v>kPa</v>
      </c>
      <c r="N147" s="740" t="str">
        <f>M147</f>
        <v>kPa</v>
      </c>
      <c r="O147" s="1312" t="str">
        <f>O102</f>
        <v>10³m³/d</v>
      </c>
      <c r="P147" s="2454"/>
      <c r="Q147" s="2454"/>
      <c r="R147" s="2454"/>
      <c r="S147" s="2454"/>
      <c r="T147" s="2455"/>
    </row>
    <row r="148" spans="2:20">
      <c r="B148" s="2425">
        <v>0</v>
      </c>
      <c r="C148" s="2411"/>
      <c r="D148" s="2411"/>
      <c r="E148" s="2411"/>
      <c r="F148" s="2419">
        <f>G144</f>
        <v>0</v>
      </c>
      <c r="G148" s="2419">
        <f>F148-G144</f>
        <v>0</v>
      </c>
      <c r="H148" s="2422">
        <f>G148*G143</f>
        <v>0</v>
      </c>
      <c r="I148" s="2422">
        <f>H148+I133</f>
        <v>0</v>
      </c>
      <c r="J148" s="2419">
        <v>0</v>
      </c>
      <c r="K148" s="2419">
        <v>0</v>
      </c>
      <c r="L148" s="2419">
        <f>IF(H148=0,0,IF((100-J148-K148)&lt;0,0,100-J148-K148))</f>
        <v>0</v>
      </c>
      <c r="M148" s="2411"/>
      <c r="N148" s="2411"/>
      <c r="O148" s="2443"/>
      <c r="P148" s="758"/>
      <c r="Q148" s="758"/>
      <c r="R148" s="758"/>
      <c r="S148" s="758"/>
      <c r="T148" s="759"/>
    </row>
    <row r="149" spans="2:20">
      <c r="B149" s="2426"/>
      <c r="C149" s="2413"/>
      <c r="D149" s="2413"/>
      <c r="E149" s="2413"/>
      <c r="F149" s="2421"/>
      <c r="G149" s="2421"/>
      <c r="H149" s="2423"/>
      <c r="I149" s="2423"/>
      <c r="J149" s="2421"/>
      <c r="K149" s="2421"/>
      <c r="L149" s="2421"/>
      <c r="M149" s="2413"/>
      <c r="N149" s="2413"/>
      <c r="O149" s="2443"/>
      <c r="P149" s="173"/>
      <c r="Q149" s="173"/>
      <c r="R149" s="173"/>
      <c r="S149" s="173"/>
      <c r="T149" s="760"/>
    </row>
    <row r="150" spans="2:20">
      <c r="B150" s="2425"/>
      <c r="C150" s="2411"/>
      <c r="D150" s="2414"/>
      <c r="E150" s="2411"/>
      <c r="F150" s="2419">
        <f>F148</f>
        <v>0</v>
      </c>
      <c r="G150" s="2419">
        <f>F150-F148</f>
        <v>0</v>
      </c>
      <c r="H150" s="2422">
        <f>G150*G143</f>
        <v>0</v>
      </c>
      <c r="I150" s="2422">
        <f>I148+H150</f>
        <v>0</v>
      </c>
      <c r="J150" s="2419"/>
      <c r="K150" s="2419"/>
      <c r="L150" s="2419">
        <f>IF(H150=0,0,IF((100-J150-K150)&lt;0,0,100-J150-K150))</f>
        <v>0</v>
      </c>
      <c r="M150" s="2411"/>
      <c r="N150" s="2411"/>
      <c r="O150" s="2443"/>
      <c r="P150" s="758"/>
      <c r="Q150" s="758"/>
      <c r="R150" s="758"/>
      <c r="S150" s="758"/>
      <c r="T150" s="759"/>
    </row>
    <row r="151" spans="2:20">
      <c r="B151" s="2426"/>
      <c r="C151" s="2413"/>
      <c r="D151" s="2427"/>
      <c r="E151" s="2413"/>
      <c r="F151" s="2421"/>
      <c r="G151" s="2421"/>
      <c r="H151" s="2423"/>
      <c r="I151" s="2424"/>
      <c r="J151" s="2421"/>
      <c r="K151" s="2421"/>
      <c r="L151" s="2421"/>
      <c r="M151" s="2413"/>
      <c r="N151" s="2413"/>
      <c r="O151" s="2443"/>
      <c r="P151" s="173"/>
      <c r="Q151" s="173"/>
      <c r="R151" s="173"/>
      <c r="S151" s="173"/>
      <c r="T151" s="760"/>
    </row>
    <row r="152" spans="2:20">
      <c r="B152" s="2425"/>
      <c r="C152" s="2411"/>
      <c r="D152" s="2414"/>
      <c r="E152" s="2411"/>
      <c r="F152" s="2419">
        <f>F150</f>
        <v>0</v>
      </c>
      <c r="G152" s="2419">
        <f>F152-F150</f>
        <v>0</v>
      </c>
      <c r="H152" s="2422">
        <f>G152*G143</f>
        <v>0</v>
      </c>
      <c r="I152" s="2422">
        <f>I150+H152</f>
        <v>0</v>
      </c>
      <c r="J152" s="2419"/>
      <c r="K152" s="2419"/>
      <c r="L152" s="2419">
        <f>IF(H152=0,0,IF((100-J152-K152)&lt;0,0,100-J152-K152))</f>
        <v>0</v>
      </c>
      <c r="M152" s="2411"/>
      <c r="N152" s="2411"/>
      <c r="O152" s="2443"/>
      <c r="P152" s="758"/>
      <c r="Q152" s="758"/>
      <c r="R152" s="758"/>
      <c r="S152" s="758"/>
      <c r="T152" s="759"/>
    </row>
    <row r="153" spans="2:20">
      <c r="B153" s="2426"/>
      <c r="C153" s="2413"/>
      <c r="D153" s="2427"/>
      <c r="E153" s="2413"/>
      <c r="F153" s="2421"/>
      <c r="G153" s="2421"/>
      <c r="H153" s="2423"/>
      <c r="I153" s="2424"/>
      <c r="J153" s="2421"/>
      <c r="K153" s="2421"/>
      <c r="L153" s="2421"/>
      <c r="M153" s="2413"/>
      <c r="N153" s="2413"/>
      <c r="O153" s="2443"/>
      <c r="P153" s="173"/>
      <c r="Q153" s="173"/>
      <c r="R153" s="173"/>
      <c r="S153" s="173"/>
      <c r="T153" s="760"/>
    </row>
    <row r="154" spans="2:20">
      <c r="B154" s="2425"/>
      <c r="C154" s="2411"/>
      <c r="D154" s="2414"/>
      <c r="E154" s="2411"/>
      <c r="F154" s="2419">
        <f>F152</f>
        <v>0</v>
      </c>
      <c r="G154" s="2419">
        <f>F154-F152</f>
        <v>0</v>
      </c>
      <c r="H154" s="2422">
        <f>G154*G143</f>
        <v>0</v>
      </c>
      <c r="I154" s="2422">
        <f>I152+H154</f>
        <v>0</v>
      </c>
      <c r="J154" s="2419"/>
      <c r="K154" s="2419"/>
      <c r="L154" s="2419">
        <f>IF(H154=0,0,IF((100-J154-K154)&lt;0,0,100-J154-K154))</f>
        <v>0</v>
      </c>
      <c r="M154" s="2411"/>
      <c r="N154" s="2411"/>
      <c r="O154" s="2443"/>
      <c r="P154" s="758"/>
      <c r="Q154" s="758"/>
      <c r="R154" s="758"/>
      <c r="S154" s="758"/>
      <c r="T154" s="759"/>
    </row>
    <row r="155" spans="2:20">
      <c r="B155" s="2426"/>
      <c r="C155" s="2413"/>
      <c r="D155" s="2427"/>
      <c r="E155" s="2413"/>
      <c r="F155" s="2421"/>
      <c r="G155" s="2421"/>
      <c r="H155" s="2423"/>
      <c r="I155" s="2424"/>
      <c r="J155" s="2421"/>
      <c r="K155" s="2421"/>
      <c r="L155" s="2421"/>
      <c r="M155" s="2413"/>
      <c r="N155" s="2413"/>
      <c r="O155" s="2443"/>
      <c r="P155" s="173"/>
      <c r="Q155" s="173"/>
      <c r="R155" s="173"/>
      <c r="S155" s="173"/>
      <c r="T155" s="760"/>
    </row>
    <row r="156" spans="2:20">
      <c r="B156" s="2425"/>
      <c r="C156" s="2411"/>
      <c r="D156" s="2414"/>
      <c r="E156" s="2411"/>
      <c r="F156" s="2419">
        <f>F154</f>
        <v>0</v>
      </c>
      <c r="G156" s="2419">
        <f>F156-F154</f>
        <v>0</v>
      </c>
      <c r="H156" s="2422">
        <f>G156*G143</f>
        <v>0</v>
      </c>
      <c r="I156" s="2422">
        <f>I154+H156</f>
        <v>0</v>
      </c>
      <c r="J156" s="2419"/>
      <c r="K156" s="2419"/>
      <c r="L156" s="2419">
        <f>IF(H156=0,0,IF((100-J156-K156)&lt;0,0,100-J156-K156))</f>
        <v>0</v>
      </c>
      <c r="M156" s="2411"/>
      <c r="N156" s="2411"/>
      <c r="O156" s="2443"/>
      <c r="P156" s="758"/>
      <c r="Q156" s="758"/>
      <c r="R156" s="758"/>
      <c r="S156" s="758"/>
      <c r="T156" s="759"/>
    </row>
    <row r="157" spans="2:20">
      <c r="B157" s="2426"/>
      <c r="C157" s="2413"/>
      <c r="D157" s="2427"/>
      <c r="E157" s="2413"/>
      <c r="F157" s="2421"/>
      <c r="G157" s="2421"/>
      <c r="H157" s="2423"/>
      <c r="I157" s="2424"/>
      <c r="J157" s="2421"/>
      <c r="K157" s="2421"/>
      <c r="L157" s="2421"/>
      <c r="M157" s="2413"/>
      <c r="N157" s="2413"/>
      <c r="O157" s="2443"/>
      <c r="P157" s="173"/>
      <c r="Q157" s="173"/>
      <c r="R157" s="173"/>
      <c r="S157" s="173"/>
      <c r="T157" s="760"/>
    </row>
    <row r="158" spans="2:20">
      <c r="B158" s="2425"/>
      <c r="C158" s="2411"/>
      <c r="D158" s="2414"/>
      <c r="E158" s="2411"/>
      <c r="F158" s="2419">
        <f>F156</f>
        <v>0</v>
      </c>
      <c r="G158" s="2419">
        <f>F158-F156</f>
        <v>0</v>
      </c>
      <c r="H158" s="2422">
        <f>G158*G143</f>
        <v>0</v>
      </c>
      <c r="I158" s="2422">
        <f>I156+H158</f>
        <v>0</v>
      </c>
      <c r="J158" s="2419"/>
      <c r="K158" s="2419"/>
      <c r="L158" s="2419">
        <f>IF(H158=0,0,IF((100-J158-K158)&lt;0,0,100-J158-K158))</f>
        <v>0</v>
      </c>
      <c r="M158" s="2411"/>
      <c r="N158" s="2411"/>
      <c r="O158" s="2443"/>
      <c r="P158" s="758"/>
      <c r="Q158" s="758"/>
      <c r="R158" s="758"/>
      <c r="S158" s="758"/>
      <c r="T158" s="759"/>
    </row>
    <row r="159" spans="2:20">
      <c r="B159" s="2426"/>
      <c r="C159" s="2413"/>
      <c r="D159" s="2427"/>
      <c r="E159" s="2413"/>
      <c r="F159" s="2421"/>
      <c r="G159" s="2421"/>
      <c r="H159" s="2423"/>
      <c r="I159" s="2424"/>
      <c r="J159" s="2421"/>
      <c r="K159" s="2421"/>
      <c r="L159" s="2421"/>
      <c r="M159" s="2413"/>
      <c r="N159" s="2413"/>
      <c r="O159" s="2443"/>
      <c r="P159" s="173"/>
      <c r="Q159" s="173"/>
      <c r="R159" s="173"/>
      <c r="S159" s="173"/>
      <c r="T159" s="760"/>
    </row>
    <row r="160" spans="2:20">
      <c r="B160" s="2425"/>
      <c r="C160" s="2411"/>
      <c r="D160" s="2414"/>
      <c r="E160" s="2411"/>
      <c r="F160" s="2419">
        <f>F158</f>
        <v>0</v>
      </c>
      <c r="G160" s="2419">
        <f>F160-F158</f>
        <v>0</v>
      </c>
      <c r="H160" s="2422">
        <f>G160*G143</f>
        <v>0</v>
      </c>
      <c r="I160" s="2422">
        <f>I158+H160</f>
        <v>0</v>
      </c>
      <c r="J160" s="2419"/>
      <c r="K160" s="2419"/>
      <c r="L160" s="2419">
        <f>IF(H160=0,0,IF((100-J160-K160)&lt;0,0,100-J160-K160))</f>
        <v>0</v>
      </c>
      <c r="M160" s="2411"/>
      <c r="N160" s="2411"/>
      <c r="O160" s="2443"/>
      <c r="P160" s="758"/>
      <c r="Q160" s="758"/>
      <c r="R160" s="758"/>
      <c r="S160" s="758"/>
      <c r="T160" s="759"/>
    </row>
    <row r="161" spans="2:20">
      <c r="B161" s="2426"/>
      <c r="C161" s="2413"/>
      <c r="D161" s="2427"/>
      <c r="E161" s="2413"/>
      <c r="F161" s="2421"/>
      <c r="G161" s="2421"/>
      <c r="H161" s="2423"/>
      <c r="I161" s="2424"/>
      <c r="J161" s="2421"/>
      <c r="K161" s="2421"/>
      <c r="L161" s="2421"/>
      <c r="M161" s="2413"/>
      <c r="N161" s="2413"/>
      <c r="O161" s="2443"/>
      <c r="P161" s="173"/>
      <c r="Q161" s="173"/>
      <c r="R161" s="173"/>
      <c r="S161" s="173"/>
      <c r="T161" s="760"/>
    </row>
    <row r="162" spans="2:20">
      <c r="B162" s="2425"/>
      <c r="C162" s="2411"/>
      <c r="D162" s="2414"/>
      <c r="E162" s="2411"/>
      <c r="F162" s="2419">
        <f>F160</f>
        <v>0</v>
      </c>
      <c r="G162" s="2419">
        <f>F162-F160</f>
        <v>0</v>
      </c>
      <c r="H162" s="2422">
        <f>G162*G143</f>
        <v>0</v>
      </c>
      <c r="I162" s="2422">
        <f>I160+H162</f>
        <v>0</v>
      </c>
      <c r="J162" s="2419"/>
      <c r="K162" s="2419"/>
      <c r="L162" s="2419">
        <f>IF(H162=0,0,IF((100-J162-K162)&lt;0,0,100-J162-K162))</f>
        <v>0</v>
      </c>
      <c r="M162" s="2411"/>
      <c r="N162" s="2411"/>
      <c r="O162" s="2443"/>
      <c r="P162" s="758"/>
      <c r="Q162" s="758"/>
      <c r="R162" s="758"/>
      <c r="S162" s="758"/>
      <c r="T162" s="759"/>
    </row>
    <row r="163" spans="2:20">
      <c r="B163" s="2426"/>
      <c r="C163" s="2413"/>
      <c r="D163" s="2427"/>
      <c r="E163" s="2413"/>
      <c r="F163" s="2421"/>
      <c r="G163" s="2421"/>
      <c r="H163" s="2423"/>
      <c r="I163" s="2424"/>
      <c r="J163" s="2421"/>
      <c r="K163" s="2421"/>
      <c r="L163" s="2421"/>
      <c r="M163" s="2413"/>
      <c r="N163" s="2413"/>
      <c r="O163" s="2443"/>
      <c r="P163" s="173"/>
      <c r="Q163" s="173"/>
      <c r="R163" s="173"/>
      <c r="S163" s="173"/>
      <c r="T163" s="760"/>
    </row>
    <row r="164" spans="2:20">
      <c r="B164" s="2425"/>
      <c r="C164" s="2411"/>
      <c r="D164" s="2414"/>
      <c r="E164" s="2411"/>
      <c r="F164" s="2419">
        <f>F162</f>
        <v>0</v>
      </c>
      <c r="G164" s="2419">
        <f>F164-F162</f>
        <v>0</v>
      </c>
      <c r="H164" s="2422">
        <f>G164*G143</f>
        <v>0</v>
      </c>
      <c r="I164" s="2422">
        <f>I162+H164</f>
        <v>0</v>
      </c>
      <c r="J164" s="2419"/>
      <c r="K164" s="2419"/>
      <c r="L164" s="2419">
        <f>IF(H164=0,0,IF((100-J164-K164)&lt;0,0,100-J164-K164))</f>
        <v>0</v>
      </c>
      <c r="M164" s="2411"/>
      <c r="N164" s="2411"/>
      <c r="O164" s="2443"/>
      <c r="P164" s="758"/>
      <c r="Q164" s="758"/>
      <c r="R164" s="758"/>
      <c r="S164" s="758"/>
      <c r="T164" s="759"/>
    </row>
    <row r="165" spans="2:20">
      <c r="B165" s="2426"/>
      <c r="C165" s="2413"/>
      <c r="D165" s="2427"/>
      <c r="E165" s="2413"/>
      <c r="F165" s="2421"/>
      <c r="G165" s="2421"/>
      <c r="H165" s="2423"/>
      <c r="I165" s="2424"/>
      <c r="J165" s="2421"/>
      <c r="K165" s="2421"/>
      <c r="L165" s="2421"/>
      <c r="M165" s="2413"/>
      <c r="N165" s="2413"/>
      <c r="O165" s="2443"/>
      <c r="P165" s="173"/>
      <c r="Q165" s="173"/>
      <c r="R165" s="173"/>
      <c r="S165" s="173"/>
      <c r="T165" s="760"/>
    </row>
    <row r="166" spans="2:20">
      <c r="B166" s="2425"/>
      <c r="C166" s="2411"/>
      <c r="D166" s="2414"/>
      <c r="E166" s="2411"/>
      <c r="F166" s="2419">
        <f>F164</f>
        <v>0</v>
      </c>
      <c r="G166" s="2419">
        <f>F166-F164</f>
        <v>0</v>
      </c>
      <c r="H166" s="2422">
        <f>G166*G143</f>
        <v>0</v>
      </c>
      <c r="I166" s="2422">
        <f>I164+H166</f>
        <v>0</v>
      </c>
      <c r="J166" s="2419"/>
      <c r="K166" s="2419"/>
      <c r="L166" s="2419">
        <f>IF(H166=0,0,IF((100-J166-K166)&lt;0,0,100-J166-K166))</f>
        <v>0</v>
      </c>
      <c r="M166" s="2411"/>
      <c r="N166" s="2411"/>
      <c r="O166" s="2443"/>
      <c r="P166" s="758"/>
      <c r="Q166" s="758"/>
      <c r="R166" s="758"/>
      <c r="S166" s="758"/>
      <c r="T166" s="759"/>
    </row>
    <row r="167" spans="2:20">
      <c r="B167" s="2426"/>
      <c r="C167" s="2413"/>
      <c r="D167" s="2427"/>
      <c r="E167" s="2413"/>
      <c r="F167" s="2421"/>
      <c r="G167" s="2421"/>
      <c r="H167" s="2423"/>
      <c r="I167" s="2424"/>
      <c r="J167" s="2421"/>
      <c r="K167" s="2421"/>
      <c r="L167" s="2421"/>
      <c r="M167" s="2413"/>
      <c r="N167" s="2413"/>
      <c r="O167" s="2443"/>
      <c r="P167" s="173"/>
      <c r="Q167" s="173"/>
      <c r="R167" s="173"/>
      <c r="S167" s="173"/>
      <c r="T167" s="760"/>
    </row>
    <row r="168" spans="2:20">
      <c r="B168" s="2425"/>
      <c r="C168" s="2411"/>
      <c r="D168" s="2414"/>
      <c r="E168" s="2411"/>
      <c r="F168" s="2419">
        <f>F166</f>
        <v>0</v>
      </c>
      <c r="G168" s="2419">
        <f>F168-F166</f>
        <v>0</v>
      </c>
      <c r="H168" s="2422">
        <f>G168*G143</f>
        <v>0</v>
      </c>
      <c r="I168" s="2422">
        <f>I166+H168</f>
        <v>0</v>
      </c>
      <c r="J168" s="2419"/>
      <c r="K168" s="2419"/>
      <c r="L168" s="2419">
        <f>IF(H168=0,0,IF((100-J168-K168)&lt;0,0,100-J168-K168))</f>
        <v>0</v>
      </c>
      <c r="M168" s="2411"/>
      <c r="N168" s="2411"/>
      <c r="O168" s="2443"/>
      <c r="P168" s="758"/>
      <c r="Q168" s="758"/>
      <c r="R168" s="758"/>
      <c r="S168" s="758"/>
      <c r="T168" s="759"/>
    </row>
    <row r="169" spans="2:20">
      <c r="B169" s="2426"/>
      <c r="C169" s="2413"/>
      <c r="D169" s="2427"/>
      <c r="E169" s="2413"/>
      <c r="F169" s="2421"/>
      <c r="G169" s="2421"/>
      <c r="H169" s="2423"/>
      <c r="I169" s="2424"/>
      <c r="J169" s="2421"/>
      <c r="K169" s="2421"/>
      <c r="L169" s="2421"/>
      <c r="M169" s="2413"/>
      <c r="N169" s="2413"/>
      <c r="O169" s="2443"/>
      <c r="P169" s="173"/>
      <c r="Q169" s="173"/>
      <c r="R169" s="173"/>
      <c r="S169" s="173"/>
      <c r="T169" s="760"/>
    </row>
    <row r="170" spans="2:20">
      <c r="B170" s="2425"/>
      <c r="C170" s="2411"/>
      <c r="D170" s="2414"/>
      <c r="E170" s="2411"/>
      <c r="F170" s="2419">
        <f>F168</f>
        <v>0</v>
      </c>
      <c r="G170" s="2419">
        <f>F170-F168</f>
        <v>0</v>
      </c>
      <c r="H170" s="2422">
        <f>G170*G143</f>
        <v>0</v>
      </c>
      <c r="I170" s="2422">
        <f>I168+H170</f>
        <v>0</v>
      </c>
      <c r="J170" s="2419"/>
      <c r="K170" s="2419"/>
      <c r="L170" s="2419">
        <f>IF(H170=0,0,IF((100-J170-K170)&lt;0,0,100-J170-K170))</f>
        <v>0</v>
      </c>
      <c r="M170" s="2411"/>
      <c r="N170" s="2411"/>
      <c r="O170" s="2443"/>
      <c r="P170" s="758"/>
      <c r="Q170" s="758"/>
      <c r="R170" s="758"/>
      <c r="S170" s="758"/>
      <c r="T170" s="759"/>
    </row>
    <row r="171" spans="2:20">
      <c r="B171" s="2426"/>
      <c r="C171" s="2413"/>
      <c r="D171" s="2427"/>
      <c r="E171" s="2413"/>
      <c r="F171" s="2421"/>
      <c r="G171" s="2421"/>
      <c r="H171" s="2423"/>
      <c r="I171" s="2424"/>
      <c r="J171" s="2421"/>
      <c r="K171" s="2421"/>
      <c r="L171" s="2421"/>
      <c r="M171" s="2413"/>
      <c r="N171" s="2413"/>
      <c r="O171" s="2443"/>
      <c r="P171" s="173"/>
      <c r="Q171" s="173"/>
      <c r="R171" s="173"/>
      <c r="S171" s="173"/>
      <c r="T171" s="760"/>
    </row>
    <row r="172" spans="2:20">
      <c r="B172" s="2425"/>
      <c r="C172" s="2411"/>
      <c r="D172" s="2414"/>
      <c r="E172" s="2411"/>
      <c r="F172" s="2419">
        <f>F170</f>
        <v>0</v>
      </c>
      <c r="G172" s="2419">
        <f>F172-F170</f>
        <v>0</v>
      </c>
      <c r="H172" s="2422">
        <f>G172*G143</f>
        <v>0</v>
      </c>
      <c r="I172" s="2422">
        <f>I170+H172</f>
        <v>0</v>
      </c>
      <c r="J172" s="2419"/>
      <c r="K172" s="2419"/>
      <c r="L172" s="2419">
        <f>IF(H172=0,0,IF((100-J172-K172)&lt;0,0,100-J172-K172))</f>
        <v>0</v>
      </c>
      <c r="M172" s="2411"/>
      <c r="N172" s="2411"/>
      <c r="O172" s="2443"/>
      <c r="P172" s="758"/>
      <c r="Q172" s="758"/>
      <c r="R172" s="758"/>
      <c r="S172" s="758"/>
      <c r="T172" s="759"/>
    </row>
    <row r="173" spans="2:20">
      <c r="B173" s="2426"/>
      <c r="C173" s="2413"/>
      <c r="D173" s="2427"/>
      <c r="E173" s="2413"/>
      <c r="F173" s="2421"/>
      <c r="G173" s="2421"/>
      <c r="H173" s="2423"/>
      <c r="I173" s="2424"/>
      <c r="J173" s="2421"/>
      <c r="K173" s="2421"/>
      <c r="L173" s="2421"/>
      <c r="M173" s="2413"/>
      <c r="N173" s="2413"/>
      <c r="O173" s="2443"/>
      <c r="P173" s="173"/>
      <c r="Q173" s="173"/>
      <c r="R173" s="173"/>
      <c r="S173" s="173"/>
      <c r="T173" s="760"/>
    </row>
    <row r="174" spans="2:20">
      <c r="B174" s="2425"/>
      <c r="C174" s="2411"/>
      <c r="D174" s="2414"/>
      <c r="E174" s="2411"/>
      <c r="F174" s="2419">
        <f>F172</f>
        <v>0</v>
      </c>
      <c r="G174" s="2419">
        <f>F174-F172</f>
        <v>0</v>
      </c>
      <c r="H174" s="2422">
        <f>G174*G143</f>
        <v>0</v>
      </c>
      <c r="I174" s="2422">
        <f>I172+H174</f>
        <v>0</v>
      </c>
      <c r="J174" s="2419"/>
      <c r="K174" s="2419"/>
      <c r="L174" s="2419">
        <f>IF(H174=0,0,IF((100-J174-K174)&lt;0,0,100-J174-K174))</f>
        <v>0</v>
      </c>
      <c r="M174" s="2411"/>
      <c r="N174" s="2411"/>
      <c r="O174" s="2443"/>
      <c r="P174" s="758"/>
      <c r="Q174" s="758"/>
      <c r="R174" s="758"/>
      <c r="S174" s="758"/>
      <c r="T174" s="759"/>
    </row>
    <row r="175" spans="2:20">
      <c r="B175" s="2426"/>
      <c r="C175" s="2413"/>
      <c r="D175" s="2427"/>
      <c r="E175" s="2413"/>
      <c r="F175" s="2421"/>
      <c r="G175" s="2421"/>
      <c r="H175" s="2423"/>
      <c r="I175" s="2424"/>
      <c r="J175" s="2421"/>
      <c r="K175" s="2421"/>
      <c r="L175" s="2421"/>
      <c r="M175" s="2413"/>
      <c r="N175" s="2413"/>
      <c r="O175" s="2443"/>
      <c r="P175" s="173"/>
      <c r="Q175" s="173"/>
      <c r="R175" s="173"/>
      <c r="S175" s="173"/>
      <c r="T175" s="760"/>
    </row>
    <row r="176" spans="2:20">
      <c r="B176" s="2425"/>
      <c r="C176" s="2411"/>
      <c r="D176" s="2414"/>
      <c r="E176" s="2411"/>
      <c r="F176" s="2419">
        <f>F174</f>
        <v>0</v>
      </c>
      <c r="G176" s="2419">
        <f>F176-F174</f>
        <v>0</v>
      </c>
      <c r="H176" s="2422">
        <f>G176*G143</f>
        <v>0</v>
      </c>
      <c r="I176" s="2422">
        <f>I174+H176</f>
        <v>0</v>
      </c>
      <c r="J176" s="2419"/>
      <c r="K176" s="2419"/>
      <c r="L176" s="2419">
        <f>IF(H176=0,0,IF((100-J176-K176)&lt;0,0,100-J176-K176))</f>
        <v>0</v>
      </c>
      <c r="M176" s="2411"/>
      <c r="N176" s="2411"/>
      <c r="O176" s="2443"/>
      <c r="P176" s="758"/>
      <c r="Q176" s="758"/>
      <c r="R176" s="758"/>
      <c r="S176" s="758"/>
      <c r="T176" s="759"/>
    </row>
    <row r="177" spans="2:20" ht="13.75" thickBot="1">
      <c r="B177" s="2426"/>
      <c r="C177" s="2413"/>
      <c r="D177" s="2427"/>
      <c r="E177" s="2413"/>
      <c r="F177" s="2421"/>
      <c r="G177" s="2421"/>
      <c r="H177" s="2423"/>
      <c r="I177" s="2424"/>
      <c r="J177" s="2421"/>
      <c r="K177" s="2421"/>
      <c r="L177" s="2421"/>
      <c r="M177" s="2413"/>
      <c r="N177" s="2413"/>
      <c r="O177" s="2443"/>
      <c r="P177" s="173"/>
      <c r="Q177" s="173"/>
      <c r="R177" s="173"/>
      <c r="S177" s="173"/>
      <c r="T177" s="185"/>
    </row>
    <row r="178" spans="2:20">
      <c r="B178" s="2425"/>
      <c r="C178" s="2411"/>
      <c r="D178" s="2414"/>
      <c r="E178" s="2411"/>
      <c r="F178" s="2419">
        <f>F176</f>
        <v>0</v>
      </c>
      <c r="G178" s="2419">
        <f>F178-F176</f>
        <v>0</v>
      </c>
      <c r="H178" s="2422">
        <f>G178*G143</f>
        <v>0</v>
      </c>
      <c r="I178" s="2422">
        <f>I176+H178</f>
        <v>0</v>
      </c>
      <c r="J178" s="2419"/>
      <c r="K178" s="2419"/>
      <c r="L178" s="2419">
        <f>IF(H178=0,0,IF((100-J178-K178)&lt;0,0,100-J178-K178))</f>
        <v>0</v>
      </c>
      <c r="M178" s="2411"/>
      <c r="N178" s="2411"/>
      <c r="O178" s="2457"/>
      <c r="P178" s="365"/>
      <c r="Q178" s="365"/>
      <c r="R178" s="365"/>
      <c r="S178" s="365"/>
      <c r="T178" s="1087" t="str">
        <f>T133</f>
        <v>Ttl Other (1)</v>
      </c>
    </row>
    <row r="179" spans="2:20" ht="13.75" thickBot="1">
      <c r="B179" s="2430"/>
      <c r="C179" s="2412"/>
      <c r="D179" s="2415"/>
      <c r="E179" s="2412"/>
      <c r="F179" s="2420"/>
      <c r="G179" s="2420"/>
      <c r="H179" s="2428"/>
      <c r="I179" s="2429"/>
      <c r="J179" s="2420"/>
      <c r="K179" s="2420"/>
      <c r="L179" s="2420"/>
      <c r="M179" s="2412"/>
      <c r="N179" s="2412"/>
      <c r="O179" s="2458"/>
      <c r="P179" s="1313" t="s">
        <v>806</v>
      </c>
      <c r="Q179" s="1314">
        <f>((H148*K148)+(H150*K150)+(H152*K152)+(H154*K154)+(H156*K156)+(H158*K158)+(H160*K160)+(H162*K162)+(H164*K164)+(H166*K166)+(H168*K168)+(H170*K170)+(H172*K172)+(H174*K174)+(H176*K176)+(H178*K178))/100+Q134</f>
        <v>0</v>
      </c>
      <c r="R179" s="1313" t="s">
        <v>807</v>
      </c>
      <c r="S179" s="1314">
        <f>((J148*H148)+(J150*H150)+(J152*H152)+(J154*H154)+(J156*H156)+(J158*H158)+(J160*H160)+(J162*H162)+(J164*H164)+(J166*H166)+(J168*H168)+(J170*H170)+(J172*H172)+(J174*H174)+(J176*H176)+(J178*H178))/100+S134</f>
        <v>0</v>
      </c>
      <c r="T179" s="763">
        <f>IF(I178=0,T134,I178-Q179-S179)</f>
        <v>0</v>
      </c>
    </row>
    <row r="180" spans="2:20">
      <c r="B180" s="752"/>
      <c r="C180" s="753"/>
      <c r="D180" s="753"/>
      <c r="E180" s="753"/>
      <c r="F180" s="754"/>
      <c r="G180" s="754"/>
      <c r="H180" s="755"/>
      <c r="I180" s="751"/>
      <c r="J180" s="754"/>
      <c r="K180" s="754"/>
      <c r="L180" s="754"/>
      <c r="M180" s="753"/>
      <c r="N180" s="753"/>
      <c r="O180" s="41"/>
      <c r="P180" s="756"/>
      <c r="Q180" s="41"/>
      <c r="R180" s="41"/>
      <c r="S180" s="756"/>
      <c r="T180" s="761"/>
    </row>
    <row r="181" spans="2:20" ht="13.75" thickBot="1">
      <c r="B181" s="512"/>
      <c r="C181" s="757"/>
      <c r="D181" s="513"/>
      <c r="E181" s="513"/>
      <c r="F181" s="514"/>
      <c r="G181" s="514"/>
      <c r="H181" s="515"/>
      <c r="I181" s="516"/>
      <c r="J181" s="514"/>
      <c r="K181" s="514"/>
      <c r="L181" s="514"/>
      <c r="M181" s="513"/>
      <c r="N181" s="513"/>
      <c r="O181" s="366"/>
      <c r="P181" s="366"/>
      <c r="Q181" s="366"/>
      <c r="R181" s="366"/>
      <c r="S181" s="366"/>
      <c r="T181" s="762"/>
    </row>
    <row r="182" spans="2:20">
      <c r="B182" s="2406">
        <f>B137</f>
        <v>0</v>
      </c>
      <c r="C182" s="2407"/>
      <c r="D182" s="2407"/>
      <c r="E182" s="2407"/>
      <c r="F182" s="2407"/>
      <c r="G182" s="2407"/>
      <c r="H182" s="2407"/>
      <c r="I182" s="2407"/>
      <c r="J182" s="2407"/>
      <c r="K182" s="2407"/>
      <c r="L182" s="2407"/>
      <c r="M182" s="2407"/>
      <c r="N182" s="2407"/>
      <c r="O182" s="2407"/>
      <c r="P182" s="2407"/>
      <c r="Q182" s="2407"/>
      <c r="R182" s="2407"/>
      <c r="S182" s="2407"/>
      <c r="T182" s="2408"/>
    </row>
    <row r="183" spans="2:20">
      <c r="B183" s="1790" t="s">
        <v>1453</v>
      </c>
      <c r="C183" s="1659"/>
      <c r="D183" s="1659"/>
      <c r="E183" s="1659"/>
      <c r="F183" s="1659"/>
      <c r="G183" s="1659"/>
      <c r="H183" s="1659"/>
      <c r="I183" s="1659"/>
      <c r="J183" s="1659"/>
      <c r="K183" s="1659"/>
      <c r="L183" s="1659"/>
      <c r="M183" s="1659"/>
      <c r="N183" s="1659"/>
      <c r="O183" s="1659"/>
      <c r="P183" s="1659"/>
      <c r="Q183" s="1659"/>
      <c r="R183" s="1659"/>
      <c r="S183" s="1659"/>
      <c r="T183" s="1778"/>
    </row>
    <row r="184" spans="2:20">
      <c r="B184" s="84"/>
      <c r="P184" s="120" t="s">
        <v>729</v>
      </c>
      <c r="Q184" s="4">
        <f>IF(B193&gt;0,1,0)</f>
        <v>0</v>
      </c>
      <c r="R184" s="4"/>
      <c r="S184" s="120" t="s">
        <v>730</v>
      </c>
      <c r="T184" s="133">
        <f>IF(T229=2,2,Q184)</f>
        <v>0</v>
      </c>
    </row>
    <row r="185" spans="2:20">
      <c r="B185" s="84"/>
      <c r="E185"/>
      <c r="T185" s="39"/>
    </row>
    <row r="186" spans="2:20">
      <c r="B186" s="947" t="s">
        <v>634</v>
      </c>
      <c r="C186" s="23">
        <f>C141</f>
        <v>0</v>
      </c>
      <c r="T186" s="39"/>
    </row>
    <row r="187" spans="2:20">
      <c r="B187" s="84"/>
      <c r="T187" s="39"/>
    </row>
    <row r="188" spans="2:20">
      <c r="B188" s="84" t="s">
        <v>221</v>
      </c>
      <c r="C188" s="2416"/>
      <c r="D188" s="2416"/>
      <c r="E188" s="2000" t="s">
        <v>736</v>
      </c>
      <c r="F188" s="2000"/>
      <c r="G188" s="23">
        <v>0</v>
      </c>
      <c r="I188" s="1659" t="s">
        <v>737</v>
      </c>
      <c r="J188" s="1659"/>
      <c r="K188" s="168">
        <f>K143</f>
        <v>0</v>
      </c>
      <c r="N188" s="23" t="s">
        <v>660</v>
      </c>
      <c r="P188" s="23">
        <f>P143</f>
        <v>0</v>
      </c>
      <c r="T188" s="39"/>
    </row>
    <row r="189" spans="2:20">
      <c r="B189" s="84"/>
      <c r="D189" s="2417" t="s">
        <v>805</v>
      </c>
      <c r="E189" s="2417"/>
      <c r="F189" s="2417"/>
      <c r="G189" s="367">
        <v>0</v>
      </c>
      <c r="H189" s="2418" t="s">
        <v>1003</v>
      </c>
      <c r="I189" s="2418"/>
      <c r="J189" s="2418"/>
      <c r="K189" s="2409">
        <f>K144</f>
        <v>0</v>
      </c>
      <c r="L189" s="2409"/>
      <c r="M189" s="2409">
        <f>M144</f>
        <v>0</v>
      </c>
      <c r="N189" s="2409"/>
      <c r="O189" s="2409">
        <f>O144</f>
        <v>0</v>
      </c>
      <c r="P189" s="2409"/>
      <c r="Q189" s="2409">
        <f>Q144</f>
        <v>0</v>
      </c>
      <c r="R189" s="2409"/>
      <c r="S189" s="2409"/>
      <c r="T189" s="2410"/>
    </row>
    <row r="190" spans="2:20" ht="12.75" customHeight="1">
      <c r="B190" s="2437" t="s">
        <v>208</v>
      </c>
      <c r="C190" s="2440" t="s">
        <v>738</v>
      </c>
      <c r="D190" s="739" t="s">
        <v>209</v>
      </c>
      <c r="E190" s="739" t="s">
        <v>207</v>
      </c>
      <c r="F190" s="2431" t="s">
        <v>210</v>
      </c>
      <c r="G190" s="2431" t="s">
        <v>210</v>
      </c>
      <c r="H190" s="2431" t="s">
        <v>209</v>
      </c>
      <c r="I190" s="739" t="s">
        <v>801</v>
      </c>
      <c r="J190" s="2433" t="s">
        <v>802</v>
      </c>
      <c r="K190" s="2434"/>
      <c r="L190" s="2435"/>
      <c r="M190" s="739" t="s">
        <v>204</v>
      </c>
      <c r="N190" s="739" t="s">
        <v>260</v>
      </c>
      <c r="O190" s="1310" t="s">
        <v>270</v>
      </c>
      <c r="P190" s="2450" t="s">
        <v>212</v>
      </c>
      <c r="Q190" s="2450"/>
      <c r="R190" s="2450"/>
      <c r="S190" s="2450"/>
      <c r="T190" s="2451"/>
    </row>
    <row r="191" spans="2:20">
      <c r="B191" s="2438"/>
      <c r="C191" s="2441"/>
      <c r="D191" s="741" t="s">
        <v>214</v>
      </c>
      <c r="E191" s="741" t="s">
        <v>215</v>
      </c>
      <c r="F191" s="2432"/>
      <c r="G191" s="2432"/>
      <c r="H191" s="2432"/>
      <c r="I191" s="741" t="s">
        <v>209</v>
      </c>
      <c r="J191" s="2431" t="s">
        <v>803</v>
      </c>
      <c r="K191" s="2431" t="s">
        <v>804</v>
      </c>
      <c r="L191" s="2431" t="str">
        <f>L146</f>
        <v>Other (1)%</v>
      </c>
      <c r="M191" s="741" t="s">
        <v>217</v>
      </c>
      <c r="N191" s="741" t="s">
        <v>217</v>
      </c>
      <c r="O191" s="1311" t="s">
        <v>481</v>
      </c>
      <c r="P191" s="2452"/>
      <c r="Q191" s="2452"/>
      <c r="R191" s="2452"/>
      <c r="S191" s="2452"/>
      <c r="T191" s="2453"/>
    </row>
    <row r="192" spans="2:20">
      <c r="B192" s="2439"/>
      <c r="C192" s="2442"/>
      <c r="D192" s="740" t="str">
        <f>E192</f>
        <v xml:space="preserve">m </v>
      </c>
      <c r="E192" s="740" t="str">
        <f>E147</f>
        <v xml:space="preserve">m </v>
      </c>
      <c r="F192" s="740" t="s">
        <v>211</v>
      </c>
      <c r="G192" s="740" t="s">
        <v>739</v>
      </c>
      <c r="H192" s="742" t="str">
        <f>H147</f>
        <v>Gain</v>
      </c>
      <c r="I192" s="740" t="str">
        <f>I147</f>
        <v>m³</v>
      </c>
      <c r="J192" s="2436"/>
      <c r="K192" s="2436"/>
      <c r="L192" s="2436"/>
      <c r="M192" s="740" t="str">
        <f>N192</f>
        <v>kPa</v>
      </c>
      <c r="N192" s="740" t="str">
        <f>N147</f>
        <v>kPa</v>
      </c>
      <c r="O192" s="1312" t="str">
        <f>O147</f>
        <v>10³m³/d</v>
      </c>
      <c r="P192" s="2454"/>
      <c r="Q192" s="2454"/>
      <c r="R192" s="2454"/>
      <c r="S192" s="2454"/>
      <c r="T192" s="2455"/>
    </row>
    <row r="193" spans="2:20">
      <c r="B193" s="2425">
        <v>0</v>
      </c>
      <c r="C193" s="2411"/>
      <c r="D193" s="2411"/>
      <c r="E193" s="2411"/>
      <c r="F193" s="2419">
        <f>G189</f>
        <v>0</v>
      </c>
      <c r="G193" s="2419">
        <f>F193-G189</f>
        <v>0</v>
      </c>
      <c r="H193" s="2422">
        <f>G193*G188</f>
        <v>0</v>
      </c>
      <c r="I193" s="2422">
        <f>H193</f>
        <v>0</v>
      </c>
      <c r="J193" s="2419"/>
      <c r="K193" s="2419"/>
      <c r="L193" s="2419">
        <f>IF(H193=0,0,IF((100-J193-K193)&lt;0,0,100-J193-K193))</f>
        <v>0</v>
      </c>
      <c r="M193" s="2411"/>
      <c r="N193" s="2411"/>
      <c r="O193" s="2443"/>
      <c r="P193" s="758"/>
      <c r="Q193" s="758"/>
      <c r="R193" s="758"/>
      <c r="S193" s="758"/>
      <c r="T193" s="759"/>
    </row>
    <row r="194" spans="2:20">
      <c r="B194" s="2426"/>
      <c r="C194" s="2413"/>
      <c r="D194" s="2413"/>
      <c r="E194" s="2413"/>
      <c r="F194" s="2421"/>
      <c r="G194" s="2421"/>
      <c r="H194" s="2423"/>
      <c r="I194" s="2423"/>
      <c r="J194" s="2421"/>
      <c r="K194" s="2421"/>
      <c r="L194" s="2421"/>
      <c r="M194" s="2413"/>
      <c r="N194" s="2413"/>
      <c r="O194" s="2443"/>
      <c r="P194" s="173"/>
      <c r="Q194" s="173"/>
      <c r="R194" s="173"/>
      <c r="S194" s="173"/>
      <c r="T194" s="760"/>
    </row>
    <row r="195" spans="2:20">
      <c r="B195" s="2425"/>
      <c r="C195" s="2411"/>
      <c r="D195" s="2414"/>
      <c r="E195" s="2411"/>
      <c r="F195" s="2419">
        <f>F193</f>
        <v>0</v>
      </c>
      <c r="G195" s="2419">
        <f>F195-F193</f>
        <v>0</v>
      </c>
      <c r="H195" s="2422">
        <f>G195*G188</f>
        <v>0</v>
      </c>
      <c r="I195" s="2422">
        <f>I193+H195</f>
        <v>0</v>
      </c>
      <c r="J195" s="2419"/>
      <c r="K195" s="2419"/>
      <c r="L195" s="2419">
        <f>IF(H195=0,0,IF((100-J195-K195)&lt;0,0,100-J195-K195))</f>
        <v>0</v>
      </c>
      <c r="M195" s="2411"/>
      <c r="N195" s="2411"/>
      <c r="O195" s="2443"/>
      <c r="P195" s="758"/>
      <c r="Q195" s="758"/>
      <c r="R195" s="758"/>
      <c r="S195" s="758"/>
      <c r="T195" s="759"/>
    </row>
    <row r="196" spans="2:20">
      <c r="B196" s="2426"/>
      <c r="C196" s="2413"/>
      <c r="D196" s="2427"/>
      <c r="E196" s="2413"/>
      <c r="F196" s="2421"/>
      <c r="G196" s="2421"/>
      <c r="H196" s="2423"/>
      <c r="I196" s="2424"/>
      <c r="J196" s="2421"/>
      <c r="K196" s="2421"/>
      <c r="L196" s="2421"/>
      <c r="M196" s="2413"/>
      <c r="N196" s="2413"/>
      <c r="O196" s="2443"/>
      <c r="P196" s="173"/>
      <c r="Q196" s="173"/>
      <c r="R196" s="173"/>
      <c r="S196" s="173"/>
      <c r="T196" s="760"/>
    </row>
    <row r="197" spans="2:20">
      <c r="B197" s="2425"/>
      <c r="C197" s="2411"/>
      <c r="D197" s="2414"/>
      <c r="E197" s="2411"/>
      <c r="F197" s="2419">
        <f>F195</f>
        <v>0</v>
      </c>
      <c r="G197" s="2419">
        <f>F197-F195</f>
        <v>0</v>
      </c>
      <c r="H197" s="2422">
        <f>G197*G188</f>
        <v>0</v>
      </c>
      <c r="I197" s="2422">
        <f>I195+H197</f>
        <v>0</v>
      </c>
      <c r="J197" s="2419"/>
      <c r="K197" s="2419"/>
      <c r="L197" s="2419">
        <f>IF(H197=0,0,IF((100-J197-K197)&lt;0,0,100-J197-K197))</f>
        <v>0</v>
      </c>
      <c r="M197" s="2411"/>
      <c r="N197" s="2411"/>
      <c r="O197" s="2443"/>
      <c r="P197" s="758"/>
      <c r="Q197" s="758"/>
      <c r="R197" s="758"/>
      <c r="S197" s="758"/>
      <c r="T197" s="759"/>
    </row>
    <row r="198" spans="2:20">
      <c r="B198" s="2426"/>
      <c r="C198" s="2413"/>
      <c r="D198" s="2427"/>
      <c r="E198" s="2413"/>
      <c r="F198" s="2421"/>
      <c r="G198" s="2421"/>
      <c r="H198" s="2423"/>
      <c r="I198" s="2424"/>
      <c r="J198" s="2421"/>
      <c r="K198" s="2421"/>
      <c r="L198" s="2421"/>
      <c r="M198" s="2413"/>
      <c r="N198" s="2413"/>
      <c r="O198" s="2443"/>
      <c r="P198" s="173"/>
      <c r="Q198" s="173"/>
      <c r="R198" s="173"/>
      <c r="S198" s="173"/>
      <c r="T198" s="760"/>
    </row>
    <row r="199" spans="2:20">
      <c r="B199" s="2425"/>
      <c r="C199" s="2411"/>
      <c r="D199" s="2414"/>
      <c r="E199" s="2411"/>
      <c r="F199" s="2419">
        <f>F197</f>
        <v>0</v>
      </c>
      <c r="G199" s="2419">
        <f>F199-F197</f>
        <v>0</v>
      </c>
      <c r="H199" s="2422">
        <f>G199*G188</f>
        <v>0</v>
      </c>
      <c r="I199" s="2422">
        <f>I197+H199</f>
        <v>0</v>
      </c>
      <c r="J199" s="2419"/>
      <c r="K199" s="2419"/>
      <c r="L199" s="2419">
        <f>IF(H199=0,0,IF((100-J199-K199)&lt;0,0,100-J199-K199))</f>
        <v>0</v>
      </c>
      <c r="M199" s="2411"/>
      <c r="N199" s="2411"/>
      <c r="O199" s="2443"/>
      <c r="P199" s="758"/>
      <c r="Q199" s="758"/>
      <c r="R199" s="758"/>
      <c r="S199" s="758"/>
      <c r="T199" s="759"/>
    </row>
    <row r="200" spans="2:20">
      <c r="B200" s="2426"/>
      <c r="C200" s="2413"/>
      <c r="D200" s="2427"/>
      <c r="E200" s="2413"/>
      <c r="F200" s="2421"/>
      <c r="G200" s="2421"/>
      <c r="H200" s="2423"/>
      <c r="I200" s="2424"/>
      <c r="J200" s="2421"/>
      <c r="K200" s="2421"/>
      <c r="L200" s="2421"/>
      <c r="M200" s="2413"/>
      <c r="N200" s="2413"/>
      <c r="O200" s="2443"/>
      <c r="P200" s="173"/>
      <c r="Q200" s="173"/>
      <c r="R200" s="173"/>
      <c r="S200" s="173"/>
      <c r="T200" s="760"/>
    </row>
    <row r="201" spans="2:20">
      <c r="B201" s="2425"/>
      <c r="C201" s="2411"/>
      <c r="D201" s="2414"/>
      <c r="E201" s="2411"/>
      <c r="F201" s="2419">
        <f>F199</f>
        <v>0</v>
      </c>
      <c r="G201" s="2419">
        <f>F201-F199</f>
        <v>0</v>
      </c>
      <c r="H201" s="2422">
        <f>G201*G188</f>
        <v>0</v>
      </c>
      <c r="I201" s="2422">
        <f>I199+H201</f>
        <v>0</v>
      </c>
      <c r="J201" s="2419"/>
      <c r="K201" s="2419"/>
      <c r="L201" s="2419">
        <f>IF(H201=0,0,IF((100-J201-K201)&lt;0,0,100-J201-K201))</f>
        <v>0</v>
      </c>
      <c r="M201" s="2411"/>
      <c r="N201" s="2411"/>
      <c r="O201" s="2443"/>
      <c r="P201" s="758"/>
      <c r="Q201" s="758"/>
      <c r="R201" s="758"/>
      <c r="S201" s="758"/>
      <c r="T201" s="759"/>
    </row>
    <row r="202" spans="2:20">
      <c r="B202" s="2426"/>
      <c r="C202" s="2413"/>
      <c r="D202" s="2427"/>
      <c r="E202" s="2413"/>
      <c r="F202" s="2421"/>
      <c r="G202" s="2421"/>
      <c r="H202" s="2423"/>
      <c r="I202" s="2424"/>
      <c r="J202" s="2421"/>
      <c r="K202" s="2421"/>
      <c r="L202" s="2421"/>
      <c r="M202" s="2413"/>
      <c r="N202" s="2413"/>
      <c r="O202" s="2443"/>
      <c r="P202" s="173"/>
      <c r="Q202" s="173"/>
      <c r="R202" s="173"/>
      <c r="S202" s="173"/>
      <c r="T202" s="760"/>
    </row>
    <row r="203" spans="2:20">
      <c r="B203" s="2425"/>
      <c r="C203" s="2411"/>
      <c r="D203" s="2414"/>
      <c r="E203" s="2411"/>
      <c r="F203" s="2419">
        <f>F201</f>
        <v>0</v>
      </c>
      <c r="G203" s="2419">
        <f>F203-F201</f>
        <v>0</v>
      </c>
      <c r="H203" s="2422">
        <f>G203*G188</f>
        <v>0</v>
      </c>
      <c r="I203" s="2422">
        <f>I201+H203</f>
        <v>0</v>
      </c>
      <c r="J203" s="2419"/>
      <c r="K203" s="2419"/>
      <c r="L203" s="2419">
        <f>IF(H203=0,0,IF((100-J203-K203)&lt;0,0,100-J203-K203))</f>
        <v>0</v>
      </c>
      <c r="M203" s="2411"/>
      <c r="N203" s="2411"/>
      <c r="O203" s="2443"/>
      <c r="P203" s="758"/>
      <c r="Q203" s="758"/>
      <c r="R203" s="758"/>
      <c r="S203" s="758"/>
      <c r="T203" s="759"/>
    </row>
    <row r="204" spans="2:20">
      <c r="B204" s="2426"/>
      <c r="C204" s="2413"/>
      <c r="D204" s="2427"/>
      <c r="E204" s="2413"/>
      <c r="F204" s="2421"/>
      <c r="G204" s="2421"/>
      <c r="H204" s="2423"/>
      <c r="I204" s="2424"/>
      <c r="J204" s="2421"/>
      <c r="K204" s="2421"/>
      <c r="L204" s="2421"/>
      <c r="M204" s="2413"/>
      <c r="N204" s="2413"/>
      <c r="O204" s="2443"/>
      <c r="P204" s="173"/>
      <c r="Q204" s="173"/>
      <c r="R204" s="173"/>
      <c r="S204" s="173"/>
      <c r="T204" s="760"/>
    </row>
    <row r="205" spans="2:20">
      <c r="B205" s="2425"/>
      <c r="C205" s="2411"/>
      <c r="D205" s="2414"/>
      <c r="E205" s="2411"/>
      <c r="F205" s="2419">
        <f>F203</f>
        <v>0</v>
      </c>
      <c r="G205" s="2419">
        <f>F205-F203</f>
        <v>0</v>
      </c>
      <c r="H205" s="2422">
        <f>G205*G188</f>
        <v>0</v>
      </c>
      <c r="I205" s="2422">
        <f>I203+H205</f>
        <v>0</v>
      </c>
      <c r="J205" s="2419"/>
      <c r="K205" s="2419"/>
      <c r="L205" s="2419">
        <f>IF(H205=0,0,IF((100-J205-K205)&lt;0,0,100-J205-K205))</f>
        <v>0</v>
      </c>
      <c r="M205" s="2411"/>
      <c r="N205" s="2411"/>
      <c r="O205" s="2443"/>
      <c r="P205" s="758"/>
      <c r="Q205" s="758"/>
      <c r="R205" s="758"/>
      <c r="S205" s="758"/>
      <c r="T205" s="759"/>
    </row>
    <row r="206" spans="2:20">
      <c r="B206" s="2426"/>
      <c r="C206" s="2413"/>
      <c r="D206" s="2427"/>
      <c r="E206" s="2413"/>
      <c r="F206" s="2421"/>
      <c r="G206" s="2421"/>
      <c r="H206" s="2423"/>
      <c r="I206" s="2424"/>
      <c r="J206" s="2421"/>
      <c r="K206" s="2421"/>
      <c r="L206" s="2421"/>
      <c r="M206" s="2413"/>
      <c r="N206" s="2413"/>
      <c r="O206" s="2443"/>
      <c r="P206" s="173"/>
      <c r="Q206" s="173"/>
      <c r="R206" s="173"/>
      <c r="S206" s="173"/>
      <c r="T206" s="760"/>
    </row>
    <row r="207" spans="2:20">
      <c r="B207" s="2425"/>
      <c r="C207" s="2411"/>
      <c r="D207" s="2414"/>
      <c r="E207" s="2411"/>
      <c r="F207" s="2419">
        <f>F205</f>
        <v>0</v>
      </c>
      <c r="G207" s="2419">
        <f>F207-F205</f>
        <v>0</v>
      </c>
      <c r="H207" s="2422">
        <f>G207*G188</f>
        <v>0</v>
      </c>
      <c r="I207" s="2422">
        <f>I205+H207</f>
        <v>0</v>
      </c>
      <c r="J207" s="2419"/>
      <c r="K207" s="2419"/>
      <c r="L207" s="2419">
        <f>IF(H207=0,0,IF((100-J207-K207)&lt;0,0,100-J207-K207))</f>
        <v>0</v>
      </c>
      <c r="M207" s="2411"/>
      <c r="N207" s="2411"/>
      <c r="O207" s="2443"/>
      <c r="P207" s="758"/>
      <c r="Q207" s="758"/>
      <c r="R207" s="758"/>
      <c r="S207" s="758"/>
      <c r="T207" s="759"/>
    </row>
    <row r="208" spans="2:20">
      <c r="B208" s="2426"/>
      <c r="C208" s="2413"/>
      <c r="D208" s="2427"/>
      <c r="E208" s="2413"/>
      <c r="F208" s="2421"/>
      <c r="G208" s="2421"/>
      <c r="H208" s="2423"/>
      <c r="I208" s="2424"/>
      <c r="J208" s="2421"/>
      <c r="K208" s="2421"/>
      <c r="L208" s="2421"/>
      <c r="M208" s="2413"/>
      <c r="N208" s="2413"/>
      <c r="O208" s="2443"/>
      <c r="P208" s="173"/>
      <c r="Q208" s="173"/>
      <c r="R208" s="173"/>
      <c r="S208" s="173"/>
      <c r="T208" s="760"/>
    </row>
    <row r="209" spans="2:20">
      <c r="B209" s="2425"/>
      <c r="C209" s="2411"/>
      <c r="D209" s="2414"/>
      <c r="E209" s="2411"/>
      <c r="F209" s="2419">
        <f>F207</f>
        <v>0</v>
      </c>
      <c r="G209" s="2419">
        <f>F209-F207</f>
        <v>0</v>
      </c>
      <c r="H209" s="2422">
        <f>G209*G188</f>
        <v>0</v>
      </c>
      <c r="I209" s="2422">
        <f>I207+H209</f>
        <v>0</v>
      </c>
      <c r="J209" s="2419"/>
      <c r="K209" s="2419"/>
      <c r="L209" s="2419">
        <f>IF(H209=0,0,IF((100-J209-K209)&lt;0,0,100-J209-K209))</f>
        <v>0</v>
      </c>
      <c r="M209" s="2411"/>
      <c r="N209" s="2411"/>
      <c r="O209" s="2443"/>
      <c r="P209" s="758"/>
      <c r="Q209" s="758"/>
      <c r="R209" s="758"/>
      <c r="S209" s="758"/>
      <c r="T209" s="759"/>
    </row>
    <row r="210" spans="2:20">
      <c r="B210" s="2426"/>
      <c r="C210" s="2413"/>
      <c r="D210" s="2427"/>
      <c r="E210" s="2413"/>
      <c r="F210" s="2421"/>
      <c r="G210" s="2421"/>
      <c r="H210" s="2423"/>
      <c r="I210" s="2424"/>
      <c r="J210" s="2421"/>
      <c r="K210" s="2421"/>
      <c r="L210" s="2421"/>
      <c r="M210" s="2413"/>
      <c r="N210" s="2413"/>
      <c r="O210" s="2443"/>
      <c r="P210" s="173"/>
      <c r="Q210" s="173"/>
      <c r="R210" s="173"/>
      <c r="S210" s="173"/>
      <c r="T210" s="760"/>
    </row>
    <row r="211" spans="2:20">
      <c r="B211" s="2425"/>
      <c r="C211" s="2411"/>
      <c r="D211" s="2414"/>
      <c r="E211" s="2411"/>
      <c r="F211" s="2419">
        <f>F209</f>
        <v>0</v>
      </c>
      <c r="G211" s="2419">
        <f>F211-F209</f>
        <v>0</v>
      </c>
      <c r="H211" s="2422">
        <f>G211*G188</f>
        <v>0</v>
      </c>
      <c r="I211" s="2422">
        <f>I209+H211</f>
        <v>0</v>
      </c>
      <c r="J211" s="2419"/>
      <c r="K211" s="2419"/>
      <c r="L211" s="2419">
        <f>IF(H211=0,0,IF((100-J211-K211)&lt;0,0,100-J211-K211))</f>
        <v>0</v>
      </c>
      <c r="M211" s="2411"/>
      <c r="N211" s="2411"/>
      <c r="O211" s="2443"/>
      <c r="P211" s="758"/>
      <c r="Q211" s="758"/>
      <c r="R211" s="758"/>
      <c r="S211" s="758"/>
      <c r="T211" s="759"/>
    </row>
    <row r="212" spans="2:20">
      <c r="B212" s="2426"/>
      <c r="C212" s="2413"/>
      <c r="D212" s="2427"/>
      <c r="E212" s="2413"/>
      <c r="F212" s="2421"/>
      <c r="G212" s="2421"/>
      <c r="H212" s="2423"/>
      <c r="I212" s="2424"/>
      <c r="J212" s="2421"/>
      <c r="K212" s="2421"/>
      <c r="L212" s="2421"/>
      <c r="M212" s="2413"/>
      <c r="N212" s="2413"/>
      <c r="O212" s="2443"/>
      <c r="P212" s="173"/>
      <c r="Q212" s="173"/>
      <c r="R212" s="173"/>
      <c r="S212" s="173"/>
      <c r="T212" s="760"/>
    </row>
    <row r="213" spans="2:20">
      <c r="B213" s="2425"/>
      <c r="C213" s="2411"/>
      <c r="D213" s="2414"/>
      <c r="E213" s="2411"/>
      <c r="F213" s="2419">
        <f>F211</f>
        <v>0</v>
      </c>
      <c r="G213" s="2419">
        <f>F213-F211</f>
        <v>0</v>
      </c>
      <c r="H213" s="2422">
        <f>G213*G188</f>
        <v>0</v>
      </c>
      <c r="I213" s="2422">
        <f>I211+H213</f>
        <v>0</v>
      </c>
      <c r="J213" s="2419"/>
      <c r="K213" s="2419"/>
      <c r="L213" s="2419">
        <f>IF(H213=0,0,IF((100-J213-K213)&lt;0,0,100-J213-K213))</f>
        <v>0</v>
      </c>
      <c r="M213" s="2411"/>
      <c r="N213" s="2411"/>
      <c r="O213" s="2443"/>
      <c r="P213" s="758"/>
      <c r="Q213" s="758"/>
      <c r="R213" s="758"/>
      <c r="S213" s="758"/>
      <c r="T213" s="759"/>
    </row>
    <row r="214" spans="2:20">
      <c r="B214" s="2426"/>
      <c r="C214" s="2413"/>
      <c r="D214" s="2427"/>
      <c r="E214" s="2413"/>
      <c r="F214" s="2421"/>
      <c r="G214" s="2421"/>
      <c r="H214" s="2423"/>
      <c r="I214" s="2424"/>
      <c r="J214" s="2421"/>
      <c r="K214" s="2421"/>
      <c r="L214" s="2421"/>
      <c r="M214" s="2413"/>
      <c r="N214" s="2413"/>
      <c r="O214" s="2443"/>
      <c r="P214" s="173"/>
      <c r="Q214" s="173"/>
      <c r="R214" s="173"/>
      <c r="S214" s="173"/>
      <c r="T214" s="760"/>
    </row>
    <row r="215" spans="2:20">
      <c r="B215" s="2425"/>
      <c r="C215" s="2411"/>
      <c r="D215" s="2414"/>
      <c r="E215" s="2411"/>
      <c r="F215" s="2419">
        <f>F213</f>
        <v>0</v>
      </c>
      <c r="G215" s="2419">
        <f>F215-F213</f>
        <v>0</v>
      </c>
      <c r="H215" s="2422">
        <f>G215*G188</f>
        <v>0</v>
      </c>
      <c r="I215" s="2422">
        <f>I213+H215</f>
        <v>0</v>
      </c>
      <c r="J215" s="2419"/>
      <c r="K215" s="2419"/>
      <c r="L215" s="2419">
        <f>IF(H215=0,0,IF((100-J215-K215)&lt;0,0,100-J215-K215))</f>
        <v>0</v>
      </c>
      <c r="M215" s="2411"/>
      <c r="N215" s="2411"/>
      <c r="O215" s="2443"/>
      <c r="P215" s="758"/>
      <c r="Q215" s="758"/>
      <c r="R215" s="758"/>
      <c r="S215" s="758"/>
      <c r="T215" s="759"/>
    </row>
    <row r="216" spans="2:20">
      <c r="B216" s="2426"/>
      <c r="C216" s="2413"/>
      <c r="D216" s="2427"/>
      <c r="E216" s="2413"/>
      <c r="F216" s="2421"/>
      <c r="G216" s="2421"/>
      <c r="H216" s="2423"/>
      <c r="I216" s="2424"/>
      <c r="J216" s="2421"/>
      <c r="K216" s="2421"/>
      <c r="L216" s="2421"/>
      <c r="M216" s="2413"/>
      <c r="N216" s="2413"/>
      <c r="O216" s="2443"/>
      <c r="P216" s="173"/>
      <c r="Q216" s="173"/>
      <c r="R216" s="173"/>
      <c r="S216" s="173"/>
      <c r="T216" s="760"/>
    </row>
    <row r="217" spans="2:20">
      <c r="B217" s="2425"/>
      <c r="C217" s="2411"/>
      <c r="D217" s="2414"/>
      <c r="E217" s="2411"/>
      <c r="F217" s="2419">
        <f>F215</f>
        <v>0</v>
      </c>
      <c r="G217" s="2419">
        <f>F217-F215</f>
        <v>0</v>
      </c>
      <c r="H217" s="2422">
        <f>G217*G188</f>
        <v>0</v>
      </c>
      <c r="I217" s="2422">
        <f>I215+H217</f>
        <v>0</v>
      </c>
      <c r="J217" s="2419"/>
      <c r="K217" s="2419"/>
      <c r="L217" s="2419">
        <f>IF(H217=0,0,IF((100-J217-K217)&lt;0,0,100-J217-K217))</f>
        <v>0</v>
      </c>
      <c r="M217" s="2411"/>
      <c r="N217" s="2411"/>
      <c r="O217" s="2443"/>
      <c r="P217" s="758"/>
      <c r="Q217" s="758"/>
      <c r="R217" s="758"/>
      <c r="S217" s="758"/>
      <c r="T217" s="759"/>
    </row>
    <row r="218" spans="2:20">
      <c r="B218" s="2426"/>
      <c r="C218" s="2413"/>
      <c r="D218" s="2427"/>
      <c r="E218" s="2413"/>
      <c r="F218" s="2421"/>
      <c r="G218" s="2421"/>
      <c r="H218" s="2423"/>
      <c r="I218" s="2424"/>
      <c r="J218" s="2421"/>
      <c r="K218" s="2421"/>
      <c r="L218" s="2421"/>
      <c r="M218" s="2413"/>
      <c r="N218" s="2413"/>
      <c r="O218" s="2443"/>
      <c r="P218" s="173"/>
      <c r="Q218" s="173"/>
      <c r="R218" s="173"/>
      <c r="S218" s="173"/>
      <c r="T218" s="760"/>
    </row>
    <row r="219" spans="2:20">
      <c r="B219" s="2425"/>
      <c r="C219" s="2411"/>
      <c r="D219" s="2414"/>
      <c r="E219" s="2411"/>
      <c r="F219" s="2419">
        <f>F217</f>
        <v>0</v>
      </c>
      <c r="G219" s="2419">
        <f>F219-F217</f>
        <v>0</v>
      </c>
      <c r="H219" s="2422">
        <f>G219*G188</f>
        <v>0</v>
      </c>
      <c r="I219" s="2422">
        <f>I217+H219</f>
        <v>0</v>
      </c>
      <c r="J219" s="2419"/>
      <c r="K219" s="2419"/>
      <c r="L219" s="2419">
        <f>IF(H219=0,0,IF((100-J219-K219)&lt;0,0,100-J219-K219))</f>
        <v>0</v>
      </c>
      <c r="M219" s="2411"/>
      <c r="N219" s="2411"/>
      <c r="O219" s="2443"/>
      <c r="P219" s="758"/>
      <c r="Q219" s="758"/>
      <c r="R219" s="758"/>
      <c r="S219" s="758"/>
      <c r="T219" s="759"/>
    </row>
    <row r="220" spans="2:20">
      <c r="B220" s="2426"/>
      <c r="C220" s="2413"/>
      <c r="D220" s="2427"/>
      <c r="E220" s="2413"/>
      <c r="F220" s="2421"/>
      <c r="G220" s="2421"/>
      <c r="H220" s="2423"/>
      <c r="I220" s="2424"/>
      <c r="J220" s="2421"/>
      <c r="K220" s="2421"/>
      <c r="L220" s="2421"/>
      <c r="M220" s="2413"/>
      <c r="N220" s="2413"/>
      <c r="O220" s="2443"/>
      <c r="P220" s="173"/>
      <c r="Q220" s="173"/>
      <c r="R220" s="173"/>
      <c r="S220" s="173"/>
      <c r="T220" s="760"/>
    </row>
    <row r="221" spans="2:20">
      <c r="B221" s="2425"/>
      <c r="C221" s="2411"/>
      <c r="D221" s="2414"/>
      <c r="E221" s="2411"/>
      <c r="F221" s="2419">
        <f>F219</f>
        <v>0</v>
      </c>
      <c r="G221" s="2419">
        <f>F221-F219</f>
        <v>0</v>
      </c>
      <c r="H221" s="2422">
        <f>G221*G188</f>
        <v>0</v>
      </c>
      <c r="I221" s="2422">
        <f>I219+H221</f>
        <v>0</v>
      </c>
      <c r="J221" s="2419"/>
      <c r="K221" s="2419"/>
      <c r="L221" s="2419">
        <f>IF(H221=0,0,IF((100-J221-K221)&lt;0,0,100-J221-K221))</f>
        <v>0</v>
      </c>
      <c r="M221" s="2411"/>
      <c r="N221" s="2411"/>
      <c r="O221" s="2443"/>
      <c r="P221" s="758"/>
      <c r="Q221" s="758"/>
      <c r="R221" s="758"/>
      <c r="S221" s="758"/>
      <c r="T221" s="759"/>
    </row>
    <row r="222" spans="2:20" ht="13.75" thickBot="1">
      <c r="B222" s="2426"/>
      <c r="C222" s="2413"/>
      <c r="D222" s="2427"/>
      <c r="E222" s="2413"/>
      <c r="F222" s="2421"/>
      <c r="G222" s="2421"/>
      <c r="H222" s="2423"/>
      <c r="I222" s="2424"/>
      <c r="J222" s="2421"/>
      <c r="K222" s="2421"/>
      <c r="L222" s="2421"/>
      <c r="M222" s="2413"/>
      <c r="N222" s="2413"/>
      <c r="O222" s="2443"/>
      <c r="P222" s="173"/>
      <c r="Q222" s="173"/>
      <c r="R222" s="173"/>
      <c r="S222" s="173"/>
      <c r="T222" s="185"/>
    </row>
    <row r="223" spans="2:20">
      <c r="B223" s="2425"/>
      <c r="C223" s="2411"/>
      <c r="D223" s="2414"/>
      <c r="E223" s="2411"/>
      <c r="F223" s="2419">
        <f>F221</f>
        <v>0</v>
      </c>
      <c r="G223" s="2419">
        <f>F223-F221</f>
        <v>0</v>
      </c>
      <c r="H223" s="2422">
        <f>G223*G188</f>
        <v>0</v>
      </c>
      <c r="I223" s="2422">
        <f>I221+H223</f>
        <v>0</v>
      </c>
      <c r="J223" s="2419"/>
      <c r="K223" s="2419"/>
      <c r="L223" s="2419">
        <f>IF(H223=0,0,IF((100-J223-K223)&lt;0,0,100-J223-K223))</f>
        <v>0</v>
      </c>
      <c r="M223" s="2411"/>
      <c r="N223" s="2411"/>
      <c r="O223" s="2457"/>
      <c r="P223" s="365"/>
      <c r="Q223" s="365"/>
      <c r="R223" s="365"/>
      <c r="S223" s="365"/>
      <c r="T223" s="1087" t="str">
        <f>T178</f>
        <v>Ttl Other (1)</v>
      </c>
    </row>
    <row r="224" spans="2:20" ht="15" customHeight="1" thickBot="1">
      <c r="B224" s="2430"/>
      <c r="C224" s="2412"/>
      <c r="D224" s="2415"/>
      <c r="E224" s="2412"/>
      <c r="F224" s="2420"/>
      <c r="G224" s="2420"/>
      <c r="H224" s="2428"/>
      <c r="I224" s="2429"/>
      <c r="J224" s="2420"/>
      <c r="K224" s="2420"/>
      <c r="L224" s="2420"/>
      <c r="M224" s="2412"/>
      <c r="N224" s="2412"/>
      <c r="O224" s="2458"/>
      <c r="P224" s="1313" t="s">
        <v>806</v>
      </c>
      <c r="Q224" s="1314">
        <f>((H193*K193)+(H195*K195)+(H197*K197)+(H199*K199)+(H201*K201)+(H203*K203)+(H205*K205)+(H207*K207)+(H209*K209)+(H211*K211)+(H213*K213)+(H215*K215)+(H217*K217)+(H219*K219)+(H221*K221)+(H223*K223))/100</f>
        <v>0</v>
      </c>
      <c r="R224" s="1313" t="s">
        <v>807</v>
      </c>
      <c r="S224" s="1314">
        <f>((J193*H193)+(J195*H195)+(J197*H197)+(J199*H199)+(J201*H201)+(J203*H203)+(J205*H205)+(J207*H207)+(J209*H209)+(J211*H211)+(J213*H213)+(J215*H215)+(J217*H217)+(J219*H219)+(J221*H221)+(J223*H223))/100</f>
        <v>0</v>
      </c>
      <c r="T224" s="763">
        <f>I223-Q224-S224</f>
        <v>0</v>
      </c>
    </row>
    <row r="225" spans="2:20">
      <c r="B225" s="752"/>
      <c r="C225" s="753"/>
      <c r="D225" s="753"/>
      <c r="E225" s="753"/>
      <c r="F225" s="754"/>
      <c r="G225" s="754"/>
      <c r="H225" s="755"/>
      <c r="I225" s="751"/>
      <c r="J225" s="754"/>
      <c r="K225" s="754"/>
      <c r="L225" s="754"/>
      <c r="M225" s="753"/>
      <c r="N225" s="753"/>
      <c r="O225" s="41"/>
      <c r="P225" s="756"/>
      <c r="Q225" s="41"/>
      <c r="R225" s="41"/>
      <c r="S225" s="756"/>
      <c r="T225" s="761"/>
    </row>
    <row r="226" spans="2:20" ht="13.75" thickBot="1">
      <c r="B226" s="512"/>
      <c r="C226" s="757"/>
      <c r="D226" s="513"/>
      <c r="E226" s="513"/>
      <c r="F226" s="514"/>
      <c r="G226" s="514"/>
      <c r="H226" s="515"/>
      <c r="I226" s="516"/>
      <c r="J226" s="514"/>
      <c r="K226" s="514"/>
      <c r="L226" s="514"/>
      <c r="M226" s="513"/>
      <c r="N226" s="513"/>
      <c r="O226" s="366"/>
      <c r="P226" s="366"/>
      <c r="Q226" s="366"/>
      <c r="R226" s="366"/>
      <c r="S226" s="366"/>
      <c r="T226" s="762"/>
    </row>
    <row r="227" spans="2:20">
      <c r="B227" s="2406">
        <f>B182</f>
        <v>0</v>
      </c>
      <c r="C227" s="2407"/>
      <c r="D227" s="2407"/>
      <c r="E227" s="2407"/>
      <c r="F227" s="2407"/>
      <c r="G227" s="2407"/>
      <c r="H227" s="2407"/>
      <c r="I227" s="2407"/>
      <c r="J227" s="2407"/>
      <c r="K227" s="2407"/>
      <c r="L227" s="2407"/>
      <c r="M227" s="2407"/>
      <c r="N227" s="2407"/>
      <c r="O227" s="2407"/>
      <c r="P227" s="2407"/>
      <c r="Q227" s="2407"/>
      <c r="R227" s="2407"/>
      <c r="S227" s="2407"/>
      <c r="T227" s="2408"/>
    </row>
    <row r="228" spans="2:20">
      <c r="B228" s="1790" t="s">
        <v>1453</v>
      </c>
      <c r="C228" s="1659"/>
      <c r="D228" s="1659"/>
      <c r="E228" s="1659"/>
      <c r="F228" s="1659"/>
      <c r="G228" s="1659"/>
      <c r="H228" s="1659"/>
      <c r="I228" s="1659"/>
      <c r="J228" s="1659"/>
      <c r="K228" s="1659"/>
      <c r="L228" s="1659"/>
      <c r="M228" s="1659"/>
      <c r="N228" s="1659"/>
      <c r="O228" s="1659"/>
      <c r="P228" s="1659"/>
      <c r="Q228" s="1659"/>
      <c r="R228" s="1659"/>
      <c r="S228" s="1659"/>
      <c r="T228" s="1778"/>
    </row>
    <row r="229" spans="2:20">
      <c r="B229" s="84"/>
      <c r="P229" s="120" t="s">
        <v>729</v>
      </c>
      <c r="Q229" s="4">
        <f>IF(B238&gt;0,2,0)</f>
        <v>0</v>
      </c>
      <c r="R229" s="4"/>
      <c r="S229" s="120" t="s">
        <v>730</v>
      </c>
      <c r="T229" s="133">
        <f>IF(Q229=2,2,0)</f>
        <v>0</v>
      </c>
    </row>
    <row r="230" spans="2:20">
      <c r="B230" s="84"/>
      <c r="E230"/>
      <c r="T230" s="39"/>
    </row>
    <row r="231" spans="2:20">
      <c r="B231" s="947" t="s">
        <v>634</v>
      </c>
      <c r="C231" s="23">
        <f>C186</f>
        <v>0</v>
      </c>
      <c r="T231" s="39"/>
    </row>
    <row r="232" spans="2:20">
      <c r="B232" s="84"/>
      <c r="T232" s="39"/>
    </row>
    <row r="233" spans="2:20">
      <c r="B233" s="84" t="s">
        <v>221</v>
      </c>
      <c r="C233" s="2416">
        <f>IF(Q229=2,C188,0)</f>
        <v>0</v>
      </c>
      <c r="D233" s="2416"/>
      <c r="E233" s="2000" t="s">
        <v>736</v>
      </c>
      <c r="F233" s="2000"/>
      <c r="G233" s="23">
        <f>G188</f>
        <v>0</v>
      </c>
      <c r="I233" s="1659" t="s">
        <v>737</v>
      </c>
      <c r="J233" s="1659"/>
      <c r="K233" s="168">
        <f>K188</f>
        <v>0</v>
      </c>
      <c r="N233" s="23" t="s">
        <v>660</v>
      </c>
      <c r="P233" s="23">
        <f>P188</f>
        <v>0</v>
      </c>
      <c r="T233" s="39"/>
    </row>
    <row r="234" spans="2:20">
      <c r="B234" s="84"/>
      <c r="D234" s="2417" t="s">
        <v>805</v>
      </c>
      <c r="E234" s="2417"/>
      <c r="F234" s="2417"/>
      <c r="G234" s="367">
        <f>F223</f>
        <v>0</v>
      </c>
      <c r="H234" s="2418" t="s">
        <v>1003</v>
      </c>
      <c r="I234" s="2418"/>
      <c r="J234" s="2418"/>
      <c r="K234" s="2409">
        <f>K189</f>
        <v>0</v>
      </c>
      <c r="L234" s="2409"/>
      <c r="M234" s="2409">
        <f>M189</f>
        <v>0</v>
      </c>
      <c r="N234" s="2409"/>
      <c r="O234" s="2409">
        <f>O189</f>
        <v>0</v>
      </c>
      <c r="P234" s="2409"/>
      <c r="Q234" s="2409">
        <f>Q189</f>
        <v>0</v>
      </c>
      <c r="R234" s="2409"/>
      <c r="S234" s="2409"/>
      <c r="T234" s="2410"/>
    </row>
    <row r="235" spans="2:20" ht="12.75" customHeight="1">
      <c r="B235" s="2437" t="s">
        <v>208</v>
      </c>
      <c r="C235" s="2440" t="s">
        <v>738</v>
      </c>
      <c r="D235" s="739" t="s">
        <v>209</v>
      </c>
      <c r="E235" s="739" t="s">
        <v>207</v>
      </c>
      <c r="F235" s="2431" t="s">
        <v>210</v>
      </c>
      <c r="G235" s="2431" t="s">
        <v>210</v>
      </c>
      <c r="H235" s="2431" t="s">
        <v>209</v>
      </c>
      <c r="I235" s="739" t="s">
        <v>801</v>
      </c>
      <c r="J235" s="2433" t="s">
        <v>802</v>
      </c>
      <c r="K235" s="2434"/>
      <c r="L235" s="2435"/>
      <c r="M235" s="739" t="s">
        <v>204</v>
      </c>
      <c r="N235" s="739" t="s">
        <v>260</v>
      </c>
      <c r="O235" s="1310" t="s">
        <v>270</v>
      </c>
      <c r="P235" s="2450" t="s">
        <v>212</v>
      </c>
      <c r="Q235" s="2450"/>
      <c r="R235" s="2450"/>
      <c r="S235" s="2450"/>
      <c r="T235" s="2451"/>
    </row>
    <row r="236" spans="2:20">
      <c r="B236" s="2438"/>
      <c r="C236" s="2441"/>
      <c r="D236" s="741" t="s">
        <v>214</v>
      </c>
      <c r="E236" s="741" t="s">
        <v>215</v>
      </c>
      <c r="F236" s="2432"/>
      <c r="G236" s="2432"/>
      <c r="H236" s="2432"/>
      <c r="I236" s="741" t="s">
        <v>209</v>
      </c>
      <c r="J236" s="2431" t="s">
        <v>803</v>
      </c>
      <c r="K236" s="2431" t="s">
        <v>804</v>
      </c>
      <c r="L236" s="2431" t="str">
        <f>L191</f>
        <v>Other (1)%</v>
      </c>
      <c r="M236" s="741" t="s">
        <v>217</v>
      </c>
      <c r="N236" s="741" t="s">
        <v>217</v>
      </c>
      <c r="O236" s="1311" t="s">
        <v>481</v>
      </c>
      <c r="P236" s="2452"/>
      <c r="Q236" s="2452"/>
      <c r="R236" s="2452"/>
      <c r="S236" s="2452"/>
      <c r="T236" s="2453"/>
    </row>
    <row r="237" spans="2:20">
      <c r="B237" s="2439"/>
      <c r="C237" s="2442"/>
      <c r="D237" s="740" t="str">
        <f>D192</f>
        <v xml:space="preserve">m </v>
      </c>
      <c r="E237" s="740" t="str">
        <f>E192</f>
        <v xml:space="preserve">m </v>
      </c>
      <c r="F237" s="740" t="s">
        <v>211</v>
      </c>
      <c r="G237" s="740" t="s">
        <v>739</v>
      </c>
      <c r="H237" s="742" t="str">
        <f>H192</f>
        <v>Gain</v>
      </c>
      <c r="I237" s="740" t="str">
        <f>I192</f>
        <v>m³</v>
      </c>
      <c r="J237" s="2436"/>
      <c r="K237" s="2436"/>
      <c r="L237" s="2436"/>
      <c r="M237" s="740" t="str">
        <f>M192</f>
        <v>kPa</v>
      </c>
      <c r="N237" s="740" t="str">
        <f>M237</f>
        <v>kPa</v>
      </c>
      <c r="O237" s="1312" t="str">
        <f>O192</f>
        <v>10³m³/d</v>
      </c>
      <c r="P237" s="2454"/>
      <c r="Q237" s="2454"/>
      <c r="R237" s="2454"/>
      <c r="S237" s="2454"/>
      <c r="T237" s="2455"/>
    </row>
    <row r="238" spans="2:20">
      <c r="B238" s="2425">
        <v>0</v>
      </c>
      <c r="C238" s="2411"/>
      <c r="D238" s="2411"/>
      <c r="E238" s="2411"/>
      <c r="F238" s="2419">
        <f>G234</f>
        <v>0</v>
      </c>
      <c r="G238" s="2419">
        <f>F238-G234</f>
        <v>0</v>
      </c>
      <c r="H238" s="2422">
        <f>G238*G233</f>
        <v>0</v>
      </c>
      <c r="I238" s="2422">
        <f>H238+I223</f>
        <v>0</v>
      </c>
      <c r="J238" s="2419"/>
      <c r="K238" s="2419"/>
      <c r="L238" s="2419">
        <f>IF(H238=0,0,IF((100-J238-K238)&lt;0,0,100-J238-K238))</f>
        <v>0</v>
      </c>
      <c r="M238" s="2411"/>
      <c r="N238" s="2411"/>
      <c r="O238" s="2443"/>
      <c r="P238" s="758"/>
      <c r="Q238" s="758"/>
      <c r="R238" s="758"/>
      <c r="S238" s="758"/>
      <c r="T238" s="759"/>
    </row>
    <row r="239" spans="2:20">
      <c r="B239" s="2426"/>
      <c r="C239" s="2413"/>
      <c r="D239" s="2413"/>
      <c r="E239" s="2413"/>
      <c r="F239" s="2421"/>
      <c r="G239" s="2421"/>
      <c r="H239" s="2423"/>
      <c r="I239" s="2423"/>
      <c r="J239" s="2421"/>
      <c r="K239" s="2421"/>
      <c r="L239" s="2421"/>
      <c r="M239" s="2413"/>
      <c r="N239" s="2413"/>
      <c r="O239" s="2443"/>
      <c r="P239" s="173"/>
      <c r="Q239" s="173"/>
      <c r="R239" s="173"/>
      <c r="S239" s="173"/>
      <c r="T239" s="760"/>
    </row>
    <row r="240" spans="2:20">
      <c r="B240" s="2425"/>
      <c r="C240" s="2411"/>
      <c r="D240" s="2414"/>
      <c r="E240" s="2411"/>
      <c r="F240" s="2419">
        <f>F238</f>
        <v>0</v>
      </c>
      <c r="G240" s="2419">
        <f>F240-F238</f>
        <v>0</v>
      </c>
      <c r="H240" s="2422">
        <f>G240*G233</f>
        <v>0</v>
      </c>
      <c r="I240" s="2422">
        <f>I238+H240</f>
        <v>0</v>
      </c>
      <c r="J240" s="2419"/>
      <c r="K240" s="2419"/>
      <c r="L240" s="2419">
        <f>IF(H240=0,0,IF((100-J240-K240)&lt;0,0,100-J240-K240))</f>
        <v>0</v>
      </c>
      <c r="M240" s="2411"/>
      <c r="N240" s="2411"/>
      <c r="O240" s="2443"/>
      <c r="P240" s="758"/>
      <c r="Q240" s="758"/>
      <c r="R240" s="758"/>
      <c r="S240" s="758"/>
      <c r="T240" s="759"/>
    </row>
    <row r="241" spans="2:20">
      <c r="B241" s="2426"/>
      <c r="C241" s="2413"/>
      <c r="D241" s="2427"/>
      <c r="E241" s="2413"/>
      <c r="F241" s="2421"/>
      <c r="G241" s="2421"/>
      <c r="H241" s="2423"/>
      <c r="I241" s="2424"/>
      <c r="J241" s="2421"/>
      <c r="K241" s="2421"/>
      <c r="L241" s="2421"/>
      <c r="M241" s="2413"/>
      <c r="N241" s="2413"/>
      <c r="O241" s="2443"/>
      <c r="P241" s="173"/>
      <c r="Q241" s="173"/>
      <c r="R241" s="173"/>
      <c r="S241" s="173"/>
      <c r="T241" s="760"/>
    </row>
    <row r="242" spans="2:20">
      <c r="B242" s="2425"/>
      <c r="C242" s="2411"/>
      <c r="D242" s="2414"/>
      <c r="E242" s="2411"/>
      <c r="F242" s="2419">
        <f>F240</f>
        <v>0</v>
      </c>
      <c r="G242" s="2419">
        <f>F242-F240</f>
        <v>0</v>
      </c>
      <c r="H242" s="2422">
        <f>G242*G233</f>
        <v>0</v>
      </c>
      <c r="I242" s="2422">
        <f>I240+H242</f>
        <v>0</v>
      </c>
      <c r="J242" s="2419"/>
      <c r="K242" s="2419"/>
      <c r="L242" s="2419">
        <f>IF(H242=0,0,IF((100-J242-K242)&lt;0,0,100-J242-K242))</f>
        <v>0</v>
      </c>
      <c r="M242" s="2411"/>
      <c r="N242" s="2411"/>
      <c r="O242" s="2443"/>
      <c r="P242" s="758"/>
      <c r="Q242" s="758"/>
      <c r="R242" s="758"/>
      <c r="S242" s="758"/>
      <c r="T242" s="759"/>
    </row>
    <row r="243" spans="2:20">
      <c r="B243" s="2426"/>
      <c r="C243" s="2413"/>
      <c r="D243" s="2427"/>
      <c r="E243" s="2413"/>
      <c r="F243" s="2421"/>
      <c r="G243" s="2421"/>
      <c r="H243" s="2423"/>
      <c r="I243" s="2424"/>
      <c r="J243" s="2421"/>
      <c r="K243" s="2421"/>
      <c r="L243" s="2421"/>
      <c r="M243" s="2413"/>
      <c r="N243" s="2413"/>
      <c r="O243" s="2443"/>
      <c r="P243" s="173"/>
      <c r="Q243" s="173"/>
      <c r="R243" s="173"/>
      <c r="S243" s="173"/>
      <c r="T243" s="760"/>
    </row>
    <row r="244" spans="2:20">
      <c r="B244" s="2425"/>
      <c r="C244" s="2411"/>
      <c r="D244" s="2414"/>
      <c r="E244" s="2411"/>
      <c r="F244" s="2419">
        <f>F242</f>
        <v>0</v>
      </c>
      <c r="G244" s="2419">
        <f>F244-F242</f>
        <v>0</v>
      </c>
      <c r="H244" s="2422">
        <f>G244*G233</f>
        <v>0</v>
      </c>
      <c r="I244" s="2422">
        <f>I242+H244</f>
        <v>0</v>
      </c>
      <c r="J244" s="2419"/>
      <c r="K244" s="2419"/>
      <c r="L244" s="2419">
        <f>IF(H244=0,0,IF((100-J244-K244)&lt;0,0,100-J244-K244))</f>
        <v>0</v>
      </c>
      <c r="M244" s="2411"/>
      <c r="N244" s="2411"/>
      <c r="O244" s="2443"/>
      <c r="P244" s="758"/>
      <c r="Q244" s="758"/>
      <c r="R244" s="758"/>
      <c r="S244" s="758"/>
      <c r="T244" s="759"/>
    </row>
    <row r="245" spans="2:20">
      <c r="B245" s="2426"/>
      <c r="C245" s="2413"/>
      <c r="D245" s="2427"/>
      <c r="E245" s="2413"/>
      <c r="F245" s="2421"/>
      <c r="G245" s="2421"/>
      <c r="H245" s="2423"/>
      <c r="I245" s="2424"/>
      <c r="J245" s="2421"/>
      <c r="K245" s="2421"/>
      <c r="L245" s="2421"/>
      <c r="M245" s="2413"/>
      <c r="N245" s="2413"/>
      <c r="O245" s="2443"/>
      <c r="P245" s="173"/>
      <c r="Q245" s="173"/>
      <c r="R245" s="173"/>
      <c r="S245" s="173"/>
      <c r="T245" s="760"/>
    </row>
    <row r="246" spans="2:20">
      <c r="B246" s="2425"/>
      <c r="C246" s="2411"/>
      <c r="D246" s="2414"/>
      <c r="E246" s="2411"/>
      <c r="F246" s="2419">
        <f>F244</f>
        <v>0</v>
      </c>
      <c r="G246" s="2419">
        <f>F246-F244</f>
        <v>0</v>
      </c>
      <c r="H246" s="2422">
        <f>G246*G233</f>
        <v>0</v>
      </c>
      <c r="I246" s="2422">
        <f>I244+H246</f>
        <v>0</v>
      </c>
      <c r="J246" s="2419"/>
      <c r="K246" s="2419"/>
      <c r="L246" s="2419">
        <f>IF(H246=0,0,IF((100-J246-K246)&lt;0,0,100-J246-K246))</f>
        <v>0</v>
      </c>
      <c r="M246" s="2411"/>
      <c r="N246" s="2411"/>
      <c r="O246" s="2443"/>
      <c r="P246" s="758"/>
      <c r="Q246" s="758"/>
      <c r="R246" s="758"/>
      <c r="S246" s="758"/>
      <c r="T246" s="759"/>
    </row>
    <row r="247" spans="2:20">
      <c r="B247" s="2426"/>
      <c r="C247" s="2413"/>
      <c r="D247" s="2427"/>
      <c r="E247" s="2413"/>
      <c r="F247" s="2421"/>
      <c r="G247" s="2421"/>
      <c r="H247" s="2423"/>
      <c r="I247" s="2424"/>
      <c r="J247" s="2421"/>
      <c r="K247" s="2421"/>
      <c r="L247" s="2421"/>
      <c r="M247" s="2413"/>
      <c r="N247" s="2413"/>
      <c r="O247" s="2443"/>
      <c r="P247" s="173"/>
      <c r="Q247" s="173"/>
      <c r="R247" s="173"/>
      <c r="S247" s="173"/>
      <c r="T247" s="760"/>
    </row>
    <row r="248" spans="2:20">
      <c r="B248" s="2425"/>
      <c r="C248" s="2411"/>
      <c r="D248" s="2414"/>
      <c r="E248" s="2411"/>
      <c r="F248" s="2419">
        <f>F246</f>
        <v>0</v>
      </c>
      <c r="G248" s="2419">
        <f>F248-F246</f>
        <v>0</v>
      </c>
      <c r="H248" s="2422">
        <f>G248*G233</f>
        <v>0</v>
      </c>
      <c r="I248" s="2422">
        <f>I246+H248</f>
        <v>0</v>
      </c>
      <c r="J248" s="2419"/>
      <c r="K248" s="2419"/>
      <c r="L248" s="2419">
        <f>IF(H248=0,0,IF((100-J248-K248)&lt;0,0,100-J248-K248))</f>
        <v>0</v>
      </c>
      <c r="M248" s="2411"/>
      <c r="N248" s="2411"/>
      <c r="O248" s="2443"/>
      <c r="P248" s="758"/>
      <c r="Q248" s="758"/>
      <c r="R248" s="758"/>
      <c r="S248" s="758"/>
      <c r="T248" s="759"/>
    </row>
    <row r="249" spans="2:20">
      <c r="B249" s="2426"/>
      <c r="C249" s="2413"/>
      <c r="D249" s="2427"/>
      <c r="E249" s="2413"/>
      <c r="F249" s="2421"/>
      <c r="G249" s="2421"/>
      <c r="H249" s="2423"/>
      <c r="I249" s="2424"/>
      <c r="J249" s="2421"/>
      <c r="K249" s="2421"/>
      <c r="L249" s="2421"/>
      <c r="M249" s="2413"/>
      <c r="N249" s="2413"/>
      <c r="O249" s="2443"/>
      <c r="P249" s="173"/>
      <c r="Q249" s="173"/>
      <c r="R249" s="173"/>
      <c r="S249" s="173"/>
      <c r="T249" s="760"/>
    </row>
    <row r="250" spans="2:20">
      <c r="B250" s="2425"/>
      <c r="C250" s="2411"/>
      <c r="D250" s="2414"/>
      <c r="E250" s="2411"/>
      <c r="F250" s="2419">
        <f>F248</f>
        <v>0</v>
      </c>
      <c r="G250" s="2419">
        <f>F250-F248</f>
        <v>0</v>
      </c>
      <c r="H250" s="2422">
        <f>G250*G233</f>
        <v>0</v>
      </c>
      <c r="I250" s="2422">
        <f>I248+H250</f>
        <v>0</v>
      </c>
      <c r="J250" s="2419"/>
      <c r="K250" s="2419"/>
      <c r="L250" s="2419">
        <f>IF(H250=0,0,IF((100-J250-K250)&lt;0,0,100-J250-K250))</f>
        <v>0</v>
      </c>
      <c r="M250" s="2411"/>
      <c r="N250" s="2411"/>
      <c r="O250" s="2443"/>
      <c r="P250" s="758"/>
      <c r="Q250" s="758"/>
      <c r="R250" s="758"/>
      <c r="S250" s="758"/>
      <c r="T250" s="759"/>
    </row>
    <row r="251" spans="2:20">
      <c r="B251" s="2426"/>
      <c r="C251" s="2413"/>
      <c r="D251" s="2427"/>
      <c r="E251" s="2413"/>
      <c r="F251" s="2421"/>
      <c r="G251" s="2421"/>
      <c r="H251" s="2423"/>
      <c r="I251" s="2424"/>
      <c r="J251" s="2421"/>
      <c r="K251" s="2421"/>
      <c r="L251" s="2421"/>
      <c r="M251" s="2413"/>
      <c r="N251" s="2413"/>
      <c r="O251" s="2443"/>
      <c r="P251" s="173"/>
      <c r="Q251" s="173"/>
      <c r="R251" s="173"/>
      <c r="S251" s="173"/>
      <c r="T251" s="760"/>
    </row>
    <row r="252" spans="2:20">
      <c r="B252" s="2425"/>
      <c r="C252" s="2411"/>
      <c r="D252" s="2414"/>
      <c r="E252" s="2411"/>
      <c r="F252" s="2419">
        <f>F250</f>
        <v>0</v>
      </c>
      <c r="G252" s="2419">
        <f>F252-F250</f>
        <v>0</v>
      </c>
      <c r="H252" s="2422">
        <f>G252*G233</f>
        <v>0</v>
      </c>
      <c r="I252" s="2422">
        <f>I250+H252</f>
        <v>0</v>
      </c>
      <c r="J252" s="2419"/>
      <c r="K252" s="2419"/>
      <c r="L252" s="2419">
        <f>IF(H252=0,0,IF((100-J252-K252)&lt;0,0,100-J252-K252))</f>
        <v>0</v>
      </c>
      <c r="M252" s="2411"/>
      <c r="N252" s="2411"/>
      <c r="O252" s="2443"/>
      <c r="P252" s="758"/>
      <c r="Q252" s="758"/>
      <c r="R252" s="758"/>
      <c r="S252" s="758"/>
      <c r="T252" s="759"/>
    </row>
    <row r="253" spans="2:20">
      <c r="B253" s="2426"/>
      <c r="C253" s="2413"/>
      <c r="D253" s="2427"/>
      <c r="E253" s="2413"/>
      <c r="F253" s="2421"/>
      <c r="G253" s="2421"/>
      <c r="H253" s="2423"/>
      <c r="I253" s="2424"/>
      <c r="J253" s="2421"/>
      <c r="K253" s="2421"/>
      <c r="L253" s="2421"/>
      <c r="M253" s="2413"/>
      <c r="N253" s="2413"/>
      <c r="O253" s="2443"/>
      <c r="P253" s="173"/>
      <c r="Q253" s="173"/>
      <c r="R253" s="173"/>
      <c r="S253" s="173"/>
      <c r="T253" s="760"/>
    </row>
    <row r="254" spans="2:20">
      <c r="B254" s="2425"/>
      <c r="C254" s="2411"/>
      <c r="D254" s="2414"/>
      <c r="E254" s="2411"/>
      <c r="F254" s="2419">
        <f>F252</f>
        <v>0</v>
      </c>
      <c r="G254" s="2419">
        <f>F254-F252</f>
        <v>0</v>
      </c>
      <c r="H254" s="2422">
        <f>G254*G233</f>
        <v>0</v>
      </c>
      <c r="I254" s="2422">
        <f>I252+H254</f>
        <v>0</v>
      </c>
      <c r="J254" s="2419"/>
      <c r="K254" s="2419"/>
      <c r="L254" s="2419">
        <f>IF(H254=0,0,IF((100-J254-K254)&lt;0,0,100-J254-K254))</f>
        <v>0</v>
      </c>
      <c r="M254" s="2411"/>
      <c r="N254" s="2411"/>
      <c r="O254" s="2443"/>
      <c r="P254" s="758"/>
      <c r="Q254" s="758"/>
      <c r="R254" s="758"/>
      <c r="S254" s="758"/>
      <c r="T254" s="759"/>
    </row>
    <row r="255" spans="2:20">
      <c r="B255" s="2426"/>
      <c r="C255" s="2413"/>
      <c r="D255" s="2427"/>
      <c r="E255" s="2413"/>
      <c r="F255" s="2421"/>
      <c r="G255" s="2421"/>
      <c r="H255" s="2423"/>
      <c r="I255" s="2424"/>
      <c r="J255" s="2421"/>
      <c r="K255" s="2421"/>
      <c r="L255" s="2421"/>
      <c r="M255" s="2413"/>
      <c r="N255" s="2413"/>
      <c r="O255" s="2443"/>
      <c r="P255" s="173"/>
      <c r="Q255" s="173"/>
      <c r="R255" s="173"/>
      <c r="S255" s="173"/>
      <c r="T255" s="760"/>
    </row>
    <row r="256" spans="2:20">
      <c r="B256" s="2425"/>
      <c r="C256" s="2411"/>
      <c r="D256" s="2414"/>
      <c r="E256" s="2411"/>
      <c r="F256" s="2419">
        <f>F254</f>
        <v>0</v>
      </c>
      <c r="G256" s="2419">
        <f>F256-F254</f>
        <v>0</v>
      </c>
      <c r="H256" s="2422">
        <f>G256*G233</f>
        <v>0</v>
      </c>
      <c r="I256" s="2422">
        <f>I254+H256</f>
        <v>0</v>
      </c>
      <c r="J256" s="2419"/>
      <c r="K256" s="2419"/>
      <c r="L256" s="2419">
        <f>IF(H256=0,0,IF((100-J256-K256)&lt;0,0,100-J256-K256))</f>
        <v>0</v>
      </c>
      <c r="M256" s="2411"/>
      <c r="N256" s="2411"/>
      <c r="O256" s="2443"/>
      <c r="P256" s="758"/>
      <c r="Q256" s="758"/>
      <c r="R256" s="758"/>
      <c r="S256" s="758"/>
      <c r="T256" s="759"/>
    </row>
    <row r="257" spans="2:20">
      <c r="B257" s="2426"/>
      <c r="C257" s="2413"/>
      <c r="D257" s="2427"/>
      <c r="E257" s="2413"/>
      <c r="F257" s="2421"/>
      <c r="G257" s="2421"/>
      <c r="H257" s="2423"/>
      <c r="I257" s="2424"/>
      <c r="J257" s="2421"/>
      <c r="K257" s="2421"/>
      <c r="L257" s="2421"/>
      <c r="M257" s="2413"/>
      <c r="N257" s="2413"/>
      <c r="O257" s="2443"/>
      <c r="P257" s="173"/>
      <c r="Q257" s="173"/>
      <c r="R257" s="173"/>
      <c r="S257" s="173"/>
      <c r="T257" s="760"/>
    </row>
    <row r="258" spans="2:20">
      <c r="B258" s="2425"/>
      <c r="C258" s="2411"/>
      <c r="D258" s="2414"/>
      <c r="E258" s="2411"/>
      <c r="F258" s="2419">
        <f>F256</f>
        <v>0</v>
      </c>
      <c r="G258" s="2419">
        <f>F258-F256</f>
        <v>0</v>
      </c>
      <c r="H258" s="2422">
        <f>G258*G233</f>
        <v>0</v>
      </c>
      <c r="I258" s="2422">
        <f>I256+H258</f>
        <v>0</v>
      </c>
      <c r="J258" s="2419"/>
      <c r="K258" s="2419"/>
      <c r="L258" s="2419">
        <f>IF(H258=0,0,IF((100-J258-K258)&lt;0,0,100-J258-K258))</f>
        <v>0</v>
      </c>
      <c r="M258" s="2411"/>
      <c r="N258" s="2411"/>
      <c r="O258" s="2443"/>
      <c r="P258" s="758"/>
      <c r="Q258" s="758"/>
      <c r="R258" s="758"/>
      <c r="S258" s="758"/>
      <c r="T258" s="759"/>
    </row>
    <row r="259" spans="2:20">
      <c r="B259" s="2426"/>
      <c r="C259" s="2413"/>
      <c r="D259" s="2427"/>
      <c r="E259" s="2413"/>
      <c r="F259" s="2421"/>
      <c r="G259" s="2421"/>
      <c r="H259" s="2423"/>
      <c r="I259" s="2424"/>
      <c r="J259" s="2421"/>
      <c r="K259" s="2421"/>
      <c r="L259" s="2421"/>
      <c r="M259" s="2413"/>
      <c r="N259" s="2413"/>
      <c r="O259" s="2443"/>
      <c r="P259" s="173"/>
      <c r="Q259" s="173"/>
      <c r="R259" s="173"/>
      <c r="S259" s="173"/>
      <c r="T259" s="760"/>
    </row>
    <row r="260" spans="2:20">
      <c r="B260" s="2425"/>
      <c r="C260" s="2411"/>
      <c r="D260" s="2414"/>
      <c r="E260" s="2411"/>
      <c r="F260" s="2419">
        <f>F258</f>
        <v>0</v>
      </c>
      <c r="G260" s="2419">
        <f>F260-F258</f>
        <v>0</v>
      </c>
      <c r="H260" s="2422">
        <f>G260*G233</f>
        <v>0</v>
      </c>
      <c r="I260" s="2422">
        <f>I258+H260</f>
        <v>0</v>
      </c>
      <c r="J260" s="2419"/>
      <c r="K260" s="2419"/>
      <c r="L260" s="2419">
        <f>IF(H260=0,0,IF((100-J260-K260)&lt;0,0,100-J260-K260))</f>
        <v>0</v>
      </c>
      <c r="M260" s="2411"/>
      <c r="N260" s="2411"/>
      <c r="O260" s="2443"/>
      <c r="P260" s="758"/>
      <c r="Q260" s="758"/>
      <c r="R260" s="758"/>
      <c r="S260" s="758"/>
      <c r="T260" s="759"/>
    </row>
    <row r="261" spans="2:20">
      <c r="B261" s="2426"/>
      <c r="C261" s="2413"/>
      <c r="D261" s="2427"/>
      <c r="E261" s="2413"/>
      <c r="F261" s="2421"/>
      <c r="G261" s="2421"/>
      <c r="H261" s="2423"/>
      <c r="I261" s="2424"/>
      <c r="J261" s="2421"/>
      <c r="K261" s="2421"/>
      <c r="L261" s="2421"/>
      <c r="M261" s="2413"/>
      <c r="N261" s="2413"/>
      <c r="O261" s="2443"/>
      <c r="P261" s="173"/>
      <c r="Q261" s="173"/>
      <c r="R261" s="173"/>
      <c r="S261" s="173"/>
      <c r="T261" s="760"/>
    </row>
    <row r="262" spans="2:20">
      <c r="B262" s="2425"/>
      <c r="C262" s="2411"/>
      <c r="D262" s="2414"/>
      <c r="E262" s="2411"/>
      <c r="F262" s="2419">
        <f>F260</f>
        <v>0</v>
      </c>
      <c r="G262" s="2419">
        <f>F262-F260</f>
        <v>0</v>
      </c>
      <c r="H262" s="2422">
        <f>G262*G233</f>
        <v>0</v>
      </c>
      <c r="I262" s="2422">
        <f>I260+H262</f>
        <v>0</v>
      </c>
      <c r="J262" s="2419"/>
      <c r="K262" s="2419"/>
      <c r="L262" s="2419">
        <f>IF(H262=0,0,IF((100-J262-K262)&lt;0,0,100-J262-K262))</f>
        <v>0</v>
      </c>
      <c r="M262" s="2411"/>
      <c r="N262" s="2411"/>
      <c r="O262" s="2443"/>
      <c r="P262" s="758"/>
      <c r="Q262" s="758"/>
      <c r="R262" s="758"/>
      <c r="S262" s="758"/>
      <c r="T262" s="759"/>
    </row>
    <row r="263" spans="2:20">
      <c r="B263" s="2426"/>
      <c r="C263" s="2413"/>
      <c r="D263" s="2427"/>
      <c r="E263" s="2413"/>
      <c r="F263" s="2421"/>
      <c r="G263" s="2421"/>
      <c r="H263" s="2423"/>
      <c r="I263" s="2424"/>
      <c r="J263" s="2421"/>
      <c r="K263" s="2421"/>
      <c r="L263" s="2421"/>
      <c r="M263" s="2413"/>
      <c r="N263" s="2413"/>
      <c r="O263" s="2443"/>
      <c r="P263" s="173"/>
      <c r="Q263" s="173"/>
      <c r="R263" s="173"/>
      <c r="S263" s="173"/>
      <c r="T263" s="760"/>
    </row>
    <row r="264" spans="2:20">
      <c r="B264" s="2425"/>
      <c r="C264" s="2411"/>
      <c r="D264" s="2414"/>
      <c r="E264" s="2411"/>
      <c r="F264" s="2419">
        <f>F262</f>
        <v>0</v>
      </c>
      <c r="G264" s="2419">
        <f>F264-F262</f>
        <v>0</v>
      </c>
      <c r="H264" s="2422">
        <f>G264*G233</f>
        <v>0</v>
      </c>
      <c r="I264" s="2422">
        <f>I262+H264</f>
        <v>0</v>
      </c>
      <c r="J264" s="2419"/>
      <c r="K264" s="2419"/>
      <c r="L264" s="2419">
        <f>IF(H264=0,0,IF((100-J264-K264)&lt;0,0,100-J264-K264))</f>
        <v>0</v>
      </c>
      <c r="M264" s="2411"/>
      <c r="N264" s="2411"/>
      <c r="O264" s="2443"/>
      <c r="P264" s="758"/>
      <c r="Q264" s="758"/>
      <c r="R264" s="758"/>
      <c r="S264" s="758"/>
      <c r="T264" s="759"/>
    </row>
    <row r="265" spans="2:20">
      <c r="B265" s="2426"/>
      <c r="C265" s="2413"/>
      <c r="D265" s="2427"/>
      <c r="E265" s="2413"/>
      <c r="F265" s="2421"/>
      <c r="G265" s="2421"/>
      <c r="H265" s="2423"/>
      <c r="I265" s="2424"/>
      <c r="J265" s="2421"/>
      <c r="K265" s="2421"/>
      <c r="L265" s="2421"/>
      <c r="M265" s="2413"/>
      <c r="N265" s="2413"/>
      <c r="O265" s="2443"/>
      <c r="P265" s="173"/>
      <c r="Q265" s="173"/>
      <c r="R265" s="173"/>
      <c r="S265" s="173"/>
      <c r="T265" s="760"/>
    </row>
    <row r="266" spans="2:20">
      <c r="B266" s="2425"/>
      <c r="C266" s="2411"/>
      <c r="D266" s="2414"/>
      <c r="E266" s="2411"/>
      <c r="F266" s="2419">
        <f>F264</f>
        <v>0</v>
      </c>
      <c r="G266" s="2419">
        <f>F266-F264</f>
        <v>0</v>
      </c>
      <c r="H266" s="2422">
        <f>G266*G233</f>
        <v>0</v>
      </c>
      <c r="I266" s="2422">
        <f>I264+H266</f>
        <v>0</v>
      </c>
      <c r="J266" s="2419"/>
      <c r="K266" s="2419"/>
      <c r="L266" s="2419">
        <f>IF(H266=0,0,IF((100-J266-K266)&lt;0,0,100-J266-K266))</f>
        <v>0</v>
      </c>
      <c r="M266" s="2411"/>
      <c r="N266" s="2411"/>
      <c r="O266" s="2443"/>
      <c r="P266" s="758"/>
      <c r="Q266" s="758"/>
      <c r="R266" s="758"/>
      <c r="S266" s="758"/>
      <c r="T266" s="759"/>
    </row>
    <row r="267" spans="2:20" ht="13.75" thickBot="1">
      <c r="B267" s="2426"/>
      <c r="C267" s="2413"/>
      <c r="D267" s="2427"/>
      <c r="E267" s="2413"/>
      <c r="F267" s="2421"/>
      <c r="G267" s="2421"/>
      <c r="H267" s="2423"/>
      <c r="I267" s="2424"/>
      <c r="J267" s="2421"/>
      <c r="K267" s="2421"/>
      <c r="L267" s="2421"/>
      <c r="M267" s="2413"/>
      <c r="N267" s="2413"/>
      <c r="O267" s="2443"/>
      <c r="P267" s="173"/>
      <c r="Q267" s="173"/>
      <c r="R267" s="173"/>
      <c r="S267" s="173"/>
      <c r="T267" s="760"/>
    </row>
    <row r="268" spans="2:20">
      <c r="B268" s="2425"/>
      <c r="C268" s="2411"/>
      <c r="D268" s="2414"/>
      <c r="E268" s="2411"/>
      <c r="F268" s="2419">
        <f>F266</f>
        <v>0</v>
      </c>
      <c r="G268" s="2419">
        <f>F268-F266</f>
        <v>0</v>
      </c>
      <c r="H268" s="2422">
        <f>G268*G233</f>
        <v>0</v>
      </c>
      <c r="I268" s="2422">
        <f>I266+H268</f>
        <v>0</v>
      </c>
      <c r="J268" s="2419"/>
      <c r="K268" s="2419"/>
      <c r="L268" s="2419">
        <f>IF(H268=0,0,IF((100-J268-K268)&lt;0,0,100-J268-K268))</f>
        <v>0</v>
      </c>
      <c r="M268" s="2411"/>
      <c r="N268" s="2411"/>
      <c r="O268" s="2457"/>
      <c r="P268" s="365"/>
      <c r="Q268" s="365"/>
      <c r="R268" s="365"/>
      <c r="S268" s="365"/>
      <c r="T268" s="1087" t="str">
        <f>T223</f>
        <v>Ttl Other (1)</v>
      </c>
    </row>
    <row r="269" spans="2:20" ht="13.75" thickBot="1">
      <c r="B269" s="2430"/>
      <c r="C269" s="2412"/>
      <c r="D269" s="2415"/>
      <c r="E269" s="2412"/>
      <c r="F269" s="2420"/>
      <c r="G269" s="2420"/>
      <c r="H269" s="2428"/>
      <c r="I269" s="2429"/>
      <c r="J269" s="2420"/>
      <c r="K269" s="2420"/>
      <c r="L269" s="2420"/>
      <c r="M269" s="2412"/>
      <c r="N269" s="2412"/>
      <c r="O269" s="2458"/>
      <c r="P269" s="1313" t="s">
        <v>806</v>
      </c>
      <c r="Q269" s="1314">
        <f>((H238*K238)+(H240*K240)+(H242*K242)+(H244*K244)+(H246*K246)+(H248*K248)+(H250*K250)+(H252*K252)+(H254*K254)+(H256*K256)+(H258*K258)+(H260*K260)+(H262*K262)+(H264*K264)+(H266*K266)+(H268*K268))/100+Q224</f>
        <v>0</v>
      </c>
      <c r="R269" s="1313" t="s">
        <v>807</v>
      </c>
      <c r="S269" s="1314">
        <f>((J238*H238)+(J240*H240)+(J242*H242)+(J244*H244)+(J246*H246)+(J248*H248)+(J250*H250)+(J252*H252)+(J254*H254)+(J256*H256)+(J258*H258)+(J260*H260)+(J262*H262)+(J264*H264)+(J266*H266)+(J268*H268))/100+S224</f>
        <v>0</v>
      </c>
      <c r="T269" s="510">
        <f>I268-Q269-S269</f>
        <v>0</v>
      </c>
    </row>
  </sheetData>
  <mergeCells count="1477">
    <mergeCell ref="C7:E7"/>
    <mergeCell ref="O268:O269"/>
    <mergeCell ref="O223:O224"/>
    <mergeCell ref="O178:O179"/>
    <mergeCell ref="O133:O134"/>
    <mergeCell ref="O266:O267"/>
    <mergeCell ref="O258:O259"/>
    <mergeCell ref="O260:O261"/>
    <mergeCell ref="O262:O263"/>
    <mergeCell ref="O264:O265"/>
    <mergeCell ref="O250:O251"/>
    <mergeCell ref="P10:T12"/>
    <mergeCell ref="P55:T57"/>
    <mergeCell ref="P100:T102"/>
    <mergeCell ref="P145:T147"/>
    <mergeCell ref="S54:T54"/>
    <mergeCell ref="B138:T138"/>
    <mergeCell ref="O125:O126"/>
    <mergeCell ref="O127:O128"/>
    <mergeCell ref="O129:O130"/>
    <mergeCell ref="O131:O132"/>
    <mergeCell ref="P235:T237"/>
    <mergeCell ref="O88:O89"/>
    <mergeCell ref="O43:O44"/>
    <mergeCell ref="O219:O220"/>
    <mergeCell ref="O221:O222"/>
    <mergeCell ref="O203:O204"/>
    <mergeCell ref="O205:O206"/>
    <mergeCell ref="O207:O208"/>
    <mergeCell ref="O209:O210"/>
    <mergeCell ref="O195:O196"/>
    <mergeCell ref="O252:O253"/>
    <mergeCell ref="O254:O255"/>
    <mergeCell ref="O256:O257"/>
    <mergeCell ref="O242:O243"/>
    <mergeCell ref="O244:O245"/>
    <mergeCell ref="O246:O247"/>
    <mergeCell ref="O248:O249"/>
    <mergeCell ref="O238:O239"/>
    <mergeCell ref="O240:O241"/>
    <mergeCell ref="O211:O212"/>
    <mergeCell ref="O213:O214"/>
    <mergeCell ref="O215:O216"/>
    <mergeCell ref="O217:O218"/>
    <mergeCell ref="B227:T227"/>
    <mergeCell ref="B228:T228"/>
    <mergeCell ref="N221:N222"/>
    <mergeCell ref="B223:B224"/>
    <mergeCell ref="O197:O198"/>
    <mergeCell ref="O199:O200"/>
    <mergeCell ref="O201:O202"/>
    <mergeCell ref="M199:M200"/>
    <mergeCell ref="N199:N200"/>
    <mergeCell ref="B199:B200"/>
    <mergeCell ref="C199:C200"/>
    <mergeCell ref="D199:D200"/>
    <mergeCell ref="E199:E200"/>
    <mergeCell ref="F199:F200"/>
    <mergeCell ref="G199:G200"/>
    <mergeCell ref="H199:H200"/>
    <mergeCell ref="B201:B202"/>
    <mergeCell ref="C201:C202"/>
    <mergeCell ref="D201:D202"/>
    <mergeCell ref="E201:E202"/>
    <mergeCell ref="O172:O173"/>
    <mergeCell ref="O174:O175"/>
    <mergeCell ref="O176:O177"/>
    <mergeCell ref="O193:O194"/>
    <mergeCell ref="B182:T182"/>
    <mergeCell ref="B183:T183"/>
    <mergeCell ref="S189:T189"/>
    <mergeCell ref="O156:O157"/>
    <mergeCell ref="O158:O159"/>
    <mergeCell ref="O160:O161"/>
    <mergeCell ref="O162:O163"/>
    <mergeCell ref="P190:T192"/>
    <mergeCell ref="O164:O165"/>
    <mergeCell ref="O166:O167"/>
    <mergeCell ref="O168:O169"/>
    <mergeCell ref="O170:O171"/>
    <mergeCell ref="O121:O122"/>
    <mergeCell ref="O123:O124"/>
    <mergeCell ref="O148:O149"/>
    <mergeCell ref="O150:O151"/>
    <mergeCell ref="O152:O153"/>
    <mergeCell ref="O154:O155"/>
    <mergeCell ref="O144:P144"/>
    <mergeCell ref="B137:T137"/>
    <mergeCell ref="N131:N132"/>
    <mergeCell ref="B133:B134"/>
    <mergeCell ref="M123:M124"/>
    <mergeCell ref="N123:N124"/>
    <mergeCell ref="B123:B124"/>
    <mergeCell ref="C123:C124"/>
    <mergeCell ref="D123:D124"/>
    <mergeCell ref="E123:E124"/>
    <mergeCell ref="O109:O110"/>
    <mergeCell ref="O111:O112"/>
    <mergeCell ref="O113:O114"/>
    <mergeCell ref="O115:O116"/>
    <mergeCell ref="O117:O118"/>
    <mergeCell ref="O119:O120"/>
    <mergeCell ref="O82:O83"/>
    <mergeCell ref="O84:O85"/>
    <mergeCell ref="O86:O87"/>
    <mergeCell ref="O103:O104"/>
    <mergeCell ref="O105:O106"/>
    <mergeCell ref="O107:O108"/>
    <mergeCell ref="B92:T92"/>
    <mergeCell ref="B93:T93"/>
    <mergeCell ref="S99:T99"/>
    <mergeCell ref="O70:O71"/>
    <mergeCell ref="O72:O73"/>
    <mergeCell ref="O74:O75"/>
    <mergeCell ref="O76:O77"/>
    <mergeCell ref="O78:O79"/>
    <mergeCell ref="O80:O81"/>
    <mergeCell ref="M70:M71"/>
    <mergeCell ref="N70:N71"/>
    <mergeCell ref="B70:B71"/>
    <mergeCell ref="C70:C71"/>
    <mergeCell ref="D70:D71"/>
    <mergeCell ref="E70:E71"/>
    <mergeCell ref="F70:F71"/>
    <mergeCell ref="G70:G71"/>
    <mergeCell ref="H70:H71"/>
    <mergeCell ref="B72:B73"/>
    <mergeCell ref="C72:C73"/>
    <mergeCell ref="O58:O59"/>
    <mergeCell ref="O60:O61"/>
    <mergeCell ref="O62:O63"/>
    <mergeCell ref="O64:O65"/>
    <mergeCell ref="O66:O67"/>
    <mergeCell ref="O68:O69"/>
    <mergeCell ref="O31:O32"/>
    <mergeCell ref="O33:O34"/>
    <mergeCell ref="O35:O36"/>
    <mergeCell ref="O37:O38"/>
    <mergeCell ref="O39:O40"/>
    <mergeCell ref="O41:O42"/>
    <mergeCell ref="O19:O20"/>
    <mergeCell ref="O21:O22"/>
    <mergeCell ref="O23:O24"/>
    <mergeCell ref="O25:O26"/>
    <mergeCell ref="O27:O28"/>
    <mergeCell ref="O29:O30"/>
    <mergeCell ref="G10:G11"/>
    <mergeCell ref="H10:H11"/>
    <mergeCell ref="J10:L10"/>
    <mergeCell ref="J11:J12"/>
    <mergeCell ref="O15:O16"/>
    <mergeCell ref="O17:O18"/>
    <mergeCell ref="L13:L14"/>
    <mergeCell ref="K15:K16"/>
    <mergeCell ref="L15:L16"/>
    <mergeCell ref="K17:K18"/>
    <mergeCell ref="B13:B14"/>
    <mergeCell ref="G13:G14"/>
    <mergeCell ref="H13:H14"/>
    <mergeCell ref="I13:I14"/>
    <mergeCell ref="C8:D8"/>
    <mergeCell ref="E8:F8"/>
    <mergeCell ref="I8:J8"/>
    <mergeCell ref="B10:B12"/>
    <mergeCell ref="C10:C12"/>
    <mergeCell ref="F10:F11"/>
    <mergeCell ref="K11:K12"/>
    <mergeCell ref="L11:L12"/>
    <mergeCell ref="D9:F9"/>
    <mergeCell ref="H9:J9"/>
    <mergeCell ref="O9:P9"/>
    <mergeCell ref="N13:N14"/>
    <mergeCell ref="O13:O14"/>
    <mergeCell ref="B15:B16"/>
    <mergeCell ref="B17:B18"/>
    <mergeCell ref="I15:I16"/>
    <mergeCell ref="K13:K14"/>
    <mergeCell ref="D13:D14"/>
    <mergeCell ref="D15:D16"/>
    <mergeCell ref="D17:D18"/>
    <mergeCell ref="I17:I18"/>
    <mergeCell ref="D23:D24"/>
    <mergeCell ref="D25:D26"/>
    <mergeCell ref="G19:G20"/>
    <mergeCell ref="F19:F20"/>
    <mergeCell ref="G21:G22"/>
    <mergeCell ref="G23:G24"/>
    <mergeCell ref="G25:G26"/>
    <mergeCell ref="H15:H16"/>
    <mergeCell ref="H17:H18"/>
    <mergeCell ref="H19:H20"/>
    <mergeCell ref="H21:H22"/>
    <mergeCell ref="M13:M14"/>
    <mergeCell ref="M15:M16"/>
    <mergeCell ref="M21:M22"/>
    <mergeCell ref="B39:B40"/>
    <mergeCell ref="B41:B42"/>
    <mergeCell ref="B27:B28"/>
    <mergeCell ref="B29:B30"/>
    <mergeCell ref="B31:B32"/>
    <mergeCell ref="B33:B34"/>
    <mergeCell ref="C29:C30"/>
    <mergeCell ref="B35:B36"/>
    <mergeCell ref="B37:B38"/>
    <mergeCell ref="C31:C32"/>
    <mergeCell ref="C33:C34"/>
    <mergeCell ref="C35:C36"/>
    <mergeCell ref="C37:C38"/>
    <mergeCell ref="B43:B44"/>
    <mergeCell ref="C13:C14"/>
    <mergeCell ref="C15:C16"/>
    <mergeCell ref="C17:C18"/>
    <mergeCell ref="C19:C20"/>
    <mergeCell ref="C21:C22"/>
    <mergeCell ref="C39:C40"/>
    <mergeCell ref="C41:C42"/>
    <mergeCell ref="C43:C44"/>
    <mergeCell ref="C27:C28"/>
    <mergeCell ref="B19:B20"/>
    <mergeCell ref="B21:B22"/>
    <mergeCell ref="B23:B24"/>
    <mergeCell ref="B25:B26"/>
    <mergeCell ref="C23:C24"/>
    <mergeCell ref="C25:C26"/>
    <mergeCell ref="D39:D40"/>
    <mergeCell ref="D41:D42"/>
    <mergeCell ref="D27:D28"/>
    <mergeCell ref="D29:D30"/>
    <mergeCell ref="D31:D32"/>
    <mergeCell ref="D33:D34"/>
    <mergeCell ref="E27:E28"/>
    <mergeCell ref="E29:E30"/>
    <mergeCell ref="D35:D36"/>
    <mergeCell ref="D37:D38"/>
    <mergeCell ref="E31:E32"/>
    <mergeCell ref="E33:E34"/>
    <mergeCell ref="E35:E36"/>
    <mergeCell ref="E37:E38"/>
    <mergeCell ref="D43:D44"/>
    <mergeCell ref="E13:E14"/>
    <mergeCell ref="E15:E16"/>
    <mergeCell ref="E17:E18"/>
    <mergeCell ref="E19:E20"/>
    <mergeCell ref="E21:E22"/>
    <mergeCell ref="E39:E40"/>
    <mergeCell ref="E41:E42"/>
    <mergeCell ref="E23:E24"/>
    <mergeCell ref="E25:E26"/>
    <mergeCell ref="D19:D20"/>
    <mergeCell ref="D21:D22"/>
    <mergeCell ref="G27:G28"/>
    <mergeCell ref="F23:F24"/>
    <mergeCell ref="F25:F26"/>
    <mergeCell ref="F29:F30"/>
    <mergeCell ref="G29:G30"/>
    <mergeCell ref="E43:E44"/>
    <mergeCell ref="F13:F14"/>
    <mergeCell ref="F15:F16"/>
    <mergeCell ref="F17:F18"/>
    <mergeCell ref="F21:F22"/>
    <mergeCell ref="F27:F28"/>
    <mergeCell ref="F33:F34"/>
    <mergeCell ref="F39:F40"/>
    <mergeCell ref="F37:F38"/>
    <mergeCell ref="G37:G38"/>
    <mergeCell ref="G39:G40"/>
    <mergeCell ref="F41:F42"/>
    <mergeCell ref="G41:G42"/>
    <mergeCell ref="F31:F32"/>
    <mergeCell ref="G31:G32"/>
    <mergeCell ref="G33:G34"/>
    <mergeCell ref="F35:F36"/>
    <mergeCell ref="G35:G36"/>
    <mergeCell ref="F43:F44"/>
    <mergeCell ref="G43:G44"/>
    <mergeCell ref="G15:G16"/>
    <mergeCell ref="G17:G18"/>
    <mergeCell ref="H31:H32"/>
    <mergeCell ref="H33:H34"/>
    <mergeCell ref="H35:H36"/>
    <mergeCell ref="H37:H38"/>
    <mergeCell ref="H23:H24"/>
    <mergeCell ref="H25:H26"/>
    <mergeCell ref="H27:H28"/>
    <mergeCell ref="H29:H30"/>
    <mergeCell ref="I33:I34"/>
    <mergeCell ref="H39:H40"/>
    <mergeCell ref="H41:H42"/>
    <mergeCell ref="I39:I40"/>
    <mergeCell ref="I41:I42"/>
    <mergeCell ref="I19:I20"/>
    <mergeCell ref="I21:I22"/>
    <mergeCell ref="I23:I24"/>
    <mergeCell ref="I25:I26"/>
    <mergeCell ref="I27:I28"/>
    <mergeCell ref="I31:I32"/>
    <mergeCell ref="J13:J14"/>
    <mergeCell ref="J15:J16"/>
    <mergeCell ref="J17:J18"/>
    <mergeCell ref="J21:J22"/>
    <mergeCell ref="J25:J26"/>
    <mergeCell ref="J29:J30"/>
    <mergeCell ref="J33:J34"/>
    <mergeCell ref="I35:I36"/>
    <mergeCell ref="I37:I38"/>
    <mergeCell ref="K21:K22"/>
    <mergeCell ref="L21:L22"/>
    <mergeCell ref="J23:J24"/>
    <mergeCell ref="K23:K24"/>
    <mergeCell ref="L23:L24"/>
    <mergeCell ref="L17:L18"/>
    <mergeCell ref="J19:J20"/>
    <mergeCell ref="K19:K20"/>
    <mergeCell ref="L19:L20"/>
    <mergeCell ref="K31:K32"/>
    <mergeCell ref="L31:L32"/>
    <mergeCell ref="K25:K26"/>
    <mergeCell ref="L25:L26"/>
    <mergeCell ref="J27:J28"/>
    <mergeCell ref="K27:K28"/>
    <mergeCell ref="L27:L28"/>
    <mergeCell ref="K33:K34"/>
    <mergeCell ref="L33:L34"/>
    <mergeCell ref="J35:J36"/>
    <mergeCell ref="K35:K36"/>
    <mergeCell ref="L35:L36"/>
    <mergeCell ref="I29:I30"/>
    <mergeCell ref="M27:M28"/>
    <mergeCell ref="J37:J38"/>
    <mergeCell ref="K37:K38"/>
    <mergeCell ref="L37:L38"/>
    <mergeCell ref="K29:K30"/>
    <mergeCell ref="L29:L30"/>
    <mergeCell ref="J31:J32"/>
    <mergeCell ref="M39:M40"/>
    <mergeCell ref="J39:J40"/>
    <mergeCell ref="N15:N16"/>
    <mergeCell ref="M17:M18"/>
    <mergeCell ref="N17:N18"/>
    <mergeCell ref="M19:M20"/>
    <mergeCell ref="N19:N20"/>
    <mergeCell ref="N21:N22"/>
    <mergeCell ref="M23:M24"/>
    <mergeCell ref="K39:K40"/>
    <mergeCell ref="N37:N38"/>
    <mergeCell ref="N27:N28"/>
    <mergeCell ref="M29:M30"/>
    <mergeCell ref="N29:N30"/>
    <mergeCell ref="M31:M32"/>
    <mergeCell ref="N31:N32"/>
    <mergeCell ref="N35:N36"/>
    <mergeCell ref="M33:M34"/>
    <mergeCell ref="M35:M36"/>
    <mergeCell ref="L39:L40"/>
    <mergeCell ref="C53:D53"/>
    <mergeCell ref="E53:F53"/>
    <mergeCell ref="I53:J53"/>
    <mergeCell ref="J41:J42"/>
    <mergeCell ref="K41:K42"/>
    <mergeCell ref="L41:L42"/>
    <mergeCell ref="J43:J44"/>
    <mergeCell ref="K43:K44"/>
    <mergeCell ref="L43:L44"/>
    <mergeCell ref="H43:H44"/>
    <mergeCell ref="D54:F54"/>
    <mergeCell ref="H54:J54"/>
    <mergeCell ref="B55:B57"/>
    <mergeCell ref="C55:C57"/>
    <mergeCell ref="F55:F56"/>
    <mergeCell ref="G55:G56"/>
    <mergeCell ref="H55:H56"/>
    <mergeCell ref="J55:L55"/>
    <mergeCell ref="J56:J57"/>
    <mergeCell ref="K56:K57"/>
    <mergeCell ref="I43:I44"/>
    <mergeCell ref="M58:M59"/>
    <mergeCell ref="N58:N59"/>
    <mergeCell ref="L56:L57"/>
    <mergeCell ref="B58:B59"/>
    <mergeCell ref="C58:C59"/>
    <mergeCell ref="D58:D59"/>
    <mergeCell ref="E58:E59"/>
    <mergeCell ref="F58:F59"/>
    <mergeCell ref="G58:G59"/>
    <mergeCell ref="H58:H59"/>
    <mergeCell ref="B60:B61"/>
    <mergeCell ref="C60:C61"/>
    <mergeCell ref="D60:D61"/>
    <mergeCell ref="E60:E61"/>
    <mergeCell ref="K58:K59"/>
    <mergeCell ref="L58:L59"/>
    <mergeCell ref="I58:I59"/>
    <mergeCell ref="J58:J59"/>
    <mergeCell ref="J60:J61"/>
    <mergeCell ref="K60:K61"/>
    <mergeCell ref="L60:L61"/>
    <mergeCell ref="M60:M61"/>
    <mergeCell ref="F60:F61"/>
    <mergeCell ref="G60:G61"/>
    <mergeCell ref="H60:H61"/>
    <mergeCell ref="I60:I61"/>
    <mergeCell ref="M62:M63"/>
    <mergeCell ref="N62:N63"/>
    <mergeCell ref="N60:N61"/>
    <mergeCell ref="B62:B63"/>
    <mergeCell ref="C62:C63"/>
    <mergeCell ref="D62:D63"/>
    <mergeCell ref="E62:E63"/>
    <mergeCell ref="F62:F63"/>
    <mergeCell ref="G62:G63"/>
    <mergeCell ref="H62:H63"/>
    <mergeCell ref="B64:B65"/>
    <mergeCell ref="C64:C65"/>
    <mergeCell ref="D64:D65"/>
    <mergeCell ref="E64:E65"/>
    <mergeCell ref="K62:K63"/>
    <mergeCell ref="L62:L63"/>
    <mergeCell ref="I62:I63"/>
    <mergeCell ref="J62:J63"/>
    <mergeCell ref="J64:J65"/>
    <mergeCell ref="K64:K65"/>
    <mergeCell ref="L64:L65"/>
    <mergeCell ref="M64:M65"/>
    <mergeCell ref="F64:F65"/>
    <mergeCell ref="G64:G65"/>
    <mergeCell ref="H64:H65"/>
    <mergeCell ref="I64:I65"/>
    <mergeCell ref="M66:M67"/>
    <mergeCell ref="N66:N67"/>
    <mergeCell ref="N64:N65"/>
    <mergeCell ref="B66:B67"/>
    <mergeCell ref="C66:C67"/>
    <mergeCell ref="D66:D67"/>
    <mergeCell ref="E66:E67"/>
    <mergeCell ref="F66:F67"/>
    <mergeCell ref="G66:G67"/>
    <mergeCell ref="H66:H67"/>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N68:N69"/>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L84:L85"/>
    <mergeCell ref="K84:K85"/>
    <mergeCell ref="M84:M85"/>
    <mergeCell ref="F84:F85"/>
    <mergeCell ref="G84:G85"/>
    <mergeCell ref="H84:H85"/>
    <mergeCell ref="I84:I85"/>
    <mergeCell ref="G86:G87"/>
    <mergeCell ref="H86:H87"/>
    <mergeCell ref="I86:I87"/>
    <mergeCell ref="J86:J87"/>
    <mergeCell ref="J84:J85"/>
    <mergeCell ref="K86:K87"/>
    <mergeCell ref="L86:L87"/>
    <mergeCell ref="M86:M87"/>
    <mergeCell ref="N86:N87"/>
    <mergeCell ref="N84:N85"/>
    <mergeCell ref="B86:B87"/>
    <mergeCell ref="C86:C87"/>
    <mergeCell ref="D86:D87"/>
    <mergeCell ref="E86:E87"/>
    <mergeCell ref="F86:F87"/>
    <mergeCell ref="H88:H89"/>
    <mergeCell ref="I88:I89"/>
    <mergeCell ref="B88:B89"/>
    <mergeCell ref="C88:C89"/>
    <mergeCell ref="D88:D89"/>
    <mergeCell ref="E88:E89"/>
    <mergeCell ref="N88:N89"/>
    <mergeCell ref="C98:D98"/>
    <mergeCell ref="E98:F98"/>
    <mergeCell ref="I98:J98"/>
    <mergeCell ref="J88:J89"/>
    <mergeCell ref="K88:K89"/>
    <mergeCell ref="L88:L89"/>
    <mergeCell ref="M88:M89"/>
    <mergeCell ref="F88:F89"/>
    <mergeCell ref="G88:G89"/>
    <mergeCell ref="D99:F99"/>
    <mergeCell ref="H99:J99"/>
    <mergeCell ref="B100:B102"/>
    <mergeCell ref="C100:C102"/>
    <mergeCell ref="F100:F101"/>
    <mergeCell ref="G100:G101"/>
    <mergeCell ref="H100:H101"/>
    <mergeCell ref="J100:L100"/>
    <mergeCell ref="J101:J102"/>
    <mergeCell ref="K101:K102"/>
    <mergeCell ref="M103:M104"/>
    <mergeCell ref="N103:N104"/>
    <mergeCell ref="L101:L102"/>
    <mergeCell ref="B103:B104"/>
    <mergeCell ref="C103:C104"/>
    <mergeCell ref="D103:D104"/>
    <mergeCell ref="E103:E104"/>
    <mergeCell ref="F103:F104"/>
    <mergeCell ref="G103:G104"/>
    <mergeCell ref="H103:H104"/>
    <mergeCell ref="B105:B106"/>
    <mergeCell ref="C105:C106"/>
    <mergeCell ref="D105:D106"/>
    <mergeCell ref="E105:E106"/>
    <mergeCell ref="K103:K104"/>
    <mergeCell ref="L103:L104"/>
    <mergeCell ref="I103:I104"/>
    <mergeCell ref="J103:J104"/>
    <mergeCell ref="J105:J106"/>
    <mergeCell ref="K105:K106"/>
    <mergeCell ref="L105:L106"/>
    <mergeCell ref="M105:M106"/>
    <mergeCell ref="F105:F106"/>
    <mergeCell ref="G105:G106"/>
    <mergeCell ref="H105:H106"/>
    <mergeCell ref="I105:I106"/>
    <mergeCell ref="M107:M108"/>
    <mergeCell ref="N107:N108"/>
    <mergeCell ref="N105:N106"/>
    <mergeCell ref="B107:B108"/>
    <mergeCell ref="C107:C108"/>
    <mergeCell ref="D107:D108"/>
    <mergeCell ref="E107:E108"/>
    <mergeCell ref="F107:F108"/>
    <mergeCell ref="G107:G108"/>
    <mergeCell ref="H107:H108"/>
    <mergeCell ref="B109:B110"/>
    <mergeCell ref="C109:C110"/>
    <mergeCell ref="D109:D110"/>
    <mergeCell ref="E109:E110"/>
    <mergeCell ref="K107:K108"/>
    <mergeCell ref="L107:L108"/>
    <mergeCell ref="I107:I108"/>
    <mergeCell ref="J107:J108"/>
    <mergeCell ref="J109:J110"/>
    <mergeCell ref="K109:K110"/>
    <mergeCell ref="L109:L110"/>
    <mergeCell ref="M109:M110"/>
    <mergeCell ref="F109:F110"/>
    <mergeCell ref="G109:G110"/>
    <mergeCell ref="H109:H110"/>
    <mergeCell ref="I109:I110"/>
    <mergeCell ref="M111:M112"/>
    <mergeCell ref="N111:N112"/>
    <mergeCell ref="N109:N110"/>
    <mergeCell ref="B111:B112"/>
    <mergeCell ref="C111:C112"/>
    <mergeCell ref="D111:D112"/>
    <mergeCell ref="E111:E112"/>
    <mergeCell ref="F111:F112"/>
    <mergeCell ref="G111:G112"/>
    <mergeCell ref="H111:H112"/>
    <mergeCell ref="B113:B114"/>
    <mergeCell ref="C113:C114"/>
    <mergeCell ref="D113:D114"/>
    <mergeCell ref="E113:E114"/>
    <mergeCell ref="K111:K112"/>
    <mergeCell ref="L111:L112"/>
    <mergeCell ref="I111:I112"/>
    <mergeCell ref="J111:J112"/>
    <mergeCell ref="J113:J114"/>
    <mergeCell ref="K113:K114"/>
    <mergeCell ref="L113:L114"/>
    <mergeCell ref="M113:M114"/>
    <mergeCell ref="F113:F114"/>
    <mergeCell ref="G113:G114"/>
    <mergeCell ref="H113:H114"/>
    <mergeCell ref="I113:I114"/>
    <mergeCell ref="M115:M116"/>
    <mergeCell ref="N115:N116"/>
    <mergeCell ref="N113:N114"/>
    <mergeCell ref="B115:B116"/>
    <mergeCell ref="C115:C116"/>
    <mergeCell ref="D115:D116"/>
    <mergeCell ref="E115:E116"/>
    <mergeCell ref="F115:F116"/>
    <mergeCell ref="G115:G116"/>
    <mergeCell ref="H115:H116"/>
    <mergeCell ref="B117:B118"/>
    <mergeCell ref="C117:C118"/>
    <mergeCell ref="D117:D118"/>
    <mergeCell ref="E117:E118"/>
    <mergeCell ref="K115:K116"/>
    <mergeCell ref="L115:L116"/>
    <mergeCell ref="I115:I116"/>
    <mergeCell ref="J115:J116"/>
    <mergeCell ref="J117:J118"/>
    <mergeCell ref="K117:K118"/>
    <mergeCell ref="L117:L118"/>
    <mergeCell ref="M117:M118"/>
    <mergeCell ref="F117:F118"/>
    <mergeCell ref="G117:G118"/>
    <mergeCell ref="H117:H118"/>
    <mergeCell ref="I117:I118"/>
    <mergeCell ref="M119:M120"/>
    <mergeCell ref="N119:N120"/>
    <mergeCell ref="N117:N118"/>
    <mergeCell ref="B119:B120"/>
    <mergeCell ref="C119:C120"/>
    <mergeCell ref="D119:D120"/>
    <mergeCell ref="E119:E120"/>
    <mergeCell ref="F119:F120"/>
    <mergeCell ref="G119:G120"/>
    <mergeCell ref="H119:H120"/>
    <mergeCell ref="B121:B122"/>
    <mergeCell ref="C121:C122"/>
    <mergeCell ref="D121:D122"/>
    <mergeCell ref="E121:E122"/>
    <mergeCell ref="K119:K120"/>
    <mergeCell ref="L119:L120"/>
    <mergeCell ref="I119:I120"/>
    <mergeCell ref="J119:J120"/>
    <mergeCell ref="J121:J122"/>
    <mergeCell ref="K121:K122"/>
    <mergeCell ref="L121:L122"/>
    <mergeCell ref="M121:M122"/>
    <mergeCell ref="F121:F122"/>
    <mergeCell ref="G121:G122"/>
    <mergeCell ref="H121:H122"/>
    <mergeCell ref="I121:I122"/>
    <mergeCell ref="N121:N122"/>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127:M128"/>
    <mergeCell ref="N127:N128"/>
    <mergeCell ref="N125:N126"/>
    <mergeCell ref="B127:B128"/>
    <mergeCell ref="C127:C128"/>
    <mergeCell ref="D127:D128"/>
    <mergeCell ref="E127:E128"/>
    <mergeCell ref="F127:F128"/>
    <mergeCell ref="G127:G128"/>
    <mergeCell ref="H127:H128"/>
    <mergeCell ref="B129:B130"/>
    <mergeCell ref="C129:C130"/>
    <mergeCell ref="D129:D130"/>
    <mergeCell ref="E129:E130"/>
    <mergeCell ref="K127:K128"/>
    <mergeCell ref="L127:L128"/>
    <mergeCell ref="I127:I128"/>
    <mergeCell ref="J127:J128"/>
    <mergeCell ref="J129:J130"/>
    <mergeCell ref="K129:K130"/>
    <mergeCell ref="L129:L130"/>
    <mergeCell ref="M129:M130"/>
    <mergeCell ref="F129:F130"/>
    <mergeCell ref="G129:G130"/>
    <mergeCell ref="H129:H130"/>
    <mergeCell ref="I129:I130"/>
    <mergeCell ref="K131:K132"/>
    <mergeCell ref="L131:L132"/>
    <mergeCell ref="N129:N130"/>
    <mergeCell ref="B131:B132"/>
    <mergeCell ref="C131:C132"/>
    <mergeCell ref="D131:D132"/>
    <mergeCell ref="E131:E132"/>
    <mergeCell ref="M131:M132"/>
    <mergeCell ref="F131:F132"/>
    <mergeCell ref="G131:G132"/>
    <mergeCell ref="F133:F134"/>
    <mergeCell ref="G133:G134"/>
    <mergeCell ref="H133:H134"/>
    <mergeCell ref="I133:I134"/>
    <mergeCell ref="J133:J134"/>
    <mergeCell ref="J131:J132"/>
    <mergeCell ref="H131:H132"/>
    <mergeCell ref="I131:I132"/>
    <mergeCell ref="C145:C147"/>
    <mergeCell ref="F145:F146"/>
    <mergeCell ref="G145:G146"/>
    <mergeCell ref="C143:D143"/>
    <mergeCell ref="E143:F143"/>
    <mergeCell ref="I143:J143"/>
    <mergeCell ref="D144:F144"/>
    <mergeCell ref="H144:J144"/>
    <mergeCell ref="B148:B149"/>
    <mergeCell ref="C148:C149"/>
    <mergeCell ref="D148:D149"/>
    <mergeCell ref="E148:E149"/>
    <mergeCell ref="H145:H146"/>
    <mergeCell ref="J145:L145"/>
    <mergeCell ref="J146:J147"/>
    <mergeCell ref="K146:K147"/>
    <mergeCell ref="L146:L147"/>
    <mergeCell ref="B145:B147"/>
    <mergeCell ref="J148:J149"/>
    <mergeCell ref="K148:K149"/>
    <mergeCell ref="L148:L149"/>
    <mergeCell ref="M148:M149"/>
    <mergeCell ref="F148:F149"/>
    <mergeCell ref="G148:G149"/>
    <mergeCell ref="H148:H149"/>
    <mergeCell ref="I148:I149"/>
    <mergeCell ref="M150:M151"/>
    <mergeCell ref="N150:N151"/>
    <mergeCell ref="N148:N149"/>
    <mergeCell ref="B150:B151"/>
    <mergeCell ref="C150:C151"/>
    <mergeCell ref="D150:D151"/>
    <mergeCell ref="E150:E151"/>
    <mergeCell ref="F150:F151"/>
    <mergeCell ref="G150:G151"/>
    <mergeCell ref="H150:H151"/>
    <mergeCell ref="B152:B153"/>
    <mergeCell ref="C152:C153"/>
    <mergeCell ref="D152:D153"/>
    <mergeCell ref="E152:E153"/>
    <mergeCell ref="K150:K151"/>
    <mergeCell ref="L150:L151"/>
    <mergeCell ref="I150:I151"/>
    <mergeCell ref="J150:J151"/>
    <mergeCell ref="J152:J153"/>
    <mergeCell ref="K152:K153"/>
    <mergeCell ref="L152:L153"/>
    <mergeCell ref="M152:M153"/>
    <mergeCell ref="F152:F153"/>
    <mergeCell ref="G152:G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M158:M159"/>
    <mergeCell ref="N158:N159"/>
    <mergeCell ref="N156:N157"/>
    <mergeCell ref="B158:B159"/>
    <mergeCell ref="C158:C159"/>
    <mergeCell ref="D158:D159"/>
    <mergeCell ref="E158:E159"/>
    <mergeCell ref="F158:F159"/>
    <mergeCell ref="G158:G159"/>
    <mergeCell ref="H158:H159"/>
    <mergeCell ref="B160:B161"/>
    <mergeCell ref="C160:C161"/>
    <mergeCell ref="D160:D161"/>
    <mergeCell ref="E160:E161"/>
    <mergeCell ref="K158:K159"/>
    <mergeCell ref="L158:L159"/>
    <mergeCell ref="I158:I159"/>
    <mergeCell ref="J158:J159"/>
    <mergeCell ref="J160:J161"/>
    <mergeCell ref="K160:K161"/>
    <mergeCell ref="L160:L161"/>
    <mergeCell ref="M160:M161"/>
    <mergeCell ref="F160:F161"/>
    <mergeCell ref="G160:G161"/>
    <mergeCell ref="H160:H161"/>
    <mergeCell ref="I160:I161"/>
    <mergeCell ref="M162:M163"/>
    <mergeCell ref="N162:N163"/>
    <mergeCell ref="N160:N161"/>
    <mergeCell ref="B162:B163"/>
    <mergeCell ref="C162:C163"/>
    <mergeCell ref="D162:D163"/>
    <mergeCell ref="E162:E163"/>
    <mergeCell ref="F162:F163"/>
    <mergeCell ref="G162:G163"/>
    <mergeCell ref="H162:H163"/>
    <mergeCell ref="B164:B165"/>
    <mergeCell ref="C164:C165"/>
    <mergeCell ref="D164:D165"/>
    <mergeCell ref="E164:E165"/>
    <mergeCell ref="K162:K163"/>
    <mergeCell ref="L162:L163"/>
    <mergeCell ref="I162:I163"/>
    <mergeCell ref="J162:J163"/>
    <mergeCell ref="J164:J165"/>
    <mergeCell ref="K164:K165"/>
    <mergeCell ref="L164:L165"/>
    <mergeCell ref="M164:M165"/>
    <mergeCell ref="F164:F165"/>
    <mergeCell ref="G164:G165"/>
    <mergeCell ref="H164:H165"/>
    <mergeCell ref="I164:I165"/>
    <mergeCell ref="M166:M167"/>
    <mergeCell ref="N166:N167"/>
    <mergeCell ref="N164:N165"/>
    <mergeCell ref="B166:B167"/>
    <mergeCell ref="C166:C167"/>
    <mergeCell ref="D166:D167"/>
    <mergeCell ref="E166:E167"/>
    <mergeCell ref="F166:F167"/>
    <mergeCell ref="G166:G167"/>
    <mergeCell ref="H166:H167"/>
    <mergeCell ref="B168:B169"/>
    <mergeCell ref="C168:C169"/>
    <mergeCell ref="D168:D169"/>
    <mergeCell ref="E168:E169"/>
    <mergeCell ref="K166:K167"/>
    <mergeCell ref="L166:L167"/>
    <mergeCell ref="I166:I167"/>
    <mergeCell ref="J166:J167"/>
    <mergeCell ref="J168:J169"/>
    <mergeCell ref="K168:K169"/>
    <mergeCell ref="L168:L169"/>
    <mergeCell ref="M168:M169"/>
    <mergeCell ref="F168:F169"/>
    <mergeCell ref="G168:G169"/>
    <mergeCell ref="H168:H169"/>
    <mergeCell ref="I168:I169"/>
    <mergeCell ref="M170:M171"/>
    <mergeCell ref="N170:N171"/>
    <mergeCell ref="N168:N169"/>
    <mergeCell ref="B170:B171"/>
    <mergeCell ref="C170:C171"/>
    <mergeCell ref="D170:D171"/>
    <mergeCell ref="E170:E171"/>
    <mergeCell ref="F170:F171"/>
    <mergeCell ref="G170:G171"/>
    <mergeCell ref="H170:H171"/>
    <mergeCell ref="B172:B173"/>
    <mergeCell ref="C172:C173"/>
    <mergeCell ref="D172:D173"/>
    <mergeCell ref="E172:E173"/>
    <mergeCell ref="K170:K171"/>
    <mergeCell ref="L170:L171"/>
    <mergeCell ref="I170:I171"/>
    <mergeCell ref="J170:J171"/>
    <mergeCell ref="J172:J173"/>
    <mergeCell ref="K172:K173"/>
    <mergeCell ref="L172:L173"/>
    <mergeCell ref="M172:M173"/>
    <mergeCell ref="F172:F173"/>
    <mergeCell ref="G172:G173"/>
    <mergeCell ref="H172:H173"/>
    <mergeCell ref="I172:I173"/>
    <mergeCell ref="M174:M175"/>
    <mergeCell ref="N174:N175"/>
    <mergeCell ref="N172:N173"/>
    <mergeCell ref="B174:B175"/>
    <mergeCell ref="C174:C175"/>
    <mergeCell ref="D174:D175"/>
    <mergeCell ref="E174:E175"/>
    <mergeCell ref="F174:F175"/>
    <mergeCell ref="G174:G175"/>
    <mergeCell ref="H174:H175"/>
    <mergeCell ref="B176:B177"/>
    <mergeCell ref="C176:C177"/>
    <mergeCell ref="D176:D177"/>
    <mergeCell ref="E176:E177"/>
    <mergeCell ref="K174:K175"/>
    <mergeCell ref="L174:L175"/>
    <mergeCell ref="I174:I175"/>
    <mergeCell ref="J174:J175"/>
    <mergeCell ref="L176:L177"/>
    <mergeCell ref="K176:K177"/>
    <mergeCell ref="M176:M177"/>
    <mergeCell ref="F176:F177"/>
    <mergeCell ref="G176:G177"/>
    <mergeCell ref="H176:H177"/>
    <mergeCell ref="I176:I177"/>
    <mergeCell ref="G178:G179"/>
    <mergeCell ref="H178:H179"/>
    <mergeCell ref="I178:I179"/>
    <mergeCell ref="J178:J179"/>
    <mergeCell ref="J176:J177"/>
    <mergeCell ref="K178:K179"/>
    <mergeCell ref="L178:L179"/>
    <mergeCell ref="M178:M179"/>
    <mergeCell ref="N178:N179"/>
    <mergeCell ref="N176:N177"/>
    <mergeCell ref="B178:B179"/>
    <mergeCell ref="C178:C179"/>
    <mergeCell ref="D178:D179"/>
    <mergeCell ref="E178:E179"/>
    <mergeCell ref="F178:F179"/>
    <mergeCell ref="C190:C192"/>
    <mergeCell ref="F190:F191"/>
    <mergeCell ref="G190:G191"/>
    <mergeCell ref="C188:D188"/>
    <mergeCell ref="E188:F188"/>
    <mergeCell ref="I188:J188"/>
    <mergeCell ref="D189:F189"/>
    <mergeCell ref="H189:J189"/>
    <mergeCell ref="G197:G198"/>
    <mergeCell ref="H197:H198"/>
    <mergeCell ref="I197:I198"/>
    <mergeCell ref="N197:N198"/>
    <mergeCell ref="B193:B194"/>
    <mergeCell ref="C193:C194"/>
    <mergeCell ref="D193:D194"/>
    <mergeCell ref="E193:E194"/>
    <mergeCell ref="H190:H191"/>
    <mergeCell ref="J190:L190"/>
    <mergeCell ref="J191:J192"/>
    <mergeCell ref="K191:K192"/>
    <mergeCell ref="L191:L192"/>
    <mergeCell ref="B190:B192"/>
    <mergeCell ref="J193:J194"/>
    <mergeCell ref="K193:K194"/>
    <mergeCell ref="L193:L194"/>
    <mergeCell ref="M193:M194"/>
    <mergeCell ref="F193:F194"/>
    <mergeCell ref="G193:G194"/>
    <mergeCell ref="H193:H194"/>
    <mergeCell ref="I193:I194"/>
    <mergeCell ref="N203:N204"/>
    <mergeCell ref="N201:N202"/>
    <mergeCell ref="B203:B204"/>
    <mergeCell ref="C203:C204"/>
    <mergeCell ref="D203:D204"/>
    <mergeCell ref="E203:E204"/>
    <mergeCell ref="F203:F204"/>
    <mergeCell ref="G203:G204"/>
    <mergeCell ref="H203:H204"/>
    <mergeCell ref="M195:M196"/>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J197:J198"/>
    <mergeCell ref="K197:K198"/>
    <mergeCell ref="L197:L198"/>
    <mergeCell ref="M197:M198"/>
    <mergeCell ref="F197:F198"/>
    <mergeCell ref="K203:K204"/>
    <mergeCell ref="L203:L204"/>
    <mergeCell ref="I203:I204"/>
    <mergeCell ref="J203:J204"/>
    <mergeCell ref="J205:J206"/>
    <mergeCell ref="K205:K206"/>
    <mergeCell ref="L205:L206"/>
    <mergeCell ref="M205:M206"/>
    <mergeCell ref="F205:F206"/>
    <mergeCell ref="G205:G206"/>
    <mergeCell ref="H205:H206"/>
    <mergeCell ref="I205:I206"/>
    <mergeCell ref="M207:M208"/>
    <mergeCell ref="K199:K200"/>
    <mergeCell ref="L199:L200"/>
    <mergeCell ref="I199:I200"/>
    <mergeCell ref="J199:J200"/>
    <mergeCell ref="J201:J202"/>
    <mergeCell ref="K201:K202"/>
    <mergeCell ref="L201:L202"/>
    <mergeCell ref="M201:M202"/>
    <mergeCell ref="F201:F202"/>
    <mergeCell ref="G201:G202"/>
    <mergeCell ref="H201:H202"/>
    <mergeCell ref="I201:I202"/>
    <mergeCell ref="M203:M204"/>
    <mergeCell ref="N207:N208"/>
    <mergeCell ref="N205:N206"/>
    <mergeCell ref="B207:B208"/>
    <mergeCell ref="C207:C208"/>
    <mergeCell ref="D207:D208"/>
    <mergeCell ref="E207:E208"/>
    <mergeCell ref="F207:F208"/>
    <mergeCell ref="G207:G208"/>
    <mergeCell ref="H207:H208"/>
    <mergeCell ref="B209:B210"/>
    <mergeCell ref="C209:C210"/>
    <mergeCell ref="D209:D210"/>
    <mergeCell ref="E209:E210"/>
    <mergeCell ref="K207:K208"/>
    <mergeCell ref="L207:L208"/>
    <mergeCell ref="I207:I208"/>
    <mergeCell ref="J207:J208"/>
    <mergeCell ref="J209:J210"/>
    <mergeCell ref="K209:K210"/>
    <mergeCell ref="L209:L210"/>
    <mergeCell ref="M209:M210"/>
    <mergeCell ref="F209:F210"/>
    <mergeCell ref="G209:G210"/>
    <mergeCell ref="H209:H210"/>
    <mergeCell ref="I209:I210"/>
    <mergeCell ref="B205:B206"/>
    <mergeCell ref="C205:C206"/>
    <mergeCell ref="D205:D206"/>
    <mergeCell ref="E205:E206"/>
    <mergeCell ref="M211:M212"/>
    <mergeCell ref="N211:N212"/>
    <mergeCell ref="N209:N210"/>
    <mergeCell ref="B211:B212"/>
    <mergeCell ref="C211:C212"/>
    <mergeCell ref="D211:D212"/>
    <mergeCell ref="E211:E212"/>
    <mergeCell ref="F211:F212"/>
    <mergeCell ref="G211:G212"/>
    <mergeCell ref="H211:H212"/>
    <mergeCell ref="B213:B214"/>
    <mergeCell ref="C213:C214"/>
    <mergeCell ref="D213:D214"/>
    <mergeCell ref="E213:E214"/>
    <mergeCell ref="K211:K212"/>
    <mergeCell ref="L211:L212"/>
    <mergeCell ref="I211:I212"/>
    <mergeCell ref="J211:J212"/>
    <mergeCell ref="J213:J214"/>
    <mergeCell ref="K213:K214"/>
    <mergeCell ref="L213:L214"/>
    <mergeCell ref="M213:M214"/>
    <mergeCell ref="F213:F214"/>
    <mergeCell ref="G213:G214"/>
    <mergeCell ref="H213:H214"/>
    <mergeCell ref="I213:I214"/>
    <mergeCell ref="M215:M216"/>
    <mergeCell ref="N215:N216"/>
    <mergeCell ref="N213:N214"/>
    <mergeCell ref="B215:B216"/>
    <mergeCell ref="C215:C216"/>
    <mergeCell ref="D215:D216"/>
    <mergeCell ref="E215:E216"/>
    <mergeCell ref="F215:F216"/>
    <mergeCell ref="G215:G216"/>
    <mergeCell ref="H215:H216"/>
    <mergeCell ref="B217:B218"/>
    <mergeCell ref="C217:C218"/>
    <mergeCell ref="D217:D218"/>
    <mergeCell ref="E217:E218"/>
    <mergeCell ref="K215:K216"/>
    <mergeCell ref="L215:L216"/>
    <mergeCell ref="I215:I216"/>
    <mergeCell ref="J215:J216"/>
    <mergeCell ref="J217:J218"/>
    <mergeCell ref="K217:K218"/>
    <mergeCell ref="L217:L218"/>
    <mergeCell ref="L219:L220"/>
    <mergeCell ref="F217:F218"/>
    <mergeCell ref="G217:G218"/>
    <mergeCell ref="H217:H218"/>
    <mergeCell ref="I217:I218"/>
    <mergeCell ref="N217:N218"/>
    <mergeCell ref="M217:M218"/>
    <mergeCell ref="B219:B220"/>
    <mergeCell ref="C219:C220"/>
    <mergeCell ref="D219:D220"/>
    <mergeCell ref="E219:E220"/>
    <mergeCell ref="F219:F220"/>
    <mergeCell ref="G219:G220"/>
    <mergeCell ref="H219:H220"/>
    <mergeCell ref="I219:I220"/>
    <mergeCell ref="B221:B222"/>
    <mergeCell ref="C221:C222"/>
    <mergeCell ref="D221:D222"/>
    <mergeCell ref="E221:E222"/>
    <mergeCell ref="M219:M220"/>
    <mergeCell ref="N219:N220"/>
    <mergeCell ref="J219:J220"/>
    <mergeCell ref="H235:H236"/>
    <mergeCell ref="J235:L235"/>
    <mergeCell ref="J236:J237"/>
    <mergeCell ref="K236:K237"/>
    <mergeCell ref="L236:L237"/>
    <mergeCell ref="B235:B237"/>
    <mergeCell ref="J238:J239"/>
    <mergeCell ref="K238:K239"/>
    <mergeCell ref="L238:L239"/>
    <mergeCell ref="M238:M239"/>
    <mergeCell ref="F238:F239"/>
    <mergeCell ref="G238:G239"/>
    <mergeCell ref="H238:H239"/>
    <mergeCell ref="I238:I239"/>
    <mergeCell ref="J223:J224"/>
    <mergeCell ref="J221:J222"/>
    <mergeCell ref="K221:K222"/>
    <mergeCell ref="L221:L222"/>
    <mergeCell ref="M221:M222"/>
    <mergeCell ref="F221:F222"/>
    <mergeCell ref="G221:G222"/>
    <mergeCell ref="H221:H222"/>
    <mergeCell ref="I221:I222"/>
    <mergeCell ref="C235:C237"/>
    <mergeCell ref="F235:F236"/>
    <mergeCell ref="G235:G236"/>
    <mergeCell ref="G223:G224"/>
    <mergeCell ref="H223:H224"/>
    <mergeCell ref="I223:I224"/>
    <mergeCell ref="D223:D224"/>
    <mergeCell ref="E223:E224"/>
    <mergeCell ref="M240:M241"/>
    <mergeCell ref="N240:N241"/>
    <mergeCell ref="N238:N239"/>
    <mergeCell ref="B240:B241"/>
    <mergeCell ref="C240:C241"/>
    <mergeCell ref="D240:D241"/>
    <mergeCell ref="E240:E241"/>
    <mergeCell ref="F240:F241"/>
    <mergeCell ref="G240:G241"/>
    <mergeCell ref="H240:H241"/>
    <mergeCell ref="B242:B243"/>
    <mergeCell ref="C242:C243"/>
    <mergeCell ref="D242:D243"/>
    <mergeCell ref="E242:E243"/>
    <mergeCell ref="K240:K241"/>
    <mergeCell ref="L240:L241"/>
    <mergeCell ref="I240:I241"/>
    <mergeCell ref="J240:J241"/>
    <mergeCell ref="J242:J243"/>
    <mergeCell ref="K242:K243"/>
    <mergeCell ref="L242:L243"/>
    <mergeCell ref="M242:M243"/>
    <mergeCell ref="F242:F243"/>
    <mergeCell ref="G242:G243"/>
    <mergeCell ref="H242:H243"/>
    <mergeCell ref="I242:I243"/>
    <mergeCell ref="B238:B239"/>
    <mergeCell ref="C238:C239"/>
    <mergeCell ref="D238:D239"/>
    <mergeCell ref="E238:E239"/>
    <mergeCell ref="M244:M245"/>
    <mergeCell ref="N244:N245"/>
    <mergeCell ref="N242:N243"/>
    <mergeCell ref="B244:B245"/>
    <mergeCell ref="C244:C245"/>
    <mergeCell ref="D244:D245"/>
    <mergeCell ref="E244:E245"/>
    <mergeCell ref="F244:F245"/>
    <mergeCell ref="G244:G245"/>
    <mergeCell ref="H244:H245"/>
    <mergeCell ref="B246:B247"/>
    <mergeCell ref="C246:C247"/>
    <mergeCell ref="D246:D247"/>
    <mergeCell ref="E246:E247"/>
    <mergeCell ref="K244:K245"/>
    <mergeCell ref="L244:L245"/>
    <mergeCell ref="I244:I245"/>
    <mergeCell ref="J244:J245"/>
    <mergeCell ref="J246:J247"/>
    <mergeCell ref="K246:K247"/>
    <mergeCell ref="L246:L247"/>
    <mergeCell ref="M246:M247"/>
    <mergeCell ref="F246:F247"/>
    <mergeCell ref="G246:G247"/>
    <mergeCell ref="H246:H247"/>
    <mergeCell ref="I246:I247"/>
    <mergeCell ref="M248:M249"/>
    <mergeCell ref="N248:N249"/>
    <mergeCell ref="N246:N247"/>
    <mergeCell ref="B248:B249"/>
    <mergeCell ref="C248:C249"/>
    <mergeCell ref="D248:D249"/>
    <mergeCell ref="E248:E249"/>
    <mergeCell ref="F248:F249"/>
    <mergeCell ref="G248:G249"/>
    <mergeCell ref="H248:H249"/>
    <mergeCell ref="B250:B251"/>
    <mergeCell ref="C250:C251"/>
    <mergeCell ref="D250:D251"/>
    <mergeCell ref="E250:E251"/>
    <mergeCell ref="K248:K249"/>
    <mergeCell ref="L248:L249"/>
    <mergeCell ref="I248:I249"/>
    <mergeCell ref="J248:J249"/>
    <mergeCell ref="J250:J251"/>
    <mergeCell ref="K250:K251"/>
    <mergeCell ref="L250:L251"/>
    <mergeCell ref="M250:M251"/>
    <mergeCell ref="F250:F251"/>
    <mergeCell ref="G250:G251"/>
    <mergeCell ref="H250:H251"/>
    <mergeCell ref="I250:I251"/>
    <mergeCell ref="M252:M253"/>
    <mergeCell ref="N252:N253"/>
    <mergeCell ref="N250:N251"/>
    <mergeCell ref="B252:B253"/>
    <mergeCell ref="C252:C253"/>
    <mergeCell ref="D252:D253"/>
    <mergeCell ref="E252:E253"/>
    <mergeCell ref="F252:F253"/>
    <mergeCell ref="G252:G253"/>
    <mergeCell ref="H252:H253"/>
    <mergeCell ref="B254:B255"/>
    <mergeCell ref="C254:C255"/>
    <mergeCell ref="D254:D255"/>
    <mergeCell ref="E254:E255"/>
    <mergeCell ref="K252:K253"/>
    <mergeCell ref="L252:L253"/>
    <mergeCell ref="I252:I253"/>
    <mergeCell ref="J252:J253"/>
    <mergeCell ref="J254:J255"/>
    <mergeCell ref="K254:K255"/>
    <mergeCell ref="L254:L255"/>
    <mergeCell ref="M254:M255"/>
    <mergeCell ref="F254:F255"/>
    <mergeCell ref="G254:G255"/>
    <mergeCell ref="H254:H255"/>
    <mergeCell ref="I254:I255"/>
    <mergeCell ref="M256:M257"/>
    <mergeCell ref="N256:N257"/>
    <mergeCell ref="N254:N255"/>
    <mergeCell ref="B256:B257"/>
    <mergeCell ref="C256:C257"/>
    <mergeCell ref="D256:D257"/>
    <mergeCell ref="E256:E257"/>
    <mergeCell ref="F256:F257"/>
    <mergeCell ref="G256:G257"/>
    <mergeCell ref="H256:H257"/>
    <mergeCell ref="B258:B259"/>
    <mergeCell ref="C258:C259"/>
    <mergeCell ref="D258:D259"/>
    <mergeCell ref="E258:E259"/>
    <mergeCell ref="K256:K257"/>
    <mergeCell ref="L256:L257"/>
    <mergeCell ref="I256:I257"/>
    <mergeCell ref="J256:J257"/>
    <mergeCell ref="L258:L259"/>
    <mergeCell ref="K258:K259"/>
    <mergeCell ref="M258:M259"/>
    <mergeCell ref="F258:F259"/>
    <mergeCell ref="G258:G259"/>
    <mergeCell ref="H258:H259"/>
    <mergeCell ref="I258:I259"/>
    <mergeCell ref="B264:B265"/>
    <mergeCell ref="C264:C265"/>
    <mergeCell ref="D264:D265"/>
    <mergeCell ref="E264:E265"/>
    <mergeCell ref="F264:F265"/>
    <mergeCell ref="G264:G265"/>
    <mergeCell ref="G260:G261"/>
    <mergeCell ref="H260:H261"/>
    <mergeCell ref="I260:I261"/>
    <mergeCell ref="J260:J261"/>
    <mergeCell ref="J258:J259"/>
    <mergeCell ref="K260:K261"/>
    <mergeCell ref="L260:L261"/>
    <mergeCell ref="M260:M261"/>
    <mergeCell ref="N260:N261"/>
    <mergeCell ref="N258:N259"/>
    <mergeCell ref="B260:B261"/>
    <mergeCell ref="C260:C261"/>
    <mergeCell ref="D260:D261"/>
    <mergeCell ref="E260:E261"/>
    <mergeCell ref="F260:F261"/>
    <mergeCell ref="F262:F263"/>
    <mergeCell ref="G262:G263"/>
    <mergeCell ref="H262:H263"/>
    <mergeCell ref="I262:I263"/>
    <mergeCell ref="B262:B263"/>
    <mergeCell ref="C262:C263"/>
    <mergeCell ref="D262:D263"/>
    <mergeCell ref="E262:E263"/>
    <mergeCell ref="F266:F267"/>
    <mergeCell ref="G266:G267"/>
    <mergeCell ref="H266:H267"/>
    <mergeCell ref="I266:I267"/>
    <mergeCell ref="B266:B267"/>
    <mergeCell ref="C266:C267"/>
    <mergeCell ref="D266:D267"/>
    <mergeCell ref="E266:E267"/>
    <mergeCell ref="G268:G269"/>
    <mergeCell ref="H268:H269"/>
    <mergeCell ref="I268:I269"/>
    <mergeCell ref="J268:J269"/>
    <mergeCell ref="J266:J267"/>
    <mergeCell ref="K266:K267"/>
    <mergeCell ref="K268:K269"/>
    <mergeCell ref="Q234:R234"/>
    <mergeCell ref="N266:N267"/>
    <mergeCell ref="M266:M267"/>
    <mergeCell ref="K264:K265"/>
    <mergeCell ref="B268:B269"/>
    <mergeCell ref="C268:C269"/>
    <mergeCell ref="D268:D269"/>
    <mergeCell ref="E268:E269"/>
    <mergeCell ref="F268:F269"/>
    <mergeCell ref="M234:N234"/>
    <mergeCell ref="H264:H265"/>
    <mergeCell ref="I264:I265"/>
    <mergeCell ref="J264:J265"/>
    <mergeCell ref="J262:J263"/>
    <mergeCell ref="K262:K263"/>
    <mergeCell ref="L262:L263"/>
    <mergeCell ref="L264:L265"/>
    <mergeCell ref="Q189:R189"/>
    <mergeCell ref="K223:K224"/>
    <mergeCell ref="L223:L224"/>
    <mergeCell ref="M223:M224"/>
    <mergeCell ref="N223:N224"/>
    <mergeCell ref="K219:K220"/>
    <mergeCell ref="O234:P234"/>
    <mergeCell ref="Q9:R9"/>
    <mergeCell ref="L268:L269"/>
    <mergeCell ref="M268:M269"/>
    <mergeCell ref="N268:N269"/>
    <mergeCell ref="Q54:R54"/>
    <mergeCell ref="M54:N54"/>
    <mergeCell ref="O54:P54"/>
    <mergeCell ref="Q144:R144"/>
    <mergeCell ref="M144:N144"/>
    <mergeCell ref="N39:N40"/>
    <mergeCell ref="M41:M42"/>
    <mergeCell ref="N41:N42"/>
    <mergeCell ref="M43:M44"/>
    <mergeCell ref="K9:L9"/>
    <mergeCell ref="M9:N9"/>
    <mergeCell ref="M37:M38"/>
    <mergeCell ref="N23:N24"/>
    <mergeCell ref="M25:M26"/>
    <mergeCell ref="N25:N26"/>
    <mergeCell ref="K54:L54"/>
    <mergeCell ref="L266:L267"/>
    <mergeCell ref="M264:M265"/>
    <mergeCell ref="N264:N265"/>
    <mergeCell ref="N262:N263"/>
    <mergeCell ref="M262:M263"/>
    <mergeCell ref="B2:T2"/>
    <mergeCell ref="B3:T3"/>
    <mergeCell ref="B47:T47"/>
    <mergeCell ref="B48:T48"/>
    <mergeCell ref="S9:T9"/>
    <mergeCell ref="N43:N44"/>
    <mergeCell ref="N33:N34"/>
    <mergeCell ref="K144:L144"/>
    <mergeCell ref="C133:C134"/>
    <mergeCell ref="D133:D134"/>
    <mergeCell ref="E133:E134"/>
    <mergeCell ref="K234:L234"/>
    <mergeCell ref="C233:D233"/>
    <mergeCell ref="E233:F233"/>
    <mergeCell ref="I233:J233"/>
    <mergeCell ref="D234:F234"/>
    <mergeCell ref="H234:J234"/>
    <mergeCell ref="F223:F224"/>
    <mergeCell ref="C223:C224"/>
    <mergeCell ref="S144:T144"/>
    <mergeCell ref="K99:L99"/>
    <mergeCell ref="M99:N99"/>
    <mergeCell ref="O99:P99"/>
    <mergeCell ref="Q99:R99"/>
    <mergeCell ref="K133:K134"/>
    <mergeCell ref="L133:L134"/>
    <mergeCell ref="M133:M134"/>
    <mergeCell ref="N133:N134"/>
    <mergeCell ref="S234:T234"/>
    <mergeCell ref="K189:L189"/>
    <mergeCell ref="M189:N189"/>
    <mergeCell ref="O189:P189"/>
  </mergeCells>
  <phoneticPr fontId="0" type="noConversion"/>
  <pageMargins left="0" right="0" top="0" bottom="0" header="0.25" footer="0.25"/>
  <pageSetup orientation="landscape" horizontalDpi="360" r:id="rId1"/>
  <headerFooter alignWithMargins="0"/>
  <rowBreaks count="5" manualBreakCount="5">
    <brk id="45" max="16383" man="1"/>
    <brk id="90" max="16383" man="1"/>
    <brk id="135" max="16383" man="1"/>
    <brk id="180" max="16383" man="1"/>
    <brk id="22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9" r:id="rId4" name="Button 7">
              <controlPr defaultSize="0" print="0" autoFill="0" autoPict="0" macro="[0]!BACKTOMENU">
                <anchor moveWithCells="1">
                  <from>
                    <xdr:col>1</xdr:col>
                    <xdr:colOff>81643</xdr:colOff>
                    <xdr:row>1</xdr:row>
                    <xdr:rowOff>87086</xdr:rowOff>
                  </from>
                  <to>
                    <xdr:col>2</xdr:col>
                    <xdr:colOff>223157</xdr:colOff>
                    <xdr:row>2</xdr:row>
                    <xdr:rowOff>127907</xdr:rowOff>
                  </to>
                </anchor>
              </controlPr>
            </control>
          </mc:Choice>
        </mc:AlternateContent>
        <mc:AlternateContent xmlns:mc="http://schemas.openxmlformats.org/markup-compatibility/2006">
          <mc:Choice Requires="x14">
            <control shapeId="38920" r:id="rId5" name="Button 8">
              <controlPr defaultSize="0" print="0" autoFill="0" autoPict="0" macro="[0]!BACKTOMENU">
                <anchor moveWithCells="1">
                  <from>
                    <xdr:col>1</xdr:col>
                    <xdr:colOff>81643</xdr:colOff>
                    <xdr:row>46</xdr:row>
                    <xdr:rowOff>87086</xdr:rowOff>
                  </from>
                  <to>
                    <xdr:col>2</xdr:col>
                    <xdr:colOff>223157</xdr:colOff>
                    <xdr:row>47</xdr:row>
                    <xdr:rowOff>127907</xdr:rowOff>
                  </to>
                </anchor>
              </controlPr>
            </control>
          </mc:Choice>
        </mc:AlternateContent>
        <mc:AlternateContent xmlns:mc="http://schemas.openxmlformats.org/markup-compatibility/2006">
          <mc:Choice Requires="x14">
            <control shapeId="38921" r:id="rId6" name="Button 9">
              <controlPr defaultSize="0" print="0" autoFill="0" autoPict="0" macro="[0]!BACKTOMENU">
                <anchor moveWithCells="1">
                  <from>
                    <xdr:col>1</xdr:col>
                    <xdr:colOff>81643</xdr:colOff>
                    <xdr:row>91</xdr:row>
                    <xdr:rowOff>87086</xdr:rowOff>
                  </from>
                  <to>
                    <xdr:col>2</xdr:col>
                    <xdr:colOff>223157</xdr:colOff>
                    <xdr:row>92</xdr:row>
                    <xdr:rowOff>127907</xdr:rowOff>
                  </to>
                </anchor>
              </controlPr>
            </control>
          </mc:Choice>
        </mc:AlternateContent>
        <mc:AlternateContent xmlns:mc="http://schemas.openxmlformats.org/markup-compatibility/2006">
          <mc:Choice Requires="x14">
            <control shapeId="38922" r:id="rId7" name="Button 10">
              <controlPr defaultSize="0" print="0" autoFill="0" autoPict="0" macro="[0]!BACKTOMENU">
                <anchor moveWithCells="1">
                  <from>
                    <xdr:col>1</xdr:col>
                    <xdr:colOff>81643</xdr:colOff>
                    <xdr:row>136</xdr:row>
                    <xdr:rowOff>87086</xdr:rowOff>
                  </from>
                  <to>
                    <xdr:col>2</xdr:col>
                    <xdr:colOff>223157</xdr:colOff>
                    <xdr:row>137</xdr:row>
                    <xdr:rowOff>127907</xdr:rowOff>
                  </to>
                </anchor>
              </controlPr>
            </control>
          </mc:Choice>
        </mc:AlternateContent>
        <mc:AlternateContent xmlns:mc="http://schemas.openxmlformats.org/markup-compatibility/2006">
          <mc:Choice Requires="x14">
            <control shapeId="38923" r:id="rId8" name="Button 11">
              <controlPr defaultSize="0" print="0" autoFill="0" autoPict="0" macro="[0]!BACKTOMENU">
                <anchor moveWithCells="1">
                  <from>
                    <xdr:col>1</xdr:col>
                    <xdr:colOff>81643</xdr:colOff>
                    <xdr:row>181</xdr:row>
                    <xdr:rowOff>87086</xdr:rowOff>
                  </from>
                  <to>
                    <xdr:col>2</xdr:col>
                    <xdr:colOff>223157</xdr:colOff>
                    <xdr:row>182</xdr:row>
                    <xdr:rowOff>127907</xdr:rowOff>
                  </to>
                </anchor>
              </controlPr>
            </control>
          </mc:Choice>
        </mc:AlternateContent>
        <mc:AlternateContent xmlns:mc="http://schemas.openxmlformats.org/markup-compatibility/2006">
          <mc:Choice Requires="x14">
            <control shapeId="38924" r:id="rId9" name="Button 12">
              <controlPr defaultSize="0" print="0" autoFill="0" autoPict="0" macro="[0]!BACKTOMENU">
                <anchor moveWithCells="1">
                  <from>
                    <xdr:col>1</xdr:col>
                    <xdr:colOff>81643</xdr:colOff>
                    <xdr:row>226</xdr:row>
                    <xdr:rowOff>87086</xdr:rowOff>
                  </from>
                  <to>
                    <xdr:col>2</xdr:col>
                    <xdr:colOff>223157</xdr:colOff>
                    <xdr:row>227</xdr:row>
                    <xdr:rowOff>127907</xdr:rowOff>
                  </to>
                </anchor>
              </controlPr>
            </control>
          </mc:Choice>
        </mc:AlternateContent>
        <mc:AlternateContent xmlns:mc="http://schemas.openxmlformats.org/markup-compatibility/2006">
          <mc:Choice Requires="x14">
            <control shapeId="38925" r:id="rId10" name="Button 13">
              <controlPr defaultSize="0" print="0" autoFill="0" autoPict="0" macro="[0]!BACKTOMENU">
                <anchor moveWithCells="1">
                  <from>
                    <xdr:col>13</xdr:col>
                    <xdr:colOff>89807</xdr:colOff>
                    <xdr:row>1</xdr:row>
                    <xdr:rowOff>57150</xdr:rowOff>
                  </from>
                  <to>
                    <xdr:col>14</xdr:col>
                    <xdr:colOff>111579</xdr:colOff>
                    <xdr:row>5</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C7D680E4-183D-4370-99CF-047A519F5992}">
          <x14:formula1>
            <xm:f>'Data Validation'!$C$1:$D$1</xm:f>
          </x14:formula1>
          <xm:sqref>C7:E7</xm:sqref>
        </x14:dataValidation>
        <x14:dataValidation type="list" allowBlank="1" showInputMessage="1" showErrorMessage="1" xr:uid="{37CF413C-51BD-48A4-945A-4C666710CA99}">
          <x14:formula1>
            <xm:f>'Data Validation'!$C$4:$D$4</xm:f>
          </x14:formula1>
          <xm:sqref>D12</xm:sqref>
        </x14:dataValidation>
        <x14:dataValidation type="list" allowBlank="1" showInputMessage="1" showErrorMessage="1" xr:uid="{913F9FDC-DA83-49FD-8BAD-9C4CB595FFFB}">
          <x14:formula1>
            <xm:f>'Data Validation'!$C$2:$D$2</xm:f>
          </x14:formula1>
          <xm:sqref>I12</xm:sqref>
        </x14:dataValidation>
        <x14:dataValidation type="list" allowBlank="1" showInputMessage="1" showErrorMessage="1" xr:uid="{453CD996-E4AB-4EFB-AAF0-1933D01C4D98}">
          <x14:formula1>
            <xm:f>'Data Validation'!$C$13:$D$13</xm:f>
          </x14:formula1>
          <xm:sqref>O12</xm:sqref>
        </x14:dataValidation>
        <x14:dataValidation type="list" allowBlank="1" showInputMessage="1" showErrorMessage="1" xr:uid="{5BC9F769-B6A9-44D5-8F52-022EE69DB1CF}">
          <x14:formula1>
            <xm:f>'Data Validation'!$C$3:$D$3</xm:f>
          </x14:formula1>
          <xm:sqref>M12</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324B5-133D-4396-913B-8D0389A418B5}">
  <sheetPr codeName="Sheet41"/>
  <dimension ref="B1:T269"/>
  <sheetViews>
    <sheetView showGridLines="0" showZeros="0" view="pageBreakPreview" zoomScaleNormal="100" workbookViewId="0">
      <selection activeCell="D235" sqref="D235:O237"/>
    </sheetView>
  </sheetViews>
  <sheetFormatPr defaultColWidth="9.15234375" defaultRowHeight="13.1"/>
  <cols>
    <col min="1" max="1" width="1.57421875" style="23" customWidth="1"/>
    <col min="2" max="2" width="5.69140625" style="23" customWidth="1"/>
    <col min="3" max="5" width="6.421875" style="23" customWidth="1"/>
    <col min="6" max="9" width="6.69140625" style="23" customWidth="1"/>
    <col min="10" max="12" width="7.69140625" style="23" customWidth="1"/>
    <col min="13" max="14" width="8.265625" style="23" customWidth="1"/>
    <col min="15" max="19" width="6.69140625" style="23" customWidth="1"/>
    <col min="20" max="20" width="8.57421875" style="23" customWidth="1"/>
    <col min="21" max="21" width="3" style="23" customWidth="1"/>
    <col min="22" max="22" width="1.84375" style="23" customWidth="1"/>
    <col min="23" max="23" width="4.15234375" style="23" customWidth="1"/>
    <col min="24" max="24" width="2.265625" style="23" customWidth="1"/>
    <col min="25" max="25" width="4.265625" style="23" customWidth="1"/>
    <col min="26" max="16384" width="9.15234375" style="23"/>
  </cols>
  <sheetData>
    <row r="1" spans="2:20" ht="13.75" thickBot="1"/>
    <row r="2" spans="2:20">
      <c r="B2" s="2406">
        <f>Summary!A2</f>
        <v>0</v>
      </c>
      <c r="C2" s="2407"/>
      <c r="D2" s="2407"/>
      <c r="E2" s="2407"/>
      <c r="F2" s="2407"/>
      <c r="G2" s="2407"/>
      <c r="H2" s="2407"/>
      <c r="I2" s="2407"/>
      <c r="J2" s="2407"/>
      <c r="K2" s="2407"/>
      <c r="L2" s="2407"/>
      <c r="M2" s="2407"/>
      <c r="N2" s="2407"/>
      <c r="O2" s="2407"/>
      <c r="P2" s="2407"/>
      <c r="Q2" s="2407"/>
      <c r="R2" s="2407"/>
      <c r="S2" s="2407"/>
      <c r="T2" s="2408"/>
    </row>
    <row r="3" spans="2:20">
      <c r="B3" s="1790" t="s">
        <v>1453</v>
      </c>
      <c r="C3" s="1659"/>
      <c r="D3" s="1659"/>
      <c r="E3" s="1659"/>
      <c r="F3" s="1659"/>
      <c r="G3" s="1659"/>
      <c r="H3" s="1659"/>
      <c r="I3" s="1659"/>
      <c r="J3" s="1659"/>
      <c r="K3" s="1659"/>
      <c r="L3" s="1659"/>
      <c r="M3" s="1659"/>
      <c r="N3" s="1659"/>
      <c r="O3" s="1659"/>
      <c r="P3" s="1659"/>
      <c r="Q3" s="1659"/>
      <c r="R3" s="1659"/>
      <c r="S3" s="1659"/>
      <c r="T3" s="1778"/>
    </row>
    <row r="4" spans="2:20">
      <c r="B4" s="84"/>
      <c r="P4" s="120" t="s">
        <v>729</v>
      </c>
      <c r="Q4" s="4">
        <f>IF(B13&gt;0,1,0)</f>
        <v>0</v>
      </c>
      <c r="R4" s="4"/>
      <c r="S4" s="120" t="s">
        <v>730</v>
      </c>
      <c r="T4" s="133">
        <f>IF(T49=2,2,Q4)</f>
        <v>0</v>
      </c>
    </row>
    <row r="5" spans="2:20">
      <c r="B5" s="84"/>
      <c r="E5"/>
      <c r="T5" s="39"/>
    </row>
    <row r="6" spans="2:20">
      <c r="B6" s="947" t="s">
        <v>634</v>
      </c>
      <c r="C6" s="23">
        <f>Summary!C6</f>
        <v>0</v>
      </c>
      <c r="T6" s="39"/>
    </row>
    <row r="7" spans="2:20">
      <c r="B7" s="84" t="str">
        <f>Swab!B7</f>
        <v>Units:</v>
      </c>
      <c r="C7" s="2456" t="s">
        <v>1521</v>
      </c>
      <c r="D7" s="2456"/>
      <c r="E7" s="2456"/>
      <c r="T7" s="39"/>
    </row>
    <row r="8" spans="2:20">
      <c r="B8" s="84" t="s">
        <v>221</v>
      </c>
      <c r="C8" s="2416"/>
      <c r="D8" s="2416"/>
      <c r="E8" s="2000" t="s">
        <v>736</v>
      </c>
      <c r="F8" s="2000"/>
      <c r="G8" s="23">
        <v>0</v>
      </c>
      <c r="I8" s="1659" t="s">
        <v>737</v>
      </c>
      <c r="J8" s="1659"/>
      <c r="K8" s="168">
        <f>IF(Summary!C21=0,0,CONCATENATE(Summary!C21,Summary!C16," ",Summary!D21," ",Summary!D16))</f>
        <v>0</v>
      </c>
      <c r="N8" s="23" t="s">
        <v>660</v>
      </c>
      <c r="P8" s="23">
        <f>Summary!C63</f>
        <v>0</v>
      </c>
      <c r="T8" s="39"/>
    </row>
    <row r="9" spans="2:20">
      <c r="B9" s="84"/>
      <c r="D9" s="2417" t="s">
        <v>805</v>
      </c>
      <c r="E9" s="2417"/>
      <c r="F9" s="2417"/>
      <c r="G9" s="367">
        <v>0</v>
      </c>
      <c r="H9" s="2418" t="s">
        <v>1003</v>
      </c>
      <c r="I9" s="2418"/>
      <c r="J9" s="2418"/>
      <c r="K9" s="2409">
        <f>Summary!C32</f>
        <v>0</v>
      </c>
      <c r="L9" s="2409"/>
      <c r="M9" s="2409">
        <f>Summary!C33</f>
        <v>0</v>
      </c>
      <c r="N9" s="2409"/>
      <c r="O9" s="2409">
        <f>Summary!C34</f>
        <v>0</v>
      </c>
      <c r="P9" s="2409"/>
      <c r="Q9" s="2409">
        <f>Summary!C35</f>
        <v>0</v>
      </c>
      <c r="R9" s="2409"/>
      <c r="S9" s="2409"/>
      <c r="T9" s="2410"/>
    </row>
    <row r="10" spans="2:20">
      <c r="B10" s="2437" t="s">
        <v>208</v>
      </c>
      <c r="C10" s="2440" t="s">
        <v>738</v>
      </c>
      <c r="D10" s="362" t="s">
        <v>209</v>
      </c>
      <c r="E10" s="362" t="s">
        <v>207</v>
      </c>
      <c r="F10" s="2444" t="s">
        <v>210</v>
      </c>
      <c r="G10" s="2444" t="s">
        <v>210</v>
      </c>
      <c r="H10" s="2444" t="s">
        <v>209</v>
      </c>
      <c r="I10" s="362" t="s">
        <v>801</v>
      </c>
      <c r="J10" s="2446" t="s">
        <v>802</v>
      </c>
      <c r="K10" s="2447"/>
      <c r="L10" s="2448"/>
      <c r="M10" s="362" t="s">
        <v>204</v>
      </c>
      <c r="N10" s="362" t="s">
        <v>260</v>
      </c>
      <c r="O10" s="1310" t="s">
        <v>270</v>
      </c>
      <c r="P10" s="2450" t="s">
        <v>212</v>
      </c>
      <c r="Q10" s="2450"/>
      <c r="R10" s="2450"/>
      <c r="S10" s="2450"/>
      <c r="T10" s="2451"/>
    </row>
    <row r="11" spans="2:20">
      <c r="B11" s="2438"/>
      <c r="C11" s="2441"/>
      <c r="D11" s="363" t="s">
        <v>214</v>
      </c>
      <c r="E11" s="363" t="s">
        <v>215</v>
      </c>
      <c r="F11" s="2445"/>
      <c r="G11" s="2445"/>
      <c r="H11" s="2445"/>
      <c r="I11" s="363" t="s">
        <v>209</v>
      </c>
      <c r="J11" s="2444" t="s">
        <v>803</v>
      </c>
      <c r="K11" s="2444" t="s">
        <v>804</v>
      </c>
      <c r="L11" s="2431" t="str">
        <f>CONCATENATE('Daily Load'!J532,"%")</f>
        <v>Other (1)%</v>
      </c>
      <c r="M11" s="363" t="s">
        <v>217</v>
      </c>
      <c r="N11" s="363" t="s">
        <v>217</v>
      </c>
      <c r="O11" s="1311" t="s">
        <v>481</v>
      </c>
      <c r="P11" s="2452"/>
      <c r="Q11" s="2452"/>
      <c r="R11" s="2452"/>
      <c r="S11" s="2452"/>
      <c r="T11" s="2453"/>
    </row>
    <row r="12" spans="2:20">
      <c r="B12" s="2439"/>
      <c r="C12" s="2442"/>
      <c r="D12" s="364" t="s">
        <v>1526</v>
      </c>
      <c r="E12" s="364" t="str">
        <f>D12</f>
        <v xml:space="preserve">m </v>
      </c>
      <c r="F12" s="364" t="s">
        <v>211</v>
      </c>
      <c r="G12" s="364" t="s">
        <v>739</v>
      </c>
      <c r="H12" s="742" t="s">
        <v>739</v>
      </c>
      <c r="I12" s="364" t="s">
        <v>218</v>
      </c>
      <c r="J12" s="2449"/>
      <c r="K12" s="2449"/>
      <c r="L12" s="2436"/>
      <c r="M12" s="364" t="s">
        <v>509</v>
      </c>
      <c r="N12" s="364" t="str">
        <f>M12</f>
        <v>kPa</v>
      </c>
      <c r="O12" s="1626" t="s">
        <v>1081</v>
      </c>
      <c r="P12" s="2454"/>
      <c r="Q12" s="2454"/>
      <c r="R12" s="2454"/>
      <c r="S12" s="2454"/>
      <c r="T12" s="2455"/>
    </row>
    <row r="13" spans="2:20">
      <c r="B13" s="2425">
        <v>0</v>
      </c>
      <c r="C13" s="2411"/>
      <c r="D13" s="2411"/>
      <c r="E13" s="2411"/>
      <c r="F13" s="2419">
        <f>G9</f>
        <v>0</v>
      </c>
      <c r="G13" s="2419">
        <f>F13-G9</f>
        <v>0</v>
      </c>
      <c r="H13" s="2422">
        <f>G13*G8</f>
        <v>0</v>
      </c>
      <c r="I13" s="2422">
        <f>H13</f>
        <v>0</v>
      </c>
      <c r="J13" s="2419">
        <v>0</v>
      </c>
      <c r="K13" s="2419">
        <v>0</v>
      </c>
      <c r="L13" s="2419">
        <f>IF(H13=0,0,IF((100-J13-K13)&lt;0,0,100-J13-K13))</f>
        <v>0</v>
      </c>
      <c r="M13" s="2411"/>
      <c r="N13" s="2411"/>
      <c r="O13" s="2443"/>
      <c r="P13" s="758"/>
      <c r="Q13" s="758"/>
      <c r="R13" s="758"/>
      <c r="S13" s="758"/>
      <c r="T13" s="759"/>
    </row>
    <row r="14" spans="2:20">
      <c r="B14" s="2426"/>
      <c r="C14" s="2413"/>
      <c r="D14" s="2413"/>
      <c r="E14" s="2413"/>
      <c r="F14" s="2421"/>
      <c r="G14" s="2421"/>
      <c r="H14" s="2423"/>
      <c r="I14" s="2423"/>
      <c r="J14" s="2421"/>
      <c r="K14" s="2421"/>
      <c r="L14" s="2421"/>
      <c r="M14" s="2413"/>
      <c r="N14" s="2413"/>
      <c r="O14" s="2443"/>
      <c r="P14" s="173"/>
      <c r="Q14" s="173"/>
      <c r="R14" s="173"/>
      <c r="S14" s="173"/>
      <c r="T14" s="760"/>
    </row>
    <row r="15" spans="2:20">
      <c r="B15" s="2425"/>
      <c r="C15" s="2411"/>
      <c r="D15" s="2414"/>
      <c r="E15" s="2411"/>
      <c r="F15" s="2419">
        <f>F13</f>
        <v>0</v>
      </c>
      <c r="G15" s="2419">
        <f>F15-F13</f>
        <v>0</v>
      </c>
      <c r="H15" s="2422">
        <f>G15*G8</f>
        <v>0</v>
      </c>
      <c r="I15" s="2422">
        <f>I13+H15</f>
        <v>0</v>
      </c>
      <c r="J15" s="2419">
        <v>0</v>
      </c>
      <c r="K15" s="2419"/>
      <c r="L15" s="2419">
        <f>IF(H15=0,0,IF((100-J15-K15)&lt;0,0,100-J15-K15))</f>
        <v>0</v>
      </c>
      <c r="M15" s="2411"/>
      <c r="N15" s="2411"/>
      <c r="O15" s="2443"/>
      <c r="P15" s="758"/>
      <c r="Q15" s="758"/>
      <c r="R15" s="758"/>
      <c r="S15" s="758"/>
      <c r="T15" s="759"/>
    </row>
    <row r="16" spans="2:20">
      <c r="B16" s="2426"/>
      <c r="C16" s="2413"/>
      <c r="D16" s="2427"/>
      <c r="E16" s="2413"/>
      <c r="F16" s="2421"/>
      <c r="G16" s="2421"/>
      <c r="H16" s="2423"/>
      <c r="I16" s="2424"/>
      <c r="J16" s="2421"/>
      <c r="K16" s="2421"/>
      <c r="L16" s="2421"/>
      <c r="M16" s="2413"/>
      <c r="N16" s="2413"/>
      <c r="O16" s="2443"/>
      <c r="P16" s="173"/>
      <c r="Q16" s="173"/>
      <c r="R16" s="173"/>
      <c r="S16" s="173"/>
      <c r="T16" s="760"/>
    </row>
    <row r="17" spans="2:20">
      <c r="B17" s="2425"/>
      <c r="C17" s="2411"/>
      <c r="D17" s="2414"/>
      <c r="E17" s="2411"/>
      <c r="F17" s="2419">
        <f>F15</f>
        <v>0</v>
      </c>
      <c r="G17" s="2419">
        <f>F17-F15</f>
        <v>0</v>
      </c>
      <c r="H17" s="2422">
        <f>G17*G8</f>
        <v>0</v>
      </c>
      <c r="I17" s="2422">
        <f>I15+H17</f>
        <v>0</v>
      </c>
      <c r="J17" s="2419"/>
      <c r="K17" s="2419"/>
      <c r="L17" s="2419">
        <f>IF(H17=0,0,IF((100-J17-K17)&lt;0,0,100-J17-K17))</f>
        <v>0</v>
      </c>
      <c r="M17" s="2411"/>
      <c r="N17" s="2411"/>
      <c r="O17" s="2443"/>
      <c r="P17" s="758"/>
      <c r="Q17" s="758"/>
      <c r="R17" s="758"/>
      <c r="S17" s="758"/>
      <c r="T17" s="759"/>
    </row>
    <row r="18" spans="2:20">
      <c r="B18" s="2426"/>
      <c r="C18" s="2413"/>
      <c r="D18" s="2427"/>
      <c r="E18" s="2413"/>
      <c r="F18" s="2421"/>
      <c r="G18" s="2421"/>
      <c r="H18" s="2423"/>
      <c r="I18" s="2424"/>
      <c r="J18" s="2421"/>
      <c r="K18" s="2421"/>
      <c r="L18" s="2421"/>
      <c r="M18" s="2413"/>
      <c r="N18" s="2413"/>
      <c r="O18" s="2443"/>
      <c r="P18" s="173"/>
      <c r="Q18" s="173"/>
      <c r="R18" s="173"/>
      <c r="S18" s="173"/>
      <c r="T18" s="760"/>
    </row>
    <row r="19" spans="2:20">
      <c r="B19" s="2425"/>
      <c r="C19" s="2411"/>
      <c r="D19" s="2414"/>
      <c r="E19" s="2411"/>
      <c r="F19" s="2419">
        <f>F17</f>
        <v>0</v>
      </c>
      <c r="G19" s="2419">
        <f>F19-F17</f>
        <v>0</v>
      </c>
      <c r="H19" s="2422">
        <f>G19*G8</f>
        <v>0</v>
      </c>
      <c r="I19" s="2422">
        <f>I17+H19</f>
        <v>0</v>
      </c>
      <c r="J19" s="2419"/>
      <c r="K19" s="2419"/>
      <c r="L19" s="2419">
        <f>IF(H19=0,0,IF((100-J19-K19)&lt;0,0,100-J19-K19))</f>
        <v>0</v>
      </c>
      <c r="M19" s="2411"/>
      <c r="N19" s="2411"/>
      <c r="O19" s="2443"/>
      <c r="P19" s="758"/>
      <c r="Q19" s="758"/>
      <c r="R19" s="758"/>
      <c r="S19" s="758"/>
      <c r="T19" s="759"/>
    </row>
    <row r="20" spans="2:20">
      <c r="B20" s="2426"/>
      <c r="C20" s="2413"/>
      <c r="D20" s="2427"/>
      <c r="E20" s="2413"/>
      <c r="F20" s="2421"/>
      <c r="G20" s="2421"/>
      <c r="H20" s="2423"/>
      <c r="I20" s="2424"/>
      <c r="J20" s="2421"/>
      <c r="K20" s="2421"/>
      <c r="L20" s="2421"/>
      <c r="M20" s="2413"/>
      <c r="N20" s="2413"/>
      <c r="O20" s="2443"/>
      <c r="P20" s="173"/>
      <c r="Q20" s="173"/>
      <c r="R20" s="173"/>
      <c r="S20" s="173"/>
      <c r="T20" s="760"/>
    </row>
    <row r="21" spans="2:20">
      <c r="B21" s="2425"/>
      <c r="C21" s="2411"/>
      <c r="D21" s="2414"/>
      <c r="E21" s="2411"/>
      <c r="F21" s="2419">
        <f>F19</f>
        <v>0</v>
      </c>
      <c r="G21" s="2419">
        <f>F21-F19</f>
        <v>0</v>
      </c>
      <c r="H21" s="2422">
        <f>G21*G8</f>
        <v>0</v>
      </c>
      <c r="I21" s="2422">
        <f>I19+H21</f>
        <v>0</v>
      </c>
      <c r="J21" s="2419"/>
      <c r="K21" s="2419"/>
      <c r="L21" s="2419">
        <f>IF(H21=0,0,IF((100-J21-K21)&lt;0,0,100-J21-K21))</f>
        <v>0</v>
      </c>
      <c r="M21" s="2411"/>
      <c r="N21" s="2411"/>
      <c r="O21" s="2443"/>
      <c r="P21" s="758"/>
      <c r="Q21" s="758"/>
      <c r="R21" s="758"/>
      <c r="S21" s="758"/>
      <c r="T21" s="759"/>
    </row>
    <row r="22" spans="2:20">
      <c r="B22" s="2426"/>
      <c r="C22" s="2413"/>
      <c r="D22" s="2427"/>
      <c r="E22" s="2413"/>
      <c r="F22" s="2421"/>
      <c r="G22" s="2421"/>
      <c r="H22" s="2423"/>
      <c r="I22" s="2424"/>
      <c r="J22" s="2421"/>
      <c r="K22" s="2421"/>
      <c r="L22" s="2421"/>
      <c r="M22" s="2413"/>
      <c r="N22" s="2413"/>
      <c r="O22" s="2443"/>
      <c r="P22" s="173"/>
      <c r="Q22" s="173"/>
      <c r="R22" s="173"/>
      <c r="S22" s="173"/>
      <c r="T22" s="760"/>
    </row>
    <row r="23" spans="2:20">
      <c r="B23" s="2425"/>
      <c r="C23" s="2411"/>
      <c r="D23" s="2414"/>
      <c r="E23" s="2411"/>
      <c r="F23" s="2419">
        <f>F21</f>
        <v>0</v>
      </c>
      <c r="G23" s="2419">
        <f>F23-F21</f>
        <v>0</v>
      </c>
      <c r="H23" s="2422">
        <f>G23*G8</f>
        <v>0</v>
      </c>
      <c r="I23" s="2422">
        <f>I21+H23</f>
        <v>0</v>
      </c>
      <c r="J23" s="2419"/>
      <c r="K23" s="2419"/>
      <c r="L23" s="2419">
        <f>IF(H23=0,0,IF((100-J23-K23)&lt;0,0,100-J23-K23))</f>
        <v>0</v>
      </c>
      <c r="M23" s="2411"/>
      <c r="N23" s="2411"/>
      <c r="O23" s="2443"/>
      <c r="P23" s="758"/>
      <c r="Q23" s="758"/>
      <c r="R23" s="758"/>
      <c r="S23" s="758"/>
      <c r="T23" s="759"/>
    </row>
    <row r="24" spans="2:20">
      <c r="B24" s="2426"/>
      <c r="C24" s="2413"/>
      <c r="D24" s="2427"/>
      <c r="E24" s="2413"/>
      <c r="F24" s="2421"/>
      <c r="G24" s="2421"/>
      <c r="H24" s="2423"/>
      <c r="I24" s="2424"/>
      <c r="J24" s="2421"/>
      <c r="K24" s="2421"/>
      <c r="L24" s="2421"/>
      <c r="M24" s="2413"/>
      <c r="N24" s="2413"/>
      <c r="O24" s="2443"/>
      <c r="P24" s="173"/>
      <c r="Q24" s="173"/>
      <c r="R24" s="173"/>
      <c r="S24" s="173"/>
      <c r="T24" s="760"/>
    </row>
    <row r="25" spans="2:20">
      <c r="B25" s="2425"/>
      <c r="C25" s="2411"/>
      <c r="D25" s="2414"/>
      <c r="E25" s="2411"/>
      <c r="F25" s="2419">
        <f>F23</f>
        <v>0</v>
      </c>
      <c r="G25" s="2419">
        <f>F25-F23</f>
        <v>0</v>
      </c>
      <c r="H25" s="2422">
        <f>G25*G8</f>
        <v>0</v>
      </c>
      <c r="I25" s="2422">
        <f>I23+H25</f>
        <v>0</v>
      </c>
      <c r="J25" s="2419"/>
      <c r="K25" s="2419"/>
      <c r="L25" s="2419">
        <f>IF(H25=0,0,IF((100-J25-K25)&lt;0,0,100-J25-K25))</f>
        <v>0</v>
      </c>
      <c r="M25" s="2411"/>
      <c r="N25" s="2411"/>
      <c r="O25" s="2443"/>
      <c r="P25" s="758"/>
      <c r="Q25" s="758"/>
      <c r="R25" s="758"/>
      <c r="S25" s="758"/>
      <c r="T25" s="759"/>
    </row>
    <row r="26" spans="2:20">
      <c r="B26" s="2426"/>
      <c r="C26" s="2413"/>
      <c r="D26" s="2427"/>
      <c r="E26" s="2413"/>
      <c r="F26" s="2421"/>
      <c r="G26" s="2421"/>
      <c r="H26" s="2423"/>
      <c r="I26" s="2424"/>
      <c r="J26" s="2421"/>
      <c r="K26" s="2421"/>
      <c r="L26" s="2421"/>
      <c r="M26" s="2413"/>
      <c r="N26" s="2413"/>
      <c r="O26" s="2443"/>
      <c r="P26" s="173"/>
      <c r="Q26" s="173"/>
      <c r="R26" s="173"/>
      <c r="S26" s="173"/>
      <c r="T26" s="760"/>
    </row>
    <row r="27" spans="2:20">
      <c r="B27" s="2425"/>
      <c r="C27" s="2411"/>
      <c r="D27" s="2414"/>
      <c r="E27" s="2411"/>
      <c r="F27" s="2419">
        <f>F25</f>
        <v>0</v>
      </c>
      <c r="G27" s="2419">
        <f>F27-F25</f>
        <v>0</v>
      </c>
      <c r="H27" s="2422">
        <f>G27*G8</f>
        <v>0</v>
      </c>
      <c r="I27" s="2422">
        <f>I25+H27</f>
        <v>0</v>
      </c>
      <c r="J27" s="2419"/>
      <c r="K27" s="2419"/>
      <c r="L27" s="2419">
        <f>IF(H27=0,0,IF((100-J27-K27)&lt;0,0,100-J27-K27))</f>
        <v>0</v>
      </c>
      <c r="M27" s="2411"/>
      <c r="N27" s="2411"/>
      <c r="O27" s="2443"/>
      <c r="P27" s="758"/>
      <c r="Q27" s="758"/>
      <c r="R27" s="758"/>
      <c r="S27" s="758"/>
      <c r="T27" s="759"/>
    </row>
    <row r="28" spans="2:20">
      <c r="B28" s="2426"/>
      <c r="C28" s="2413"/>
      <c r="D28" s="2427"/>
      <c r="E28" s="2413"/>
      <c r="F28" s="2421"/>
      <c r="G28" s="2421"/>
      <c r="H28" s="2423"/>
      <c r="I28" s="2424"/>
      <c r="J28" s="2421"/>
      <c r="K28" s="2421"/>
      <c r="L28" s="2421"/>
      <c r="M28" s="2413"/>
      <c r="N28" s="2413"/>
      <c r="O28" s="2443"/>
      <c r="P28" s="173"/>
      <c r="Q28" s="173"/>
      <c r="R28" s="173"/>
      <c r="S28" s="173"/>
      <c r="T28" s="760"/>
    </row>
    <row r="29" spans="2:20">
      <c r="B29" s="2425"/>
      <c r="C29" s="2411"/>
      <c r="D29" s="2414"/>
      <c r="E29" s="2411"/>
      <c r="F29" s="2419">
        <f>F27</f>
        <v>0</v>
      </c>
      <c r="G29" s="2419">
        <f>F29-F27</f>
        <v>0</v>
      </c>
      <c r="H29" s="2422">
        <f>G29*G8</f>
        <v>0</v>
      </c>
      <c r="I29" s="2422">
        <f>I27+H29</f>
        <v>0</v>
      </c>
      <c r="J29" s="2419"/>
      <c r="K29" s="2419"/>
      <c r="L29" s="2419">
        <f>IF(H29=0,0,IF((100-J29-K29)&lt;0,0,100-J29-K29))</f>
        <v>0</v>
      </c>
      <c r="M29" s="2411"/>
      <c r="N29" s="2411"/>
      <c r="O29" s="2443"/>
      <c r="P29" s="758"/>
      <c r="Q29" s="758"/>
      <c r="R29" s="758"/>
      <c r="S29" s="758"/>
      <c r="T29" s="759"/>
    </row>
    <row r="30" spans="2:20">
      <c r="B30" s="2426"/>
      <c r="C30" s="2413"/>
      <c r="D30" s="2427"/>
      <c r="E30" s="2413"/>
      <c r="F30" s="2421"/>
      <c r="G30" s="2421"/>
      <c r="H30" s="2423"/>
      <c r="I30" s="2424"/>
      <c r="J30" s="2421"/>
      <c r="K30" s="2421"/>
      <c r="L30" s="2421"/>
      <c r="M30" s="2413"/>
      <c r="N30" s="2413"/>
      <c r="O30" s="2443"/>
      <c r="P30" s="173"/>
      <c r="Q30" s="173"/>
      <c r="R30" s="173"/>
      <c r="S30" s="173"/>
      <c r="T30" s="760"/>
    </row>
    <row r="31" spans="2:20">
      <c r="B31" s="2425"/>
      <c r="C31" s="2411"/>
      <c r="D31" s="2414"/>
      <c r="E31" s="2411"/>
      <c r="F31" s="2419">
        <f>F29</f>
        <v>0</v>
      </c>
      <c r="G31" s="2419">
        <f>F31-F29</f>
        <v>0</v>
      </c>
      <c r="H31" s="2422">
        <f>G31*G8</f>
        <v>0</v>
      </c>
      <c r="I31" s="2422">
        <f>I29+H31</f>
        <v>0</v>
      </c>
      <c r="J31" s="2419"/>
      <c r="K31" s="2419"/>
      <c r="L31" s="2419">
        <f>IF(H31=0,0,IF((100-J31-K31)&lt;0,0,100-J31-K31))</f>
        <v>0</v>
      </c>
      <c r="M31" s="2411"/>
      <c r="N31" s="2411"/>
      <c r="O31" s="2443"/>
      <c r="P31" s="758"/>
      <c r="Q31" s="758"/>
      <c r="R31" s="758"/>
      <c r="S31" s="758"/>
      <c r="T31" s="759"/>
    </row>
    <row r="32" spans="2:20">
      <c r="B32" s="2426"/>
      <c r="C32" s="2413"/>
      <c r="D32" s="2427"/>
      <c r="E32" s="2413"/>
      <c r="F32" s="2421"/>
      <c r="G32" s="2421"/>
      <c r="H32" s="2423"/>
      <c r="I32" s="2424"/>
      <c r="J32" s="2421"/>
      <c r="K32" s="2421"/>
      <c r="L32" s="2421"/>
      <c r="M32" s="2413"/>
      <c r="N32" s="2413"/>
      <c r="O32" s="2443"/>
      <c r="P32" s="173"/>
      <c r="Q32" s="173"/>
      <c r="R32" s="173"/>
      <c r="S32" s="173"/>
      <c r="T32" s="760"/>
    </row>
    <row r="33" spans="2:20">
      <c r="B33" s="2425"/>
      <c r="C33" s="2411"/>
      <c r="D33" s="2414"/>
      <c r="E33" s="2411"/>
      <c r="F33" s="2419">
        <f>F31</f>
        <v>0</v>
      </c>
      <c r="G33" s="2419">
        <f>F33-F31</f>
        <v>0</v>
      </c>
      <c r="H33" s="2422">
        <f>G33*G8</f>
        <v>0</v>
      </c>
      <c r="I33" s="2422">
        <f>I31+H33</f>
        <v>0</v>
      </c>
      <c r="J33" s="2419"/>
      <c r="K33" s="2419"/>
      <c r="L33" s="2419">
        <f>IF(H33=0,0,IF((100-J33-K33)&lt;0,0,100-J33-K33))</f>
        <v>0</v>
      </c>
      <c r="M33" s="2411"/>
      <c r="N33" s="2411"/>
      <c r="O33" s="2443"/>
      <c r="P33" s="758"/>
      <c r="Q33" s="758"/>
      <c r="R33" s="758"/>
      <c r="S33" s="758"/>
      <c r="T33" s="759"/>
    </row>
    <row r="34" spans="2:20">
      <c r="B34" s="2426"/>
      <c r="C34" s="2413"/>
      <c r="D34" s="2427"/>
      <c r="E34" s="2413"/>
      <c r="F34" s="2421"/>
      <c r="G34" s="2421"/>
      <c r="H34" s="2423"/>
      <c r="I34" s="2424"/>
      <c r="J34" s="2421"/>
      <c r="K34" s="2421"/>
      <c r="L34" s="2421"/>
      <c r="M34" s="2413"/>
      <c r="N34" s="2413"/>
      <c r="O34" s="2443"/>
      <c r="P34" s="173"/>
      <c r="Q34" s="173"/>
      <c r="R34" s="173"/>
      <c r="S34" s="173"/>
      <c r="T34" s="760"/>
    </row>
    <row r="35" spans="2:20">
      <c r="B35" s="2425"/>
      <c r="C35" s="2411"/>
      <c r="D35" s="2414"/>
      <c r="E35" s="2411"/>
      <c r="F35" s="2419">
        <f>F33</f>
        <v>0</v>
      </c>
      <c r="G35" s="2419">
        <f>F35-F33</f>
        <v>0</v>
      </c>
      <c r="H35" s="2422">
        <f>G35*G8</f>
        <v>0</v>
      </c>
      <c r="I35" s="2422">
        <f>I33+H35</f>
        <v>0</v>
      </c>
      <c r="J35" s="2419"/>
      <c r="K35" s="2419"/>
      <c r="L35" s="2419">
        <f>IF(H35=0,0,IF((100-J35-K35)&lt;0,0,100-J35-K35))</f>
        <v>0</v>
      </c>
      <c r="M35" s="2411"/>
      <c r="N35" s="2411"/>
      <c r="O35" s="2443"/>
      <c r="P35" s="758"/>
      <c r="Q35" s="758"/>
      <c r="R35" s="758"/>
      <c r="S35" s="758"/>
      <c r="T35" s="759"/>
    </row>
    <row r="36" spans="2:20">
      <c r="B36" s="2426"/>
      <c r="C36" s="2413"/>
      <c r="D36" s="2427"/>
      <c r="E36" s="2413"/>
      <c r="F36" s="2421"/>
      <c r="G36" s="2421"/>
      <c r="H36" s="2423"/>
      <c r="I36" s="2424"/>
      <c r="J36" s="2421"/>
      <c r="K36" s="2421"/>
      <c r="L36" s="2421"/>
      <c r="M36" s="2413"/>
      <c r="N36" s="2413"/>
      <c r="O36" s="2443"/>
      <c r="P36" s="173"/>
      <c r="Q36" s="173"/>
      <c r="R36" s="173"/>
      <c r="S36" s="173"/>
      <c r="T36" s="760"/>
    </row>
    <row r="37" spans="2:20">
      <c r="B37" s="2425"/>
      <c r="C37" s="2411"/>
      <c r="D37" s="2414"/>
      <c r="E37" s="2411"/>
      <c r="F37" s="2419">
        <f>F35</f>
        <v>0</v>
      </c>
      <c r="G37" s="2419">
        <f>F37-F35</f>
        <v>0</v>
      </c>
      <c r="H37" s="2422">
        <f>G37*G8</f>
        <v>0</v>
      </c>
      <c r="I37" s="2422">
        <f>I35+H37</f>
        <v>0</v>
      </c>
      <c r="J37" s="2419"/>
      <c r="K37" s="2419"/>
      <c r="L37" s="2419">
        <f>IF(H37=0,0,IF((100-J37-K37)&lt;0,0,100-J37-K37))</f>
        <v>0</v>
      </c>
      <c r="M37" s="2411"/>
      <c r="N37" s="2411"/>
      <c r="O37" s="2443"/>
      <c r="P37" s="758"/>
      <c r="Q37" s="758"/>
      <c r="R37" s="758"/>
      <c r="S37" s="758"/>
      <c r="T37" s="759"/>
    </row>
    <row r="38" spans="2:20">
      <c r="B38" s="2426"/>
      <c r="C38" s="2413"/>
      <c r="D38" s="2427"/>
      <c r="E38" s="2413"/>
      <c r="F38" s="2421"/>
      <c r="G38" s="2421"/>
      <c r="H38" s="2423"/>
      <c r="I38" s="2424"/>
      <c r="J38" s="2421"/>
      <c r="K38" s="2421"/>
      <c r="L38" s="2421"/>
      <c r="M38" s="2413"/>
      <c r="N38" s="2413"/>
      <c r="O38" s="2443"/>
      <c r="P38" s="173"/>
      <c r="Q38" s="173"/>
      <c r="R38" s="173"/>
      <c r="S38" s="173"/>
      <c r="T38" s="760"/>
    </row>
    <row r="39" spans="2:20">
      <c r="B39" s="2425"/>
      <c r="C39" s="2411"/>
      <c r="D39" s="2414"/>
      <c r="E39" s="2411"/>
      <c r="F39" s="2419">
        <f>F37</f>
        <v>0</v>
      </c>
      <c r="G39" s="2419">
        <f>F39-F37</f>
        <v>0</v>
      </c>
      <c r="H39" s="2422">
        <f>G39*G8</f>
        <v>0</v>
      </c>
      <c r="I39" s="2422">
        <f>I37+H39</f>
        <v>0</v>
      </c>
      <c r="J39" s="2419"/>
      <c r="K39" s="2419"/>
      <c r="L39" s="2419">
        <f>IF(H39=0,0,IF((100-J39-K39)&lt;0,0,100-J39-K39))</f>
        <v>0</v>
      </c>
      <c r="M39" s="2411"/>
      <c r="N39" s="2411"/>
      <c r="O39" s="2443"/>
      <c r="P39" s="758"/>
      <c r="Q39" s="758"/>
      <c r="R39" s="758"/>
      <c r="S39" s="758"/>
      <c r="T39" s="759"/>
    </row>
    <row r="40" spans="2:20">
      <c r="B40" s="2426"/>
      <c r="C40" s="2413"/>
      <c r="D40" s="2427"/>
      <c r="E40" s="2413"/>
      <c r="F40" s="2421"/>
      <c r="G40" s="2421"/>
      <c r="H40" s="2423"/>
      <c r="I40" s="2424"/>
      <c r="J40" s="2421"/>
      <c r="K40" s="2421"/>
      <c r="L40" s="2421"/>
      <c r="M40" s="2413"/>
      <c r="N40" s="2413"/>
      <c r="O40" s="2443"/>
      <c r="P40" s="173"/>
      <c r="Q40" s="173"/>
      <c r="R40" s="173"/>
      <c r="S40" s="173"/>
      <c r="T40" s="760"/>
    </row>
    <row r="41" spans="2:20">
      <c r="B41" s="2425"/>
      <c r="C41" s="2411"/>
      <c r="D41" s="2414"/>
      <c r="E41" s="2411"/>
      <c r="F41" s="2419">
        <f>F39</f>
        <v>0</v>
      </c>
      <c r="G41" s="2419">
        <f>F41-F39</f>
        <v>0</v>
      </c>
      <c r="H41" s="2422">
        <f>G41*G8</f>
        <v>0</v>
      </c>
      <c r="I41" s="2422">
        <f>I39+H41</f>
        <v>0</v>
      </c>
      <c r="J41" s="2419"/>
      <c r="K41" s="2419"/>
      <c r="L41" s="2419">
        <f>IF(H41=0,0,IF((100-J41-K41)&lt;0,0,100-J41-K41))</f>
        <v>0</v>
      </c>
      <c r="M41" s="2411"/>
      <c r="N41" s="2411"/>
      <c r="O41" s="2443"/>
      <c r="P41" s="758"/>
      <c r="Q41" s="758"/>
      <c r="R41" s="758"/>
      <c r="S41" s="758"/>
      <c r="T41" s="759"/>
    </row>
    <row r="42" spans="2:20">
      <c r="B42" s="2426"/>
      <c r="C42" s="2413"/>
      <c r="D42" s="2427"/>
      <c r="E42" s="2413"/>
      <c r="F42" s="2421"/>
      <c r="G42" s="2421"/>
      <c r="H42" s="2423"/>
      <c r="I42" s="2424"/>
      <c r="J42" s="2421"/>
      <c r="K42" s="2421"/>
      <c r="L42" s="2421"/>
      <c r="M42" s="2413"/>
      <c r="N42" s="2413"/>
      <c r="O42" s="2443"/>
      <c r="P42" s="173"/>
      <c r="Q42" s="173"/>
      <c r="R42" s="173"/>
      <c r="S42" s="173"/>
      <c r="T42" s="760"/>
    </row>
    <row r="43" spans="2:20">
      <c r="B43" s="2425"/>
      <c r="C43" s="2411"/>
      <c r="D43" s="2414"/>
      <c r="E43" s="2411"/>
      <c r="F43" s="2419">
        <f>F41</f>
        <v>0</v>
      </c>
      <c r="G43" s="2419">
        <f>F43-F41</f>
        <v>0</v>
      </c>
      <c r="H43" s="2422">
        <f>G43*G8</f>
        <v>0</v>
      </c>
      <c r="I43" s="2422">
        <f>I41+H43</f>
        <v>0</v>
      </c>
      <c r="J43" s="2419"/>
      <c r="K43" s="2419"/>
      <c r="L43" s="2419">
        <f>IF(H43=0,0,IF((100-J43-K43)&lt;0,0,100-J43-K43))</f>
        <v>0</v>
      </c>
      <c r="M43" s="2411"/>
      <c r="N43" s="2411"/>
      <c r="O43" s="2457"/>
      <c r="P43" s="365"/>
      <c r="Q43" s="365"/>
      <c r="R43" s="365"/>
      <c r="S43" s="365"/>
      <c r="T43" s="1086" t="str">
        <f>CONCATENATE("Ttl"," ",'Daily Load'!J532)</f>
        <v>Ttl Other (1)</v>
      </c>
    </row>
    <row r="44" spans="2:20" ht="13.75" thickBot="1">
      <c r="B44" s="2430"/>
      <c r="C44" s="2412"/>
      <c r="D44" s="2415"/>
      <c r="E44" s="2412"/>
      <c r="F44" s="2420"/>
      <c r="G44" s="2420"/>
      <c r="H44" s="2428"/>
      <c r="I44" s="2429"/>
      <c r="J44" s="2420"/>
      <c r="K44" s="2420"/>
      <c r="L44" s="2420"/>
      <c r="M44" s="2412"/>
      <c r="N44" s="2412"/>
      <c r="O44" s="2458"/>
      <c r="P44" s="1313" t="s">
        <v>806</v>
      </c>
      <c r="Q44" s="1314">
        <f>((H13*K13)+(H15*K15)+(H17*K17)+(H19*K19)+(H21*K21)+(H23*K23)+(H25*K25)+(H27*K27)+(H29*K29)+(H31*K31)+(H33*K33)+(H35*K35)+(H37*K37)+(H39*K39)+(H41*K41)+(H43*K43))/100</f>
        <v>0</v>
      </c>
      <c r="R44" s="1313" t="s">
        <v>807</v>
      </c>
      <c r="S44" s="1314">
        <f>((J13*H13)+(J15*H15)+(J17*H17)+(J19*H19)+(J21*H21)+(J23*H23)+(J25*H25)+(J27*H27)+(J29*H29)+(J31*H31)+(J33*H33)+(J35*H35)+(J37*H37)+(J39*H39)+(J41*H41)+(J43*H43))/100</f>
        <v>0</v>
      </c>
      <c r="T44" s="1395">
        <f>I43-Q44-S44</f>
        <v>0</v>
      </c>
    </row>
    <row r="45" spans="2:20">
      <c r="B45" s="752"/>
      <c r="C45" s="753"/>
      <c r="D45" s="753"/>
      <c r="E45" s="753"/>
      <c r="F45" s="754"/>
      <c r="G45" s="754"/>
      <c r="H45" s="755"/>
      <c r="I45" s="751"/>
      <c r="J45" s="754"/>
      <c r="K45" s="754"/>
      <c r="L45" s="754"/>
      <c r="M45" s="753"/>
      <c r="N45" s="753"/>
      <c r="O45" s="41"/>
      <c r="P45" s="756"/>
      <c r="Q45" s="41"/>
      <c r="R45" s="41"/>
      <c r="S45" s="756"/>
      <c r="T45" s="511"/>
    </row>
    <row r="46" spans="2:20" ht="13.75" thickBot="1">
      <c r="B46" s="512"/>
      <c r="C46" s="513"/>
      <c r="D46" s="513"/>
      <c r="E46" s="513"/>
      <c r="F46" s="514"/>
      <c r="G46" s="514"/>
      <c r="H46" s="515"/>
      <c r="I46" s="516"/>
      <c r="J46" s="514"/>
      <c r="K46" s="514"/>
      <c r="L46" s="514"/>
      <c r="M46" s="513"/>
      <c r="N46" s="513"/>
      <c r="O46" s="366"/>
      <c r="P46" s="509"/>
      <c r="Q46" s="366"/>
      <c r="R46" s="366"/>
      <c r="S46" s="509"/>
      <c r="T46" s="517"/>
    </row>
    <row r="47" spans="2:20">
      <c r="B47" s="2406">
        <f>B2</f>
        <v>0</v>
      </c>
      <c r="C47" s="2407"/>
      <c r="D47" s="2407"/>
      <c r="E47" s="2407"/>
      <c r="F47" s="2407"/>
      <c r="G47" s="2407"/>
      <c r="H47" s="2407"/>
      <c r="I47" s="2407"/>
      <c r="J47" s="2407"/>
      <c r="K47" s="2407"/>
      <c r="L47" s="2407"/>
      <c r="M47" s="2407"/>
      <c r="N47" s="2407"/>
      <c r="O47" s="2407"/>
      <c r="P47" s="2407"/>
      <c r="Q47" s="2407"/>
      <c r="R47" s="2407"/>
      <c r="S47" s="2407"/>
      <c r="T47" s="2408"/>
    </row>
    <row r="48" spans="2:20">
      <c r="B48" s="1790" t="s">
        <v>1453</v>
      </c>
      <c r="C48" s="1659"/>
      <c r="D48" s="1659"/>
      <c r="E48" s="1659"/>
      <c r="F48" s="1659"/>
      <c r="G48" s="1659"/>
      <c r="H48" s="1659"/>
      <c r="I48" s="1659"/>
      <c r="J48" s="1659"/>
      <c r="K48" s="1659"/>
      <c r="L48" s="1659"/>
      <c r="M48" s="1659"/>
      <c r="N48" s="1659"/>
      <c r="O48" s="1659"/>
      <c r="P48" s="1659"/>
      <c r="Q48" s="1659"/>
      <c r="R48" s="1659"/>
      <c r="S48" s="1659"/>
      <c r="T48" s="1778"/>
    </row>
    <row r="49" spans="2:20">
      <c r="B49" s="84"/>
      <c r="P49" s="120" t="s">
        <v>729</v>
      </c>
      <c r="Q49" s="4">
        <f>IF(B58&gt;0,2,0)</f>
        <v>0</v>
      </c>
      <c r="R49" s="4"/>
      <c r="S49" s="120" t="s">
        <v>730</v>
      </c>
      <c r="T49" s="133">
        <f>IF(Q49=2,2,0)</f>
        <v>0</v>
      </c>
    </row>
    <row r="50" spans="2:20">
      <c r="B50" s="84"/>
      <c r="E50"/>
      <c r="T50" s="39"/>
    </row>
    <row r="51" spans="2:20">
      <c r="B51" s="947" t="s">
        <v>634</v>
      </c>
      <c r="C51" s="23">
        <f>C6</f>
        <v>0</v>
      </c>
      <c r="T51" s="39"/>
    </row>
    <row r="52" spans="2:20">
      <c r="B52" s="84"/>
      <c r="T52" s="39"/>
    </row>
    <row r="53" spans="2:20">
      <c r="B53" s="84" t="s">
        <v>221</v>
      </c>
      <c r="C53" s="2416">
        <f>IF(Q49=2,C8,0)</f>
        <v>0</v>
      </c>
      <c r="D53" s="2416"/>
      <c r="E53" s="2000" t="s">
        <v>736</v>
      </c>
      <c r="F53" s="2000"/>
      <c r="G53" s="23">
        <f>G8</f>
        <v>0</v>
      </c>
      <c r="I53" s="1659" t="s">
        <v>737</v>
      </c>
      <c r="J53" s="1659"/>
      <c r="K53" s="168">
        <f>K8</f>
        <v>0</v>
      </c>
      <c r="N53" s="23" t="s">
        <v>660</v>
      </c>
      <c r="P53" s="23">
        <f>P8</f>
        <v>0</v>
      </c>
      <c r="T53" s="39"/>
    </row>
    <row r="54" spans="2:20">
      <c r="B54" s="84"/>
      <c r="D54" s="2417" t="s">
        <v>805</v>
      </c>
      <c r="E54" s="2417"/>
      <c r="F54" s="2417"/>
      <c r="G54" s="367">
        <f>F43</f>
        <v>0</v>
      </c>
      <c r="H54" s="2418" t="s">
        <v>1003</v>
      </c>
      <c r="I54" s="2418"/>
      <c r="J54" s="2418"/>
      <c r="K54" s="2409">
        <f>K9</f>
        <v>0</v>
      </c>
      <c r="L54" s="2409"/>
      <c r="M54" s="2409">
        <f>M9</f>
        <v>0</v>
      </c>
      <c r="N54" s="2409"/>
      <c r="O54" s="2409">
        <f>O9</f>
        <v>0</v>
      </c>
      <c r="P54" s="2409"/>
      <c r="Q54" s="2409">
        <f>Q9</f>
        <v>0</v>
      </c>
      <c r="R54" s="2409"/>
      <c r="S54" s="2409"/>
      <c r="T54" s="2410"/>
    </row>
    <row r="55" spans="2:20">
      <c r="B55" s="2437" t="s">
        <v>208</v>
      </c>
      <c r="C55" s="2440" t="s">
        <v>738</v>
      </c>
      <c r="D55" s="739" t="s">
        <v>209</v>
      </c>
      <c r="E55" s="739" t="s">
        <v>207</v>
      </c>
      <c r="F55" s="2431" t="s">
        <v>210</v>
      </c>
      <c r="G55" s="2431" t="s">
        <v>210</v>
      </c>
      <c r="H55" s="2431" t="s">
        <v>209</v>
      </c>
      <c r="I55" s="739" t="s">
        <v>801</v>
      </c>
      <c r="J55" s="2433" t="s">
        <v>802</v>
      </c>
      <c r="K55" s="2434"/>
      <c r="L55" s="2435"/>
      <c r="M55" s="739" t="s">
        <v>204</v>
      </c>
      <c r="N55" s="765" t="s">
        <v>260</v>
      </c>
      <c r="O55" s="1310" t="s">
        <v>270</v>
      </c>
      <c r="P55" s="2450" t="s">
        <v>212</v>
      </c>
      <c r="Q55" s="2450"/>
      <c r="R55" s="2450"/>
      <c r="S55" s="2450"/>
      <c r="T55" s="2451"/>
    </row>
    <row r="56" spans="2:20">
      <c r="B56" s="2438"/>
      <c r="C56" s="2441"/>
      <c r="D56" s="741" t="s">
        <v>214</v>
      </c>
      <c r="E56" s="741" t="s">
        <v>215</v>
      </c>
      <c r="F56" s="2432"/>
      <c r="G56" s="2432"/>
      <c r="H56" s="2432"/>
      <c r="I56" s="741" t="s">
        <v>209</v>
      </c>
      <c r="J56" s="2431" t="s">
        <v>803</v>
      </c>
      <c r="K56" s="2431" t="s">
        <v>804</v>
      </c>
      <c r="L56" s="2431" t="str">
        <f>L11</f>
        <v>Other (1)%</v>
      </c>
      <c r="M56" s="741" t="s">
        <v>217</v>
      </c>
      <c r="N56" s="766" t="s">
        <v>217</v>
      </c>
      <c r="O56" s="1311" t="s">
        <v>481</v>
      </c>
      <c r="P56" s="2452"/>
      <c r="Q56" s="2452"/>
      <c r="R56" s="2452"/>
      <c r="S56" s="2452"/>
      <c r="T56" s="2453"/>
    </row>
    <row r="57" spans="2:20">
      <c r="B57" s="2439"/>
      <c r="C57" s="2442"/>
      <c r="D57" s="740" t="str">
        <f>D12</f>
        <v xml:space="preserve">m </v>
      </c>
      <c r="E57" s="740" t="str">
        <f>D57</f>
        <v xml:space="preserve">m </v>
      </c>
      <c r="F57" s="740" t="s">
        <v>211</v>
      </c>
      <c r="G57" s="740" t="s">
        <v>739</v>
      </c>
      <c r="H57" s="742" t="str">
        <f>H12</f>
        <v>Gain</v>
      </c>
      <c r="I57" s="740" t="str">
        <f>I12</f>
        <v>m³</v>
      </c>
      <c r="J57" s="2436"/>
      <c r="K57" s="2436"/>
      <c r="L57" s="2436"/>
      <c r="M57" s="740" t="str">
        <f>M12</f>
        <v>kPa</v>
      </c>
      <c r="N57" s="767" t="str">
        <f>N12</f>
        <v>kPa</v>
      </c>
      <c r="O57" s="1312" t="str">
        <f>O12</f>
        <v>10³m³/d</v>
      </c>
      <c r="P57" s="2454"/>
      <c r="Q57" s="2454"/>
      <c r="R57" s="2454"/>
      <c r="S57" s="2454"/>
      <c r="T57" s="2455"/>
    </row>
    <row r="58" spans="2:20">
      <c r="B58" s="2425">
        <v>0</v>
      </c>
      <c r="C58" s="2411"/>
      <c r="D58" s="2411"/>
      <c r="E58" s="2411"/>
      <c r="F58" s="2419">
        <f>G54</f>
        <v>0</v>
      </c>
      <c r="G58" s="2419">
        <f>F58-G54</f>
        <v>0</v>
      </c>
      <c r="H58" s="2422">
        <f>G58*G53</f>
        <v>0</v>
      </c>
      <c r="I58" s="2422">
        <f>I43+H58</f>
        <v>0</v>
      </c>
      <c r="J58" s="2419">
        <v>0</v>
      </c>
      <c r="K58" s="2419"/>
      <c r="L58" s="2419">
        <f>IF(H58=0,0,IF((100-J58-K58)&lt;0,0,100-J58-K58))</f>
        <v>0</v>
      </c>
      <c r="M58" s="2411"/>
      <c r="N58" s="2411"/>
      <c r="O58" s="2443"/>
      <c r="P58" s="768"/>
      <c r="Q58" s="768"/>
      <c r="R58" s="768"/>
      <c r="S58" s="768"/>
      <c r="T58" s="185"/>
    </row>
    <row r="59" spans="2:20">
      <c r="B59" s="2426"/>
      <c r="C59" s="2413"/>
      <c r="D59" s="2413"/>
      <c r="E59" s="2413"/>
      <c r="F59" s="2421"/>
      <c r="G59" s="2421"/>
      <c r="H59" s="2423"/>
      <c r="I59" s="2423"/>
      <c r="J59" s="2421"/>
      <c r="K59" s="2421"/>
      <c r="L59" s="2421"/>
      <c r="M59" s="2413"/>
      <c r="N59" s="2413"/>
      <c r="O59" s="2443"/>
      <c r="P59" s="173"/>
      <c r="Q59" s="173"/>
      <c r="R59" s="173"/>
      <c r="S59" s="173"/>
      <c r="T59" s="760"/>
    </row>
    <row r="60" spans="2:20">
      <c r="B60" s="2425"/>
      <c r="C60" s="2411"/>
      <c r="D60" s="2414"/>
      <c r="E60" s="2411"/>
      <c r="F60" s="2419">
        <f>F58</f>
        <v>0</v>
      </c>
      <c r="G60" s="2419">
        <f>F60-F58</f>
        <v>0</v>
      </c>
      <c r="H60" s="2422">
        <f>G60*G53</f>
        <v>0</v>
      </c>
      <c r="I60" s="2422">
        <f>I58+H60</f>
        <v>0</v>
      </c>
      <c r="J60" s="2419"/>
      <c r="K60" s="2419"/>
      <c r="L60" s="2419">
        <f>IF(H60=0,0,IF((100-J60-K60)&lt;0,0,100-J60-K60))</f>
        <v>0</v>
      </c>
      <c r="M60" s="2411"/>
      <c r="N60" s="2411"/>
      <c r="O60" s="2443"/>
      <c r="P60" s="758"/>
      <c r="Q60" s="758"/>
      <c r="R60" s="758"/>
      <c r="S60" s="758"/>
      <c r="T60" s="759"/>
    </row>
    <row r="61" spans="2:20">
      <c r="B61" s="2426"/>
      <c r="C61" s="2413"/>
      <c r="D61" s="2427"/>
      <c r="E61" s="2413"/>
      <c r="F61" s="2421"/>
      <c r="G61" s="2421"/>
      <c r="H61" s="2423"/>
      <c r="I61" s="2424"/>
      <c r="J61" s="2421"/>
      <c r="K61" s="2421"/>
      <c r="L61" s="2421"/>
      <c r="M61" s="2413"/>
      <c r="N61" s="2413"/>
      <c r="O61" s="2443"/>
      <c r="P61" s="173"/>
      <c r="Q61" s="173"/>
      <c r="R61" s="173"/>
      <c r="S61" s="173"/>
      <c r="T61" s="760"/>
    </row>
    <row r="62" spans="2:20">
      <c r="B62" s="2425"/>
      <c r="C62" s="2411"/>
      <c r="D62" s="2414"/>
      <c r="E62" s="2411"/>
      <c r="F62" s="2419">
        <f>F60</f>
        <v>0</v>
      </c>
      <c r="G62" s="2419">
        <f>F62-F60</f>
        <v>0</v>
      </c>
      <c r="H62" s="2422">
        <f>G62*G53</f>
        <v>0</v>
      </c>
      <c r="I62" s="2422">
        <f>I60+H62</f>
        <v>0</v>
      </c>
      <c r="J62" s="2419"/>
      <c r="K62" s="2419"/>
      <c r="L62" s="2419">
        <f>IF(H62=0,0,IF((100-J62-K62)&lt;0,0,100-J62-K62))</f>
        <v>0</v>
      </c>
      <c r="M62" s="2411"/>
      <c r="N62" s="2411"/>
      <c r="O62" s="2443"/>
      <c r="P62" s="758"/>
      <c r="Q62" s="758"/>
      <c r="R62" s="758"/>
      <c r="S62" s="758"/>
      <c r="T62" s="759"/>
    </row>
    <row r="63" spans="2:20">
      <c r="B63" s="2426"/>
      <c r="C63" s="2413"/>
      <c r="D63" s="2427"/>
      <c r="E63" s="2413"/>
      <c r="F63" s="2421"/>
      <c r="G63" s="2421"/>
      <c r="H63" s="2423"/>
      <c r="I63" s="2424"/>
      <c r="J63" s="2421"/>
      <c r="K63" s="2421"/>
      <c r="L63" s="2421"/>
      <c r="M63" s="2413"/>
      <c r="N63" s="2413"/>
      <c r="O63" s="2443"/>
      <c r="P63" s="173"/>
      <c r="Q63" s="173"/>
      <c r="R63" s="173"/>
      <c r="S63" s="173"/>
      <c r="T63" s="760"/>
    </row>
    <row r="64" spans="2:20">
      <c r="B64" s="2425"/>
      <c r="C64" s="2411"/>
      <c r="D64" s="2414"/>
      <c r="E64" s="2411"/>
      <c r="F64" s="2419">
        <f>F62</f>
        <v>0</v>
      </c>
      <c r="G64" s="2419">
        <f>F64-F62</f>
        <v>0</v>
      </c>
      <c r="H64" s="2422">
        <f>G64*G53</f>
        <v>0</v>
      </c>
      <c r="I64" s="2422">
        <f>I62+H64</f>
        <v>0</v>
      </c>
      <c r="J64" s="2419"/>
      <c r="K64" s="2419"/>
      <c r="L64" s="2419">
        <f>IF(H64=0,0,IF((100-J64-K64)&lt;0,0,100-J64-K64))</f>
        <v>0</v>
      </c>
      <c r="M64" s="2411"/>
      <c r="N64" s="2411"/>
      <c r="O64" s="2443"/>
      <c r="P64" s="758"/>
      <c r="Q64" s="758"/>
      <c r="R64" s="758"/>
      <c r="S64" s="758"/>
      <c r="T64" s="759"/>
    </row>
    <row r="65" spans="2:20">
      <c r="B65" s="2426"/>
      <c r="C65" s="2413"/>
      <c r="D65" s="2427"/>
      <c r="E65" s="2413"/>
      <c r="F65" s="2421"/>
      <c r="G65" s="2421"/>
      <c r="H65" s="2423"/>
      <c r="I65" s="2424"/>
      <c r="J65" s="2421"/>
      <c r="K65" s="2421"/>
      <c r="L65" s="2421"/>
      <c r="M65" s="2413"/>
      <c r="N65" s="2413"/>
      <c r="O65" s="2443"/>
      <c r="P65" s="173"/>
      <c r="Q65" s="173"/>
      <c r="R65" s="173"/>
      <c r="S65" s="173"/>
      <c r="T65" s="760"/>
    </row>
    <row r="66" spans="2:20">
      <c r="B66" s="2425"/>
      <c r="C66" s="2411"/>
      <c r="D66" s="2414"/>
      <c r="E66" s="2411"/>
      <c r="F66" s="2419">
        <f>F64</f>
        <v>0</v>
      </c>
      <c r="G66" s="2419">
        <f>F66-F64</f>
        <v>0</v>
      </c>
      <c r="H66" s="2422">
        <f>G66*G53</f>
        <v>0</v>
      </c>
      <c r="I66" s="2422">
        <f>I64+H66</f>
        <v>0</v>
      </c>
      <c r="J66" s="2419"/>
      <c r="K66" s="2419"/>
      <c r="L66" s="2419">
        <f>IF(H66=0,0,IF((100-J66-K66)&lt;0,0,100-J66-K66))</f>
        <v>0</v>
      </c>
      <c r="M66" s="2411"/>
      <c r="N66" s="2411"/>
      <c r="O66" s="2443"/>
      <c r="P66" s="758"/>
      <c r="Q66" s="758"/>
      <c r="R66" s="758"/>
      <c r="S66" s="758"/>
      <c r="T66" s="759"/>
    </row>
    <row r="67" spans="2:20">
      <c r="B67" s="2426"/>
      <c r="C67" s="2413"/>
      <c r="D67" s="2427"/>
      <c r="E67" s="2413"/>
      <c r="F67" s="2421"/>
      <c r="G67" s="2421"/>
      <c r="H67" s="2423"/>
      <c r="I67" s="2424"/>
      <c r="J67" s="2421"/>
      <c r="K67" s="2421"/>
      <c r="L67" s="2421"/>
      <c r="M67" s="2413"/>
      <c r="N67" s="2413"/>
      <c r="O67" s="2443"/>
      <c r="P67" s="173"/>
      <c r="Q67" s="173"/>
      <c r="R67" s="173"/>
      <c r="S67" s="173"/>
      <c r="T67" s="760"/>
    </row>
    <row r="68" spans="2:20">
      <c r="B68" s="2425"/>
      <c r="C68" s="2411"/>
      <c r="D68" s="2414"/>
      <c r="E68" s="2411"/>
      <c r="F68" s="2419">
        <f>F66</f>
        <v>0</v>
      </c>
      <c r="G68" s="2419">
        <f>F68-F66</f>
        <v>0</v>
      </c>
      <c r="H68" s="2422">
        <f>G68*G53</f>
        <v>0</v>
      </c>
      <c r="I68" s="2422">
        <f>I66+H68</f>
        <v>0</v>
      </c>
      <c r="J68" s="2419"/>
      <c r="K68" s="2419"/>
      <c r="L68" s="2419">
        <f>IF(H68=0,0,IF((100-J68-K68)&lt;0,0,100-J68-K68))</f>
        <v>0</v>
      </c>
      <c r="M68" s="2411"/>
      <c r="N68" s="2411"/>
      <c r="O68" s="2443"/>
      <c r="P68" s="758"/>
      <c r="Q68" s="758"/>
      <c r="R68" s="758"/>
      <c r="S68" s="758"/>
      <c r="T68" s="759"/>
    </row>
    <row r="69" spans="2:20">
      <c r="B69" s="2426"/>
      <c r="C69" s="2413"/>
      <c r="D69" s="2427"/>
      <c r="E69" s="2413"/>
      <c r="F69" s="2421"/>
      <c r="G69" s="2421"/>
      <c r="H69" s="2423"/>
      <c r="I69" s="2424"/>
      <c r="J69" s="2421"/>
      <c r="K69" s="2421"/>
      <c r="L69" s="2421"/>
      <c r="M69" s="2413"/>
      <c r="N69" s="2413"/>
      <c r="O69" s="2443"/>
      <c r="P69" s="173"/>
      <c r="Q69" s="173"/>
      <c r="R69" s="173"/>
      <c r="S69" s="173"/>
      <c r="T69" s="760"/>
    </row>
    <row r="70" spans="2:20">
      <c r="B70" s="2425"/>
      <c r="C70" s="2411"/>
      <c r="D70" s="2414"/>
      <c r="E70" s="2411"/>
      <c r="F70" s="2419">
        <f>F68</f>
        <v>0</v>
      </c>
      <c r="G70" s="2419">
        <f>F70-F68</f>
        <v>0</v>
      </c>
      <c r="H70" s="2422">
        <f>G70*G53</f>
        <v>0</v>
      </c>
      <c r="I70" s="2422">
        <f>I68+H70</f>
        <v>0</v>
      </c>
      <c r="J70" s="2419"/>
      <c r="K70" s="2419"/>
      <c r="L70" s="2419">
        <f>IF(H70=0,0,IF((100-J70-K70)&lt;0,0,100-J70-K70))</f>
        <v>0</v>
      </c>
      <c r="M70" s="2411"/>
      <c r="N70" s="2411"/>
      <c r="O70" s="2443"/>
      <c r="P70" s="758"/>
      <c r="Q70" s="758"/>
      <c r="R70" s="758"/>
      <c r="S70" s="758"/>
      <c r="T70" s="759"/>
    </row>
    <row r="71" spans="2:20">
      <c r="B71" s="2426"/>
      <c r="C71" s="2413"/>
      <c r="D71" s="2427"/>
      <c r="E71" s="2413"/>
      <c r="F71" s="2421"/>
      <c r="G71" s="2421"/>
      <c r="H71" s="2423"/>
      <c r="I71" s="2424"/>
      <c r="J71" s="2421"/>
      <c r="K71" s="2421"/>
      <c r="L71" s="2421"/>
      <c r="M71" s="2413"/>
      <c r="N71" s="2413"/>
      <c r="O71" s="2443"/>
      <c r="P71" s="173"/>
      <c r="Q71" s="173"/>
      <c r="R71" s="173"/>
      <c r="S71" s="173"/>
      <c r="T71" s="760"/>
    </row>
    <row r="72" spans="2:20">
      <c r="B72" s="2425"/>
      <c r="C72" s="2411"/>
      <c r="D72" s="2414"/>
      <c r="E72" s="2411"/>
      <c r="F72" s="2419">
        <f>F70</f>
        <v>0</v>
      </c>
      <c r="G72" s="2419">
        <f>F72-F70</f>
        <v>0</v>
      </c>
      <c r="H72" s="2422">
        <f>G72*G53</f>
        <v>0</v>
      </c>
      <c r="I72" s="2422">
        <f>I70+H72</f>
        <v>0</v>
      </c>
      <c r="J72" s="2419"/>
      <c r="K72" s="2419"/>
      <c r="L72" s="2419">
        <f>IF(H72=0,0,IF((100-J72-K72)&lt;0,0,100-J72-K72))</f>
        <v>0</v>
      </c>
      <c r="M72" s="2411"/>
      <c r="N72" s="2411"/>
      <c r="O72" s="2443"/>
      <c r="P72" s="758"/>
      <c r="Q72" s="758"/>
      <c r="R72" s="758"/>
      <c r="S72" s="758"/>
      <c r="T72" s="759"/>
    </row>
    <row r="73" spans="2:20">
      <c r="B73" s="2426"/>
      <c r="C73" s="2413"/>
      <c r="D73" s="2427"/>
      <c r="E73" s="2413"/>
      <c r="F73" s="2421"/>
      <c r="G73" s="2421"/>
      <c r="H73" s="2423"/>
      <c r="I73" s="2424"/>
      <c r="J73" s="2421"/>
      <c r="K73" s="2421"/>
      <c r="L73" s="2421"/>
      <c r="M73" s="2413"/>
      <c r="N73" s="2413"/>
      <c r="O73" s="2443"/>
      <c r="P73" s="173"/>
      <c r="Q73" s="173"/>
      <c r="R73" s="173"/>
      <c r="S73" s="173"/>
      <c r="T73" s="760"/>
    </row>
    <row r="74" spans="2:20">
      <c r="B74" s="2425"/>
      <c r="C74" s="2411"/>
      <c r="D74" s="2414"/>
      <c r="E74" s="2411"/>
      <c r="F74" s="2419">
        <f>F72</f>
        <v>0</v>
      </c>
      <c r="G74" s="2419">
        <f>F74-F72</f>
        <v>0</v>
      </c>
      <c r="H74" s="2422">
        <f>G74*G53</f>
        <v>0</v>
      </c>
      <c r="I74" s="2422">
        <f>I72+H74</f>
        <v>0</v>
      </c>
      <c r="J74" s="2419"/>
      <c r="K74" s="2419"/>
      <c r="L74" s="2419">
        <f>IF(H74=0,0,IF((100-J74-K74)&lt;0,0,100-J74-K74))</f>
        <v>0</v>
      </c>
      <c r="M74" s="2411"/>
      <c r="N74" s="2411"/>
      <c r="O74" s="2443"/>
      <c r="P74" s="758"/>
      <c r="Q74" s="758"/>
      <c r="R74" s="758"/>
      <c r="S74" s="758"/>
      <c r="T74" s="759"/>
    </row>
    <row r="75" spans="2:20">
      <c r="B75" s="2426"/>
      <c r="C75" s="2413"/>
      <c r="D75" s="2427"/>
      <c r="E75" s="2413"/>
      <c r="F75" s="2421"/>
      <c r="G75" s="2421"/>
      <c r="H75" s="2423"/>
      <c r="I75" s="2424"/>
      <c r="J75" s="2421"/>
      <c r="K75" s="2421"/>
      <c r="L75" s="2421"/>
      <c r="M75" s="2413"/>
      <c r="N75" s="2413"/>
      <c r="O75" s="2443"/>
      <c r="P75" s="173"/>
      <c r="Q75" s="173"/>
      <c r="R75" s="173"/>
      <c r="S75" s="173"/>
      <c r="T75" s="760"/>
    </row>
    <row r="76" spans="2:20">
      <c r="B76" s="2425"/>
      <c r="C76" s="2411"/>
      <c r="D76" s="2414"/>
      <c r="E76" s="2411"/>
      <c r="F76" s="2419">
        <f>F74</f>
        <v>0</v>
      </c>
      <c r="G76" s="2419">
        <f>F76-F74</f>
        <v>0</v>
      </c>
      <c r="H76" s="2422">
        <f>G76*G53</f>
        <v>0</v>
      </c>
      <c r="I76" s="2422">
        <f>I74+H76</f>
        <v>0</v>
      </c>
      <c r="J76" s="2419"/>
      <c r="K76" s="2419"/>
      <c r="L76" s="2419">
        <f>IF(H76=0,0,IF((100-J76-K76)&lt;0,0,100-J76-K76))</f>
        <v>0</v>
      </c>
      <c r="M76" s="2411"/>
      <c r="N76" s="2411"/>
      <c r="O76" s="2443"/>
      <c r="P76" s="758"/>
      <c r="Q76" s="758"/>
      <c r="R76" s="758"/>
      <c r="S76" s="758"/>
      <c r="T76" s="759"/>
    </row>
    <row r="77" spans="2:20">
      <c r="B77" s="2426"/>
      <c r="C77" s="2413"/>
      <c r="D77" s="2427"/>
      <c r="E77" s="2413"/>
      <c r="F77" s="2421"/>
      <c r="G77" s="2421"/>
      <c r="H77" s="2423"/>
      <c r="I77" s="2424"/>
      <c r="J77" s="2421"/>
      <c r="K77" s="2421"/>
      <c r="L77" s="2421"/>
      <c r="M77" s="2413"/>
      <c r="N77" s="2413"/>
      <c r="O77" s="2443"/>
      <c r="P77" s="173"/>
      <c r="Q77" s="173"/>
      <c r="R77" s="173"/>
      <c r="S77" s="173"/>
      <c r="T77" s="760"/>
    </row>
    <row r="78" spans="2:20">
      <c r="B78" s="2425"/>
      <c r="C78" s="2411"/>
      <c r="D78" s="2414"/>
      <c r="E78" s="2411"/>
      <c r="F78" s="2419">
        <f>F76</f>
        <v>0</v>
      </c>
      <c r="G78" s="2419">
        <f>F78-F76</f>
        <v>0</v>
      </c>
      <c r="H78" s="2422">
        <f>G78*G53</f>
        <v>0</v>
      </c>
      <c r="I78" s="2422">
        <f>I76+H78</f>
        <v>0</v>
      </c>
      <c r="J78" s="2419"/>
      <c r="K78" s="2419"/>
      <c r="L78" s="2419">
        <f>IF(H78=0,0,IF((100-J78-K78)&lt;0,0,100-J78-K78))</f>
        <v>0</v>
      </c>
      <c r="M78" s="2411"/>
      <c r="N78" s="2411"/>
      <c r="O78" s="2443"/>
      <c r="P78" s="758"/>
      <c r="Q78" s="758"/>
      <c r="R78" s="758"/>
      <c r="S78" s="758"/>
      <c r="T78" s="759"/>
    </row>
    <row r="79" spans="2:20">
      <c r="B79" s="2426"/>
      <c r="C79" s="2413"/>
      <c r="D79" s="2427"/>
      <c r="E79" s="2413"/>
      <c r="F79" s="2421"/>
      <c r="G79" s="2421"/>
      <c r="H79" s="2423"/>
      <c r="I79" s="2424"/>
      <c r="J79" s="2421"/>
      <c r="K79" s="2421"/>
      <c r="L79" s="2421"/>
      <c r="M79" s="2413"/>
      <c r="N79" s="2413"/>
      <c r="O79" s="2443"/>
      <c r="P79" s="173"/>
      <c r="Q79" s="173"/>
      <c r="R79" s="173"/>
      <c r="S79" s="173"/>
      <c r="T79" s="760"/>
    </row>
    <row r="80" spans="2:20">
      <c r="B80" s="2425"/>
      <c r="C80" s="2411"/>
      <c r="D80" s="2414"/>
      <c r="E80" s="2411"/>
      <c r="F80" s="2419">
        <f>F78</f>
        <v>0</v>
      </c>
      <c r="G80" s="2419">
        <f>F80-F78</f>
        <v>0</v>
      </c>
      <c r="H80" s="2422">
        <f>G80*G53</f>
        <v>0</v>
      </c>
      <c r="I80" s="2422">
        <f>I78+H80</f>
        <v>0</v>
      </c>
      <c r="J80" s="2419"/>
      <c r="K80" s="2419"/>
      <c r="L80" s="2419">
        <f>IF(H80=0,0,IF((100-J80-K80)&lt;0,0,100-J80-K80))</f>
        <v>0</v>
      </c>
      <c r="M80" s="2411"/>
      <c r="N80" s="2411"/>
      <c r="O80" s="2443"/>
      <c r="P80" s="758"/>
      <c r="Q80" s="758"/>
      <c r="R80" s="758"/>
      <c r="S80" s="758"/>
      <c r="T80" s="759"/>
    </row>
    <row r="81" spans="2:20">
      <c r="B81" s="2426"/>
      <c r="C81" s="2413"/>
      <c r="D81" s="2427"/>
      <c r="E81" s="2413"/>
      <c r="F81" s="2421"/>
      <c r="G81" s="2421"/>
      <c r="H81" s="2423"/>
      <c r="I81" s="2424"/>
      <c r="J81" s="2421"/>
      <c r="K81" s="2421"/>
      <c r="L81" s="2421"/>
      <c r="M81" s="2413"/>
      <c r="N81" s="2413"/>
      <c r="O81" s="2443"/>
      <c r="P81" s="173"/>
      <c r="Q81" s="173"/>
      <c r="R81" s="173"/>
      <c r="S81" s="173"/>
      <c r="T81" s="760"/>
    </row>
    <row r="82" spans="2:20">
      <c r="B82" s="2425"/>
      <c r="C82" s="2411"/>
      <c r="D82" s="2414"/>
      <c r="E82" s="2411"/>
      <c r="F82" s="2419">
        <f>F80</f>
        <v>0</v>
      </c>
      <c r="G82" s="2419">
        <f>F82-F80</f>
        <v>0</v>
      </c>
      <c r="H82" s="2422">
        <f>G82*G53</f>
        <v>0</v>
      </c>
      <c r="I82" s="2422">
        <f>I80+H82</f>
        <v>0</v>
      </c>
      <c r="J82" s="2419"/>
      <c r="K82" s="2419"/>
      <c r="L82" s="2419">
        <f>IF(H82=0,0,IF((100-J82-K82)&lt;0,0,100-J82-K82))</f>
        <v>0</v>
      </c>
      <c r="M82" s="2411"/>
      <c r="N82" s="2411"/>
      <c r="O82" s="2443"/>
      <c r="P82" s="758"/>
      <c r="Q82" s="758"/>
      <c r="R82" s="758"/>
      <c r="S82" s="758"/>
      <c r="T82" s="759"/>
    </row>
    <row r="83" spans="2:20">
      <c r="B83" s="2426"/>
      <c r="C83" s="2413"/>
      <c r="D83" s="2427"/>
      <c r="E83" s="2413"/>
      <c r="F83" s="2421"/>
      <c r="G83" s="2421"/>
      <c r="H83" s="2423"/>
      <c r="I83" s="2424"/>
      <c r="J83" s="2421"/>
      <c r="K83" s="2421"/>
      <c r="L83" s="2421"/>
      <c r="M83" s="2413"/>
      <c r="N83" s="2413"/>
      <c r="O83" s="2443"/>
      <c r="P83" s="173"/>
      <c r="Q83" s="173"/>
      <c r="R83" s="173"/>
      <c r="S83" s="173"/>
      <c r="T83" s="760"/>
    </row>
    <row r="84" spans="2:20">
      <c r="B84" s="2425"/>
      <c r="C84" s="2411"/>
      <c r="D84" s="2414"/>
      <c r="E84" s="2411"/>
      <c r="F84" s="2419">
        <f>F82</f>
        <v>0</v>
      </c>
      <c r="G84" s="2419">
        <f>F84-F82</f>
        <v>0</v>
      </c>
      <c r="H84" s="2422">
        <f>G84*G53</f>
        <v>0</v>
      </c>
      <c r="I84" s="2422">
        <f>I82+H84</f>
        <v>0</v>
      </c>
      <c r="J84" s="2419"/>
      <c r="K84" s="2419"/>
      <c r="L84" s="2419">
        <f>IF(H84=0,0,IF((100-J84-K84)&lt;0,0,100-J84-K84))</f>
        <v>0</v>
      </c>
      <c r="M84" s="2411"/>
      <c r="N84" s="2411"/>
      <c r="O84" s="2443"/>
      <c r="P84" s="758"/>
      <c r="Q84" s="758"/>
      <c r="R84" s="758"/>
      <c r="S84" s="758"/>
      <c r="T84" s="759"/>
    </row>
    <row r="85" spans="2:20">
      <c r="B85" s="2426"/>
      <c r="C85" s="2413"/>
      <c r="D85" s="2427"/>
      <c r="E85" s="2413"/>
      <c r="F85" s="2421"/>
      <c r="G85" s="2421"/>
      <c r="H85" s="2423"/>
      <c r="I85" s="2424"/>
      <c r="J85" s="2421"/>
      <c r="K85" s="2421"/>
      <c r="L85" s="2421"/>
      <c r="M85" s="2413"/>
      <c r="N85" s="2413"/>
      <c r="O85" s="2443"/>
      <c r="P85" s="173"/>
      <c r="Q85" s="173"/>
      <c r="R85" s="173"/>
      <c r="S85" s="173"/>
      <c r="T85" s="760"/>
    </row>
    <row r="86" spans="2:20">
      <c r="B86" s="2425"/>
      <c r="C86" s="2411"/>
      <c r="D86" s="2414"/>
      <c r="E86" s="2411"/>
      <c r="F86" s="2419">
        <f>F84</f>
        <v>0</v>
      </c>
      <c r="G86" s="2419">
        <f>F86-F84</f>
        <v>0</v>
      </c>
      <c r="H86" s="2422">
        <f>G86*G53</f>
        <v>0</v>
      </c>
      <c r="I86" s="2422">
        <f>I84+H86</f>
        <v>0</v>
      </c>
      <c r="J86" s="2419"/>
      <c r="K86" s="2419"/>
      <c r="L86" s="2419">
        <f>IF(H86=0,0,IF((100-J86-K86)&lt;0,0,100-J86-K86))</f>
        <v>0</v>
      </c>
      <c r="M86" s="2411"/>
      <c r="N86" s="2411"/>
      <c r="O86" s="2443"/>
      <c r="P86" s="758"/>
      <c r="Q86" s="758"/>
      <c r="R86" s="758"/>
      <c r="S86" s="758"/>
      <c r="T86" s="759"/>
    </row>
    <row r="87" spans="2:20" ht="13.75" thickBot="1">
      <c r="B87" s="2426"/>
      <c r="C87" s="2413"/>
      <c r="D87" s="2427"/>
      <c r="E87" s="2413"/>
      <c r="F87" s="2421"/>
      <c r="G87" s="2421"/>
      <c r="H87" s="2423"/>
      <c r="I87" s="2424"/>
      <c r="J87" s="2421"/>
      <c r="K87" s="2421"/>
      <c r="L87" s="2421"/>
      <c r="M87" s="2413"/>
      <c r="N87" s="2413"/>
      <c r="O87" s="2443"/>
      <c r="P87" s="173"/>
      <c r="Q87" s="173"/>
      <c r="R87" s="173"/>
      <c r="S87" s="173"/>
      <c r="T87" s="185"/>
    </row>
    <row r="88" spans="2:20">
      <c r="B88" s="2425"/>
      <c r="C88" s="2411"/>
      <c r="D88" s="2414"/>
      <c r="E88" s="2411"/>
      <c r="F88" s="2419">
        <f>F86</f>
        <v>0</v>
      </c>
      <c r="G88" s="2419">
        <f>F88-F86</f>
        <v>0</v>
      </c>
      <c r="H88" s="2422">
        <f>G88*G53</f>
        <v>0</v>
      </c>
      <c r="I88" s="2422">
        <f>I86+H88</f>
        <v>0</v>
      </c>
      <c r="J88" s="2419"/>
      <c r="K88" s="2419"/>
      <c r="L88" s="2419">
        <f>IF(H88=0,0,IF((100-J88-K88)&lt;0,0,100-J88-K88))</f>
        <v>0</v>
      </c>
      <c r="M88" s="2411"/>
      <c r="N88" s="2411"/>
      <c r="O88" s="2457"/>
      <c r="P88" s="365"/>
      <c r="Q88" s="365"/>
      <c r="R88" s="365"/>
      <c r="S88" s="365"/>
      <c r="T88" s="1087" t="str">
        <f>T43</f>
        <v>Ttl Other (1)</v>
      </c>
    </row>
    <row r="89" spans="2:20" ht="13.75" thickBot="1">
      <c r="B89" s="2430"/>
      <c r="C89" s="2412"/>
      <c r="D89" s="2415"/>
      <c r="E89" s="2412"/>
      <c r="F89" s="2420"/>
      <c r="G89" s="2420"/>
      <c r="H89" s="2428"/>
      <c r="I89" s="2429"/>
      <c r="J89" s="2420"/>
      <c r="K89" s="2420"/>
      <c r="L89" s="2420"/>
      <c r="M89" s="2412"/>
      <c r="N89" s="2412"/>
      <c r="O89" s="2458"/>
      <c r="P89" s="1313" t="s">
        <v>806</v>
      </c>
      <c r="Q89" s="1314">
        <f>((H58*K58)+(H60*K60)+(H62*K62)+(H64*K64)+(H66*K66)+(H68*K68)+(H70*K70)+(H72*K72)+(H74*K74)+(H76*K76)+(H78*K78)+(H80*K80)+(H82*K82)+(H84*K84)+(H86*K86)+(H88*K88))/100+Q44</f>
        <v>0</v>
      </c>
      <c r="R89" s="1313" t="s">
        <v>807</v>
      </c>
      <c r="S89" s="1314">
        <f>((J58*H58)+(J60*H60)+(J62*H62)+(J64*H64)+(J66*H66)+(J68*H68)+(J70*H70)+(J72*H72)+(J74*H74)+(J76*H76)+(J78*H78)+(J80*H80)+(J82*H82)+(J84*H84)+(J86*H86)+(J88*H88))/100+S44</f>
        <v>0</v>
      </c>
      <c r="T89" s="764">
        <f>I88-Q89-S89</f>
        <v>0</v>
      </c>
    </row>
    <row r="90" spans="2:20">
      <c r="B90" s="752"/>
      <c r="C90" s="753"/>
      <c r="D90" s="753"/>
      <c r="E90" s="753"/>
      <c r="F90" s="754"/>
      <c r="G90" s="754"/>
      <c r="H90" s="755"/>
      <c r="I90" s="751"/>
      <c r="J90" s="754"/>
      <c r="K90" s="754"/>
      <c r="L90" s="754"/>
      <c r="M90" s="753"/>
      <c r="N90" s="753"/>
      <c r="O90" s="41"/>
      <c r="P90" s="756"/>
      <c r="Q90" s="41"/>
      <c r="R90" s="41"/>
      <c r="S90" s="756"/>
      <c r="T90" s="761"/>
    </row>
    <row r="91" spans="2:20" ht="13.75" thickBot="1">
      <c r="B91" s="512"/>
      <c r="C91" s="757"/>
      <c r="D91" s="513"/>
      <c r="E91" s="513"/>
      <c r="F91" s="514"/>
      <c r="G91" s="514"/>
      <c r="H91" s="515"/>
      <c r="I91" s="516"/>
      <c r="J91" s="514"/>
      <c r="K91" s="514"/>
      <c r="L91" s="514"/>
      <c r="M91" s="513"/>
      <c r="N91" s="513"/>
      <c r="O91" s="366"/>
      <c r="P91" s="366"/>
      <c r="Q91" s="366"/>
      <c r="R91" s="366"/>
      <c r="S91" s="366"/>
      <c r="T91" s="762"/>
    </row>
    <row r="92" spans="2:20">
      <c r="B92" s="2406">
        <f>B47</f>
        <v>0</v>
      </c>
      <c r="C92" s="2407"/>
      <c r="D92" s="2407"/>
      <c r="E92" s="2407"/>
      <c r="F92" s="2407"/>
      <c r="G92" s="2407"/>
      <c r="H92" s="2407"/>
      <c r="I92" s="2407"/>
      <c r="J92" s="2407"/>
      <c r="K92" s="2407"/>
      <c r="L92" s="2407"/>
      <c r="M92" s="2407"/>
      <c r="N92" s="2407"/>
      <c r="O92" s="2407"/>
      <c r="P92" s="2407"/>
      <c r="Q92" s="2407"/>
      <c r="R92" s="2407"/>
      <c r="S92" s="2407"/>
      <c r="T92" s="2408"/>
    </row>
    <row r="93" spans="2:20">
      <c r="B93" s="1790" t="s">
        <v>1453</v>
      </c>
      <c r="C93" s="1659"/>
      <c r="D93" s="1659"/>
      <c r="E93" s="1659"/>
      <c r="F93" s="1659"/>
      <c r="G93" s="1659"/>
      <c r="H93" s="1659"/>
      <c r="I93" s="1659"/>
      <c r="J93" s="1659"/>
      <c r="K93" s="1659"/>
      <c r="L93" s="1659"/>
      <c r="M93" s="1659"/>
      <c r="N93" s="1659"/>
      <c r="O93" s="1659"/>
      <c r="P93" s="1659"/>
      <c r="Q93" s="1659"/>
      <c r="R93" s="1659"/>
      <c r="S93" s="1659"/>
      <c r="T93" s="1778"/>
    </row>
    <row r="94" spans="2:20">
      <c r="B94" s="84"/>
      <c r="P94" s="120" t="s">
        <v>729</v>
      </c>
      <c r="Q94" s="4">
        <f>IF(B103&gt;0,1,0)</f>
        <v>0</v>
      </c>
      <c r="R94" s="4"/>
      <c r="S94" s="120" t="s">
        <v>730</v>
      </c>
      <c r="T94" s="133">
        <f>IF(T139=2,2,Q94)</f>
        <v>0</v>
      </c>
    </row>
    <row r="95" spans="2:20">
      <c r="B95" s="84"/>
      <c r="E95"/>
      <c r="T95" s="39"/>
    </row>
    <row r="96" spans="2:20">
      <c r="B96" s="947" t="s">
        <v>634</v>
      </c>
      <c r="C96" s="23">
        <f>C51</f>
        <v>0</v>
      </c>
      <c r="T96" s="39"/>
    </row>
    <row r="97" spans="2:20">
      <c r="B97" s="84"/>
      <c r="T97" s="39"/>
    </row>
    <row r="98" spans="2:20">
      <c r="B98" s="84" t="s">
        <v>221</v>
      </c>
      <c r="C98" s="2416"/>
      <c r="D98" s="2416"/>
      <c r="E98" s="2000" t="s">
        <v>736</v>
      </c>
      <c r="F98" s="2000"/>
      <c r="G98" s="23">
        <v>0</v>
      </c>
      <c r="I98" s="1659" t="s">
        <v>737</v>
      </c>
      <c r="J98" s="1659"/>
      <c r="K98" s="168">
        <f>K53</f>
        <v>0</v>
      </c>
      <c r="N98" s="23" t="s">
        <v>660</v>
      </c>
      <c r="P98" s="23">
        <f>P53</f>
        <v>0</v>
      </c>
      <c r="T98" s="39"/>
    </row>
    <row r="99" spans="2:20">
      <c r="B99" s="84"/>
      <c r="D99" s="2417" t="s">
        <v>805</v>
      </c>
      <c r="E99" s="2417"/>
      <c r="F99" s="2417"/>
      <c r="G99" s="367">
        <v>0</v>
      </c>
      <c r="H99" s="2418" t="s">
        <v>1003</v>
      </c>
      <c r="I99" s="2418"/>
      <c r="J99" s="2418"/>
      <c r="K99" s="2409">
        <f>K54</f>
        <v>0</v>
      </c>
      <c r="L99" s="2409"/>
      <c r="M99" s="2409">
        <f>M54</f>
        <v>0</v>
      </c>
      <c r="N99" s="2409"/>
      <c r="O99" s="2409">
        <f>O54</f>
        <v>0</v>
      </c>
      <c r="P99" s="2409"/>
      <c r="Q99" s="2409">
        <f>Q54</f>
        <v>0</v>
      </c>
      <c r="R99" s="2409"/>
      <c r="S99" s="2409"/>
      <c r="T99" s="2410"/>
    </row>
    <row r="100" spans="2:20">
      <c r="B100" s="2437" t="s">
        <v>208</v>
      </c>
      <c r="C100" s="2440" t="s">
        <v>738</v>
      </c>
      <c r="D100" s="739" t="s">
        <v>209</v>
      </c>
      <c r="E100" s="739" t="s">
        <v>207</v>
      </c>
      <c r="F100" s="2431" t="s">
        <v>210</v>
      </c>
      <c r="G100" s="2431" t="s">
        <v>210</v>
      </c>
      <c r="H100" s="2431" t="s">
        <v>209</v>
      </c>
      <c r="I100" s="739" t="s">
        <v>801</v>
      </c>
      <c r="J100" s="2433" t="s">
        <v>802</v>
      </c>
      <c r="K100" s="2434"/>
      <c r="L100" s="2435"/>
      <c r="M100" s="739" t="s">
        <v>204</v>
      </c>
      <c r="N100" s="765" t="s">
        <v>260</v>
      </c>
      <c r="O100" s="1310" t="s">
        <v>270</v>
      </c>
      <c r="P100" s="2450" t="s">
        <v>212</v>
      </c>
      <c r="Q100" s="2450"/>
      <c r="R100" s="2450"/>
      <c r="S100" s="2450"/>
      <c r="T100" s="2451"/>
    </row>
    <row r="101" spans="2:20">
      <c r="B101" s="2438"/>
      <c r="C101" s="2441"/>
      <c r="D101" s="741" t="s">
        <v>214</v>
      </c>
      <c r="E101" s="741" t="s">
        <v>215</v>
      </c>
      <c r="F101" s="2432"/>
      <c r="G101" s="2432"/>
      <c r="H101" s="2432"/>
      <c r="I101" s="741" t="s">
        <v>209</v>
      </c>
      <c r="J101" s="2431" t="s">
        <v>803</v>
      </c>
      <c r="K101" s="2431" t="s">
        <v>804</v>
      </c>
      <c r="L101" s="2431" t="str">
        <f>L56</f>
        <v>Other (1)%</v>
      </c>
      <c r="M101" s="741" t="s">
        <v>217</v>
      </c>
      <c r="N101" s="766" t="s">
        <v>217</v>
      </c>
      <c r="O101" s="1311" t="s">
        <v>481</v>
      </c>
      <c r="P101" s="2452"/>
      <c r="Q101" s="2452"/>
      <c r="R101" s="2452"/>
      <c r="S101" s="2452"/>
      <c r="T101" s="2453"/>
    </row>
    <row r="102" spans="2:20">
      <c r="B102" s="2439"/>
      <c r="C102" s="2442"/>
      <c r="D102" s="740" t="str">
        <f>D57</f>
        <v xml:space="preserve">m </v>
      </c>
      <c r="E102" s="740" t="str">
        <f>D102</f>
        <v xml:space="preserve">m </v>
      </c>
      <c r="F102" s="740" t="s">
        <v>211</v>
      </c>
      <c r="G102" s="740" t="s">
        <v>739</v>
      </c>
      <c r="H102" s="742" t="str">
        <f>H57</f>
        <v>Gain</v>
      </c>
      <c r="I102" s="740" t="str">
        <f>I57</f>
        <v>m³</v>
      </c>
      <c r="J102" s="2436"/>
      <c r="K102" s="2436"/>
      <c r="L102" s="2436"/>
      <c r="M102" s="740" t="str">
        <f>M57</f>
        <v>kPa</v>
      </c>
      <c r="N102" s="767" t="str">
        <f>N57</f>
        <v>kPa</v>
      </c>
      <c r="O102" s="1312" t="str">
        <f>O57</f>
        <v>10³m³/d</v>
      </c>
      <c r="P102" s="2454"/>
      <c r="Q102" s="2454"/>
      <c r="R102" s="2454"/>
      <c r="S102" s="2454"/>
      <c r="T102" s="2455"/>
    </row>
    <row r="103" spans="2:20">
      <c r="B103" s="2425">
        <v>0</v>
      </c>
      <c r="C103" s="2411"/>
      <c r="D103" s="2411"/>
      <c r="E103" s="2411"/>
      <c r="F103" s="2419">
        <f>G99</f>
        <v>0</v>
      </c>
      <c r="G103" s="2419">
        <f>F103-G99</f>
        <v>0</v>
      </c>
      <c r="H103" s="2422">
        <f>G103*G98</f>
        <v>0</v>
      </c>
      <c r="I103" s="2422">
        <f>H103</f>
        <v>0</v>
      </c>
      <c r="J103" s="2419">
        <v>0</v>
      </c>
      <c r="K103" s="2419">
        <v>0</v>
      </c>
      <c r="L103" s="2419">
        <f>IF(H103=0,0,IF((100-J103-K103)&lt;0,0,100-J103-K103))</f>
        <v>0</v>
      </c>
      <c r="M103" s="2411"/>
      <c r="N103" s="2411"/>
      <c r="O103" s="2443"/>
      <c r="P103" s="758"/>
      <c r="Q103" s="758"/>
      <c r="R103" s="758"/>
      <c r="S103" s="758"/>
      <c r="T103" s="759"/>
    </row>
    <row r="104" spans="2:20">
      <c r="B104" s="2426"/>
      <c r="C104" s="2413"/>
      <c r="D104" s="2413"/>
      <c r="E104" s="2413"/>
      <c r="F104" s="2421"/>
      <c r="G104" s="2421"/>
      <c r="H104" s="2423"/>
      <c r="I104" s="2423"/>
      <c r="J104" s="2421"/>
      <c r="K104" s="2421"/>
      <c r="L104" s="2421"/>
      <c r="M104" s="2413"/>
      <c r="N104" s="2413"/>
      <c r="O104" s="2443"/>
      <c r="P104" s="173"/>
      <c r="Q104" s="173"/>
      <c r="R104" s="173"/>
      <c r="S104" s="173"/>
      <c r="T104" s="760"/>
    </row>
    <row r="105" spans="2:20">
      <c r="B105" s="2425"/>
      <c r="C105" s="2411"/>
      <c r="D105" s="2414"/>
      <c r="E105" s="2411"/>
      <c r="F105" s="2419">
        <f>F103</f>
        <v>0</v>
      </c>
      <c r="G105" s="2419">
        <f>F105-F103</f>
        <v>0</v>
      </c>
      <c r="H105" s="2422">
        <f>G105*G98</f>
        <v>0</v>
      </c>
      <c r="I105" s="2422">
        <f>I103+H105</f>
        <v>0</v>
      </c>
      <c r="J105" s="2419"/>
      <c r="K105" s="2419"/>
      <c r="L105" s="2419">
        <f>IF(H105=0,0,IF((100-J105-K105)&lt;0,0,100-J105-K105))</f>
        <v>0</v>
      </c>
      <c r="M105" s="2411"/>
      <c r="N105" s="2411"/>
      <c r="O105" s="2443"/>
      <c r="P105" s="758"/>
      <c r="Q105" s="758"/>
      <c r="R105" s="758"/>
      <c r="S105" s="758"/>
      <c r="T105" s="759"/>
    </row>
    <row r="106" spans="2:20">
      <c r="B106" s="2426"/>
      <c r="C106" s="2413"/>
      <c r="D106" s="2427"/>
      <c r="E106" s="2413"/>
      <c r="F106" s="2421"/>
      <c r="G106" s="2421"/>
      <c r="H106" s="2423"/>
      <c r="I106" s="2424"/>
      <c r="J106" s="2421"/>
      <c r="K106" s="2421"/>
      <c r="L106" s="2421"/>
      <c r="M106" s="2413"/>
      <c r="N106" s="2413"/>
      <c r="O106" s="2443"/>
      <c r="P106" s="173"/>
      <c r="Q106" s="173"/>
      <c r="R106" s="173"/>
      <c r="S106" s="173"/>
      <c r="T106" s="760"/>
    </row>
    <row r="107" spans="2:20">
      <c r="B107" s="2425"/>
      <c r="C107" s="2411"/>
      <c r="D107" s="2414"/>
      <c r="E107" s="2411"/>
      <c r="F107" s="2419">
        <f>F105</f>
        <v>0</v>
      </c>
      <c r="G107" s="2419">
        <f>F107-F105</f>
        <v>0</v>
      </c>
      <c r="H107" s="2422">
        <f>G107*G98</f>
        <v>0</v>
      </c>
      <c r="I107" s="2422">
        <f>I105+H107</f>
        <v>0</v>
      </c>
      <c r="J107" s="2419"/>
      <c r="K107" s="2419"/>
      <c r="L107" s="2419">
        <f>IF(H107=0,0,IF((100-J107-K107)&lt;0,0,100-J107-K107))</f>
        <v>0</v>
      </c>
      <c r="M107" s="2411"/>
      <c r="N107" s="2411"/>
      <c r="O107" s="2443"/>
      <c r="P107" s="758"/>
      <c r="Q107" s="758"/>
      <c r="R107" s="758"/>
      <c r="S107" s="758"/>
      <c r="T107" s="759"/>
    </row>
    <row r="108" spans="2:20">
      <c r="B108" s="2426"/>
      <c r="C108" s="2413"/>
      <c r="D108" s="2427"/>
      <c r="E108" s="2413"/>
      <c r="F108" s="2421"/>
      <c r="G108" s="2421"/>
      <c r="H108" s="2423"/>
      <c r="I108" s="2424"/>
      <c r="J108" s="2421"/>
      <c r="K108" s="2421"/>
      <c r="L108" s="2421"/>
      <c r="M108" s="2413"/>
      <c r="N108" s="2413"/>
      <c r="O108" s="2443"/>
      <c r="P108" s="173"/>
      <c r="Q108" s="173"/>
      <c r="R108" s="173"/>
      <c r="S108" s="173"/>
      <c r="T108" s="760"/>
    </row>
    <row r="109" spans="2:20">
      <c r="B109" s="2425"/>
      <c r="C109" s="2411"/>
      <c r="D109" s="2414"/>
      <c r="E109" s="2411"/>
      <c r="F109" s="2419">
        <f>F107</f>
        <v>0</v>
      </c>
      <c r="G109" s="2419">
        <f>F109-F107</f>
        <v>0</v>
      </c>
      <c r="H109" s="2422">
        <f>G109*G98</f>
        <v>0</v>
      </c>
      <c r="I109" s="2422">
        <f>I107+H109</f>
        <v>0</v>
      </c>
      <c r="J109" s="2419"/>
      <c r="K109" s="2419"/>
      <c r="L109" s="2419">
        <f>IF(H109=0,0,IF((100-J109-K109)&lt;0,0,100-J109-K109))</f>
        <v>0</v>
      </c>
      <c r="M109" s="2411"/>
      <c r="N109" s="2411"/>
      <c r="O109" s="2443"/>
      <c r="P109" s="758"/>
      <c r="Q109" s="758"/>
      <c r="R109" s="758"/>
      <c r="S109" s="758"/>
      <c r="T109" s="759"/>
    </row>
    <row r="110" spans="2:20">
      <c r="B110" s="2426"/>
      <c r="C110" s="2413"/>
      <c r="D110" s="2427"/>
      <c r="E110" s="2413"/>
      <c r="F110" s="2421"/>
      <c r="G110" s="2421"/>
      <c r="H110" s="2423"/>
      <c r="I110" s="2424"/>
      <c r="J110" s="2421"/>
      <c r="K110" s="2421"/>
      <c r="L110" s="2421"/>
      <c r="M110" s="2413"/>
      <c r="N110" s="2413"/>
      <c r="O110" s="2443"/>
      <c r="P110" s="173"/>
      <c r="Q110" s="173"/>
      <c r="R110" s="173"/>
      <c r="S110" s="173"/>
      <c r="T110" s="760"/>
    </row>
    <row r="111" spans="2:20">
      <c r="B111" s="2425"/>
      <c r="C111" s="2411"/>
      <c r="D111" s="2414"/>
      <c r="E111" s="2411"/>
      <c r="F111" s="2419">
        <f>F109</f>
        <v>0</v>
      </c>
      <c r="G111" s="2419">
        <f>F111-F109</f>
        <v>0</v>
      </c>
      <c r="H111" s="2422">
        <f>G111*G98</f>
        <v>0</v>
      </c>
      <c r="I111" s="2422">
        <f>I109+H111</f>
        <v>0</v>
      </c>
      <c r="J111" s="2419"/>
      <c r="K111" s="2419"/>
      <c r="L111" s="2419">
        <f>IF(H111=0,0,IF((100-J111-K111)&lt;0,0,100-J111-K111))</f>
        <v>0</v>
      </c>
      <c r="M111" s="2411"/>
      <c r="N111" s="2411"/>
      <c r="O111" s="2443"/>
      <c r="P111" s="758"/>
      <c r="Q111" s="758"/>
      <c r="R111" s="758"/>
      <c r="S111" s="758"/>
      <c r="T111" s="759"/>
    </row>
    <row r="112" spans="2:20">
      <c r="B112" s="2426"/>
      <c r="C112" s="2413"/>
      <c r="D112" s="2427"/>
      <c r="E112" s="2413"/>
      <c r="F112" s="2421"/>
      <c r="G112" s="2421"/>
      <c r="H112" s="2423"/>
      <c r="I112" s="2424"/>
      <c r="J112" s="2421"/>
      <c r="K112" s="2421"/>
      <c r="L112" s="2421"/>
      <c r="M112" s="2413"/>
      <c r="N112" s="2413"/>
      <c r="O112" s="2443"/>
      <c r="P112" s="173"/>
      <c r="Q112" s="173"/>
      <c r="R112" s="173"/>
      <c r="S112" s="173"/>
      <c r="T112" s="760"/>
    </row>
    <row r="113" spans="2:20">
      <c r="B113" s="2425"/>
      <c r="C113" s="2411"/>
      <c r="D113" s="2414"/>
      <c r="E113" s="2411"/>
      <c r="F113" s="2419">
        <f>F111</f>
        <v>0</v>
      </c>
      <c r="G113" s="2419">
        <f>F113-F111</f>
        <v>0</v>
      </c>
      <c r="H113" s="2422">
        <f>G113*G98</f>
        <v>0</v>
      </c>
      <c r="I113" s="2422">
        <f>I111+H113</f>
        <v>0</v>
      </c>
      <c r="J113" s="2419"/>
      <c r="K113" s="2419"/>
      <c r="L113" s="2419">
        <f>IF(H113=0,0,IF((100-J113-K113)&lt;0,0,100-J113-K113))</f>
        <v>0</v>
      </c>
      <c r="M113" s="2411"/>
      <c r="N113" s="2411"/>
      <c r="O113" s="2443"/>
      <c r="P113" s="758"/>
      <c r="Q113" s="758"/>
      <c r="R113" s="758"/>
      <c r="S113" s="758"/>
      <c r="T113" s="759"/>
    </row>
    <row r="114" spans="2:20">
      <c r="B114" s="2426"/>
      <c r="C114" s="2413"/>
      <c r="D114" s="2427"/>
      <c r="E114" s="2413"/>
      <c r="F114" s="2421"/>
      <c r="G114" s="2421"/>
      <c r="H114" s="2423"/>
      <c r="I114" s="2424"/>
      <c r="J114" s="2421"/>
      <c r="K114" s="2421"/>
      <c r="L114" s="2421"/>
      <c r="M114" s="2413"/>
      <c r="N114" s="2413"/>
      <c r="O114" s="2443"/>
      <c r="P114" s="173"/>
      <c r="Q114" s="173"/>
      <c r="R114" s="173"/>
      <c r="S114" s="173"/>
      <c r="T114" s="760"/>
    </row>
    <row r="115" spans="2:20">
      <c r="B115" s="2425"/>
      <c r="C115" s="2411"/>
      <c r="D115" s="2414"/>
      <c r="E115" s="2411"/>
      <c r="F115" s="2419">
        <f>F113</f>
        <v>0</v>
      </c>
      <c r="G115" s="2419">
        <f>F115-F113</f>
        <v>0</v>
      </c>
      <c r="H115" s="2422">
        <f>G115*G98</f>
        <v>0</v>
      </c>
      <c r="I115" s="2422">
        <f>I113+H115</f>
        <v>0</v>
      </c>
      <c r="J115" s="2419"/>
      <c r="K115" s="2419"/>
      <c r="L115" s="2419">
        <f>IF(H115=0,0,IF((100-J115-K115)&lt;0,0,100-J115-K115))</f>
        <v>0</v>
      </c>
      <c r="M115" s="2411"/>
      <c r="N115" s="2411"/>
      <c r="O115" s="2443"/>
      <c r="P115" s="758"/>
      <c r="Q115" s="758"/>
      <c r="R115" s="758"/>
      <c r="S115" s="758"/>
      <c r="T115" s="759"/>
    </row>
    <row r="116" spans="2:20">
      <c r="B116" s="2426"/>
      <c r="C116" s="2413"/>
      <c r="D116" s="2427"/>
      <c r="E116" s="2413"/>
      <c r="F116" s="2421"/>
      <c r="G116" s="2421"/>
      <c r="H116" s="2423"/>
      <c r="I116" s="2424"/>
      <c r="J116" s="2421"/>
      <c r="K116" s="2421"/>
      <c r="L116" s="2421"/>
      <c r="M116" s="2413"/>
      <c r="N116" s="2413"/>
      <c r="O116" s="2443"/>
      <c r="P116" s="173"/>
      <c r="Q116" s="173"/>
      <c r="R116" s="173"/>
      <c r="S116" s="173"/>
      <c r="T116" s="760"/>
    </row>
    <row r="117" spans="2:20">
      <c r="B117" s="2425"/>
      <c r="C117" s="2411"/>
      <c r="D117" s="2414"/>
      <c r="E117" s="2411"/>
      <c r="F117" s="2419">
        <f>F115</f>
        <v>0</v>
      </c>
      <c r="G117" s="2419">
        <f>F117-F115</f>
        <v>0</v>
      </c>
      <c r="H117" s="2422">
        <f>G117*G98</f>
        <v>0</v>
      </c>
      <c r="I117" s="2422">
        <f>I115+H117</f>
        <v>0</v>
      </c>
      <c r="J117" s="2419"/>
      <c r="K117" s="2419"/>
      <c r="L117" s="2419">
        <f>IF(H117=0,0,IF((100-J117-K117)&lt;0,0,100-J117-K117))</f>
        <v>0</v>
      </c>
      <c r="M117" s="2411"/>
      <c r="N117" s="2411"/>
      <c r="O117" s="2443"/>
      <c r="P117" s="758"/>
      <c r="Q117" s="758"/>
      <c r="R117" s="758"/>
      <c r="S117" s="758"/>
      <c r="T117" s="759"/>
    </row>
    <row r="118" spans="2:20">
      <c r="B118" s="2426"/>
      <c r="C118" s="2413"/>
      <c r="D118" s="2427"/>
      <c r="E118" s="2413"/>
      <c r="F118" s="2421"/>
      <c r="G118" s="2421"/>
      <c r="H118" s="2423"/>
      <c r="I118" s="2424"/>
      <c r="J118" s="2421"/>
      <c r="K118" s="2421"/>
      <c r="L118" s="2421"/>
      <c r="M118" s="2413"/>
      <c r="N118" s="2413"/>
      <c r="O118" s="2443"/>
      <c r="P118" s="173"/>
      <c r="Q118" s="173"/>
      <c r="R118" s="173"/>
      <c r="S118" s="173"/>
      <c r="T118" s="760"/>
    </row>
    <row r="119" spans="2:20">
      <c r="B119" s="2425"/>
      <c r="C119" s="2411"/>
      <c r="D119" s="2414"/>
      <c r="E119" s="2411"/>
      <c r="F119" s="2419">
        <f>F117</f>
        <v>0</v>
      </c>
      <c r="G119" s="2419">
        <f>F119-F117</f>
        <v>0</v>
      </c>
      <c r="H119" s="2422">
        <f>G119*G98</f>
        <v>0</v>
      </c>
      <c r="I119" s="2422">
        <f>I117+H119</f>
        <v>0</v>
      </c>
      <c r="J119" s="2419"/>
      <c r="K119" s="2419"/>
      <c r="L119" s="2419">
        <f>IF(H119=0,0,IF((100-J119-K119)&lt;0,0,100-J119-K119))</f>
        <v>0</v>
      </c>
      <c r="M119" s="2411"/>
      <c r="N119" s="2411"/>
      <c r="O119" s="2443"/>
      <c r="P119" s="758"/>
      <c r="Q119" s="758"/>
      <c r="R119" s="758"/>
      <c r="S119" s="758"/>
      <c r="T119" s="759"/>
    </row>
    <row r="120" spans="2:20">
      <c r="B120" s="2426"/>
      <c r="C120" s="2413"/>
      <c r="D120" s="2427"/>
      <c r="E120" s="2413"/>
      <c r="F120" s="2421"/>
      <c r="G120" s="2421"/>
      <c r="H120" s="2423"/>
      <c r="I120" s="2424"/>
      <c r="J120" s="2421"/>
      <c r="K120" s="2421"/>
      <c r="L120" s="2421"/>
      <c r="M120" s="2413"/>
      <c r="N120" s="2413"/>
      <c r="O120" s="2443"/>
      <c r="P120" s="173"/>
      <c r="Q120" s="173"/>
      <c r="R120" s="173"/>
      <c r="S120" s="173"/>
      <c r="T120" s="760"/>
    </row>
    <row r="121" spans="2:20">
      <c r="B121" s="2425"/>
      <c r="C121" s="2411"/>
      <c r="D121" s="2414"/>
      <c r="E121" s="2411"/>
      <c r="F121" s="2419">
        <f>F119</f>
        <v>0</v>
      </c>
      <c r="G121" s="2419">
        <f>F121-F119</f>
        <v>0</v>
      </c>
      <c r="H121" s="2422">
        <f>G121*G98</f>
        <v>0</v>
      </c>
      <c r="I121" s="2422">
        <f>I119+H121</f>
        <v>0</v>
      </c>
      <c r="J121" s="2419"/>
      <c r="K121" s="2419"/>
      <c r="L121" s="2419">
        <f>IF(H121=0,0,IF((100-J121-K121)&lt;0,0,100-J121-K121))</f>
        <v>0</v>
      </c>
      <c r="M121" s="2411"/>
      <c r="N121" s="2411"/>
      <c r="O121" s="2443"/>
      <c r="P121" s="758"/>
      <c r="Q121" s="758"/>
      <c r="R121" s="758"/>
      <c r="S121" s="758"/>
      <c r="T121" s="759"/>
    </row>
    <row r="122" spans="2:20">
      <c r="B122" s="2426"/>
      <c r="C122" s="2413"/>
      <c r="D122" s="2427"/>
      <c r="E122" s="2413"/>
      <c r="F122" s="2421"/>
      <c r="G122" s="2421"/>
      <c r="H122" s="2423"/>
      <c r="I122" s="2424"/>
      <c r="J122" s="2421"/>
      <c r="K122" s="2421"/>
      <c r="L122" s="2421"/>
      <c r="M122" s="2413"/>
      <c r="N122" s="2413"/>
      <c r="O122" s="2443"/>
      <c r="P122" s="173"/>
      <c r="Q122" s="173"/>
      <c r="R122" s="173"/>
      <c r="S122" s="173"/>
      <c r="T122" s="760"/>
    </row>
    <row r="123" spans="2:20">
      <c r="B123" s="2425"/>
      <c r="C123" s="2411"/>
      <c r="D123" s="2414"/>
      <c r="E123" s="2411"/>
      <c r="F123" s="2419">
        <f>F121</f>
        <v>0</v>
      </c>
      <c r="G123" s="2419">
        <f>F123-F121</f>
        <v>0</v>
      </c>
      <c r="H123" s="2422">
        <f>G123*G98</f>
        <v>0</v>
      </c>
      <c r="I123" s="2422">
        <f>I121+H123</f>
        <v>0</v>
      </c>
      <c r="J123" s="2419"/>
      <c r="K123" s="2419"/>
      <c r="L123" s="2419">
        <f>IF(H123=0,0,IF((100-J123-K123)&lt;0,0,100-J123-K123))</f>
        <v>0</v>
      </c>
      <c r="M123" s="2411"/>
      <c r="N123" s="2411"/>
      <c r="O123" s="2443"/>
      <c r="P123" s="758"/>
      <c r="Q123" s="758"/>
      <c r="R123" s="758"/>
      <c r="S123" s="758"/>
      <c r="T123" s="759"/>
    </row>
    <row r="124" spans="2:20">
      <c r="B124" s="2426"/>
      <c r="C124" s="2413"/>
      <c r="D124" s="2427"/>
      <c r="E124" s="2413"/>
      <c r="F124" s="2421"/>
      <c r="G124" s="2421"/>
      <c r="H124" s="2423"/>
      <c r="I124" s="2424"/>
      <c r="J124" s="2421"/>
      <c r="K124" s="2421"/>
      <c r="L124" s="2421"/>
      <c r="M124" s="2413"/>
      <c r="N124" s="2413"/>
      <c r="O124" s="2443"/>
      <c r="P124" s="173"/>
      <c r="Q124" s="173"/>
      <c r="R124" s="173"/>
      <c r="S124" s="173"/>
      <c r="T124" s="760"/>
    </row>
    <row r="125" spans="2:20">
      <c r="B125" s="2425"/>
      <c r="C125" s="2411"/>
      <c r="D125" s="2414"/>
      <c r="E125" s="2411"/>
      <c r="F125" s="2419">
        <f>F123</f>
        <v>0</v>
      </c>
      <c r="G125" s="2419">
        <f>F125-F123</f>
        <v>0</v>
      </c>
      <c r="H125" s="2422">
        <f>G125*G98</f>
        <v>0</v>
      </c>
      <c r="I125" s="2422">
        <f>I123+H125</f>
        <v>0</v>
      </c>
      <c r="J125" s="2419"/>
      <c r="K125" s="2419"/>
      <c r="L125" s="2419">
        <f>IF(H125=0,0,IF((100-J125-K125)&lt;0,0,100-J125-K125))</f>
        <v>0</v>
      </c>
      <c r="M125" s="2411"/>
      <c r="N125" s="2411"/>
      <c r="O125" s="2443"/>
      <c r="P125" s="758"/>
      <c r="Q125" s="758"/>
      <c r="R125" s="758"/>
      <c r="S125" s="758"/>
      <c r="T125" s="759"/>
    </row>
    <row r="126" spans="2:20">
      <c r="B126" s="2426"/>
      <c r="C126" s="2413"/>
      <c r="D126" s="2427"/>
      <c r="E126" s="2413"/>
      <c r="F126" s="2421"/>
      <c r="G126" s="2421"/>
      <c r="H126" s="2423"/>
      <c r="I126" s="2424"/>
      <c r="J126" s="2421"/>
      <c r="K126" s="2421"/>
      <c r="L126" s="2421"/>
      <c r="M126" s="2413"/>
      <c r="N126" s="2413"/>
      <c r="O126" s="2443"/>
      <c r="P126" s="173"/>
      <c r="Q126" s="173"/>
      <c r="R126" s="173"/>
      <c r="S126" s="173"/>
      <c r="T126" s="760"/>
    </row>
    <row r="127" spans="2:20">
      <c r="B127" s="2425"/>
      <c r="C127" s="2411"/>
      <c r="D127" s="2414"/>
      <c r="E127" s="2411"/>
      <c r="F127" s="2419">
        <f>F125</f>
        <v>0</v>
      </c>
      <c r="G127" s="2419">
        <f>F127-F125</f>
        <v>0</v>
      </c>
      <c r="H127" s="2422">
        <f>G127*G98</f>
        <v>0</v>
      </c>
      <c r="I127" s="2422">
        <f>I125+H127</f>
        <v>0</v>
      </c>
      <c r="J127" s="2419"/>
      <c r="K127" s="2419"/>
      <c r="L127" s="2419">
        <f>IF(H127=0,0,IF((100-J127-K127)&lt;0,0,100-J127-K127))</f>
        <v>0</v>
      </c>
      <c r="M127" s="2411"/>
      <c r="N127" s="2411"/>
      <c r="O127" s="2443"/>
      <c r="P127" s="758"/>
      <c r="Q127" s="758"/>
      <c r="R127" s="758"/>
      <c r="S127" s="758"/>
      <c r="T127" s="759"/>
    </row>
    <row r="128" spans="2:20">
      <c r="B128" s="2426"/>
      <c r="C128" s="2413"/>
      <c r="D128" s="2427"/>
      <c r="E128" s="2413"/>
      <c r="F128" s="2421"/>
      <c r="G128" s="2421"/>
      <c r="H128" s="2423"/>
      <c r="I128" s="2424"/>
      <c r="J128" s="2421"/>
      <c r="K128" s="2421"/>
      <c r="L128" s="2421"/>
      <c r="M128" s="2413"/>
      <c r="N128" s="2413"/>
      <c r="O128" s="2443"/>
      <c r="P128" s="173"/>
      <c r="Q128" s="173"/>
      <c r="R128" s="173"/>
      <c r="S128" s="173"/>
      <c r="T128" s="760"/>
    </row>
    <row r="129" spans="2:20">
      <c r="B129" s="2425"/>
      <c r="C129" s="2411"/>
      <c r="D129" s="2414"/>
      <c r="E129" s="2411"/>
      <c r="F129" s="2419">
        <f>F127</f>
        <v>0</v>
      </c>
      <c r="G129" s="2419">
        <f>F129-F127</f>
        <v>0</v>
      </c>
      <c r="H129" s="2422">
        <f>G129*G98</f>
        <v>0</v>
      </c>
      <c r="I129" s="2422">
        <f>I127+H129</f>
        <v>0</v>
      </c>
      <c r="J129" s="2419"/>
      <c r="K129" s="2419"/>
      <c r="L129" s="2419">
        <f>IF(H129=0,0,IF((100-J129-K129)&lt;0,0,100-J129-K129))</f>
        <v>0</v>
      </c>
      <c r="M129" s="2411"/>
      <c r="N129" s="2411"/>
      <c r="O129" s="2443"/>
      <c r="P129" s="758"/>
      <c r="Q129" s="758"/>
      <c r="R129" s="758"/>
      <c r="S129" s="758"/>
      <c r="T129" s="759"/>
    </row>
    <row r="130" spans="2:20">
      <c r="B130" s="2426"/>
      <c r="C130" s="2413"/>
      <c r="D130" s="2427"/>
      <c r="E130" s="2413"/>
      <c r="F130" s="2421"/>
      <c r="G130" s="2421"/>
      <c r="H130" s="2423"/>
      <c r="I130" s="2424"/>
      <c r="J130" s="2421"/>
      <c r="K130" s="2421"/>
      <c r="L130" s="2421"/>
      <c r="M130" s="2413"/>
      <c r="N130" s="2413"/>
      <c r="O130" s="2443"/>
      <c r="P130" s="173"/>
      <c r="Q130" s="173"/>
      <c r="R130" s="173"/>
      <c r="S130" s="173"/>
      <c r="T130" s="760"/>
    </row>
    <row r="131" spans="2:20">
      <c r="B131" s="2425"/>
      <c r="C131" s="2411"/>
      <c r="D131" s="2414"/>
      <c r="E131" s="2411"/>
      <c r="F131" s="2419">
        <f>F129</f>
        <v>0</v>
      </c>
      <c r="G131" s="2419">
        <f>F131-F129</f>
        <v>0</v>
      </c>
      <c r="H131" s="2422">
        <f>G131*G98</f>
        <v>0</v>
      </c>
      <c r="I131" s="2422">
        <f>I129+H131</f>
        <v>0</v>
      </c>
      <c r="J131" s="2419"/>
      <c r="K131" s="2419"/>
      <c r="L131" s="2419">
        <f>IF(H131=0,0,IF((100-J131-K131)&lt;0,0,100-J131-K131))</f>
        <v>0</v>
      </c>
      <c r="M131" s="2411"/>
      <c r="N131" s="2411"/>
      <c r="O131" s="2443"/>
      <c r="P131" s="758"/>
      <c r="Q131" s="758"/>
      <c r="R131" s="758"/>
      <c r="S131" s="758"/>
      <c r="T131" s="759"/>
    </row>
    <row r="132" spans="2:20" ht="13.75" thickBot="1">
      <c r="B132" s="2426"/>
      <c r="C132" s="2413"/>
      <c r="D132" s="2427"/>
      <c r="E132" s="2413"/>
      <c r="F132" s="2421"/>
      <c r="G132" s="2421"/>
      <c r="H132" s="2423"/>
      <c r="I132" s="2424"/>
      <c r="J132" s="2421"/>
      <c r="K132" s="2421"/>
      <c r="L132" s="2421"/>
      <c r="M132" s="2413"/>
      <c r="N132" s="2413"/>
      <c r="O132" s="2443"/>
      <c r="P132" s="173"/>
      <c r="Q132" s="173"/>
      <c r="R132" s="173"/>
      <c r="S132" s="173"/>
      <c r="T132" s="185"/>
    </row>
    <row r="133" spans="2:20">
      <c r="B133" s="2425"/>
      <c r="C133" s="2411"/>
      <c r="D133" s="2414"/>
      <c r="E133" s="2411"/>
      <c r="F133" s="2419">
        <f>F131</f>
        <v>0</v>
      </c>
      <c r="G133" s="2419">
        <f>F133-F131</f>
        <v>0</v>
      </c>
      <c r="H133" s="2422">
        <f>G133*G98</f>
        <v>0</v>
      </c>
      <c r="I133" s="2422">
        <f>I131+H133</f>
        <v>0</v>
      </c>
      <c r="J133" s="2419"/>
      <c r="K133" s="2419"/>
      <c r="L133" s="2419">
        <f>IF(H133=0,0,IF((100-J133-K133)&lt;0,0,100-J133-K133))</f>
        <v>0</v>
      </c>
      <c r="M133" s="2411"/>
      <c r="N133" s="2411"/>
      <c r="O133" s="2457"/>
      <c r="P133" s="365"/>
      <c r="Q133" s="365"/>
      <c r="R133" s="365"/>
      <c r="S133" s="365"/>
      <c r="T133" s="1087" t="str">
        <f>T88</f>
        <v>Ttl Other (1)</v>
      </c>
    </row>
    <row r="134" spans="2:20" ht="13.75" thickBot="1">
      <c r="B134" s="2430"/>
      <c r="C134" s="2412"/>
      <c r="D134" s="2415"/>
      <c r="E134" s="2412"/>
      <c r="F134" s="2420"/>
      <c r="G134" s="2420"/>
      <c r="H134" s="2428"/>
      <c r="I134" s="2429"/>
      <c r="J134" s="2420"/>
      <c r="K134" s="2420"/>
      <c r="L134" s="2420"/>
      <c r="M134" s="2412"/>
      <c r="N134" s="2412"/>
      <c r="O134" s="2458"/>
      <c r="P134" s="1313" t="s">
        <v>806</v>
      </c>
      <c r="Q134" s="1314">
        <f>((H103*K103)+(H105*K105)+(H107*K107)+(H109*K109)+(H111*K111)+(H113*K113)+(H115*K115)+(H117*K117)+(H119*K119)+(H121*K121)+(H123*K123)+(H125*K125)+(H127*K127)+(H129*K129)+(H131*K131)+(H133*K133))/100</f>
        <v>0</v>
      </c>
      <c r="R134" s="1313" t="s">
        <v>807</v>
      </c>
      <c r="S134" s="1314">
        <f>((J103*H103)+(J105*H105)+(J107*H107)+(J109*H109)+(J111*H111)+(J113*H113)+(J115*H115)+(J117*H117)+(J119*H119)+(J121*H121)+(J123*H123)+(J125*H125)+(J127*H127)+(J129*H129)+(J131*H131)+(J133*H133))/100</f>
        <v>0</v>
      </c>
      <c r="T134" s="763">
        <f>I133-Q134-S134</f>
        <v>0</v>
      </c>
    </row>
    <row r="135" spans="2:20">
      <c r="B135" s="752"/>
      <c r="C135" s="753"/>
      <c r="D135" s="753"/>
      <c r="E135" s="753"/>
      <c r="F135" s="754"/>
      <c r="G135" s="754"/>
      <c r="H135" s="755"/>
      <c r="I135" s="751"/>
      <c r="J135" s="754"/>
      <c r="K135" s="754"/>
      <c r="L135" s="754"/>
      <c r="M135" s="753"/>
      <c r="N135" s="753"/>
      <c r="O135" s="41"/>
      <c r="P135" s="756"/>
      <c r="Q135" s="41"/>
      <c r="R135" s="41"/>
      <c r="S135" s="756"/>
      <c r="T135" s="761"/>
    </row>
    <row r="136" spans="2:20" ht="13.75" thickBot="1">
      <c r="B136" s="512"/>
      <c r="C136" s="757"/>
      <c r="D136" s="513"/>
      <c r="E136" s="513"/>
      <c r="F136" s="514"/>
      <c r="G136" s="514"/>
      <c r="H136" s="515"/>
      <c r="I136" s="516"/>
      <c r="J136" s="514"/>
      <c r="K136" s="514"/>
      <c r="L136" s="514"/>
      <c r="M136" s="513"/>
      <c r="N136" s="513"/>
      <c r="O136" s="366"/>
      <c r="P136" s="366"/>
      <c r="Q136" s="366"/>
      <c r="R136" s="366"/>
      <c r="S136" s="366"/>
      <c r="T136" s="762"/>
    </row>
    <row r="137" spans="2:20">
      <c r="B137" s="2406">
        <f>Summary!A212</f>
        <v>0</v>
      </c>
      <c r="C137" s="2407"/>
      <c r="D137" s="2407"/>
      <c r="E137" s="2407"/>
      <c r="F137" s="2407"/>
      <c r="G137" s="2407"/>
      <c r="H137" s="2407"/>
      <c r="I137" s="2407"/>
      <c r="J137" s="2407"/>
      <c r="K137" s="2407"/>
      <c r="L137" s="2407"/>
      <c r="M137" s="2407"/>
      <c r="N137" s="2407"/>
      <c r="O137" s="2407"/>
      <c r="P137" s="2407"/>
      <c r="Q137" s="2407"/>
      <c r="R137" s="2407"/>
      <c r="S137" s="2407"/>
      <c r="T137" s="2408"/>
    </row>
    <row r="138" spans="2:20">
      <c r="B138" s="1790" t="s">
        <v>1453</v>
      </c>
      <c r="C138" s="1659"/>
      <c r="D138" s="1659"/>
      <c r="E138" s="1659"/>
      <c r="F138" s="1659"/>
      <c r="G138" s="1659"/>
      <c r="H138" s="1659"/>
      <c r="I138" s="1659"/>
      <c r="J138" s="1659"/>
      <c r="K138" s="1659"/>
      <c r="L138" s="1659"/>
      <c r="M138" s="1659"/>
      <c r="N138" s="1659"/>
      <c r="O138" s="1659"/>
      <c r="P138" s="1659"/>
      <c r="Q138" s="1659"/>
      <c r="R138" s="1659"/>
      <c r="S138" s="1659"/>
      <c r="T138" s="1778"/>
    </row>
    <row r="139" spans="2:20">
      <c r="B139" s="84"/>
      <c r="P139" s="120" t="s">
        <v>729</v>
      </c>
      <c r="Q139" s="4">
        <f>IF(B148&gt;0,2,0)</f>
        <v>0</v>
      </c>
      <c r="R139" s="4"/>
      <c r="S139" s="120" t="s">
        <v>730</v>
      </c>
      <c r="T139" s="133">
        <f>IF(Q139=2,2,0)</f>
        <v>0</v>
      </c>
    </row>
    <row r="140" spans="2:20">
      <c r="B140" s="84"/>
      <c r="E140"/>
      <c r="T140" s="39"/>
    </row>
    <row r="141" spans="2:20">
      <c r="B141" s="947" t="s">
        <v>634</v>
      </c>
      <c r="C141" s="23">
        <f>C96</f>
        <v>0</v>
      </c>
      <c r="T141" s="39"/>
    </row>
    <row r="142" spans="2:20">
      <c r="B142" s="84"/>
      <c r="T142" s="39"/>
    </row>
    <row r="143" spans="2:20">
      <c r="B143" s="84" t="s">
        <v>221</v>
      </c>
      <c r="C143" s="2416">
        <f>IF(Q139=2,C98,0)</f>
        <v>0</v>
      </c>
      <c r="D143" s="2416"/>
      <c r="E143" s="2000" t="s">
        <v>736</v>
      </c>
      <c r="F143" s="2000"/>
      <c r="G143" s="23">
        <f>G98</f>
        <v>0</v>
      </c>
      <c r="I143" s="1659" t="s">
        <v>737</v>
      </c>
      <c r="J143" s="1659"/>
      <c r="K143" s="168">
        <f>K98</f>
        <v>0</v>
      </c>
      <c r="N143" s="23" t="s">
        <v>660</v>
      </c>
      <c r="P143" s="23">
        <f>P98</f>
        <v>0</v>
      </c>
      <c r="T143" s="39"/>
    </row>
    <row r="144" spans="2:20">
      <c r="B144" s="84"/>
      <c r="D144" s="2417" t="s">
        <v>805</v>
      </c>
      <c r="E144" s="2417"/>
      <c r="F144" s="2417"/>
      <c r="G144" s="367">
        <f>F133</f>
        <v>0</v>
      </c>
      <c r="H144" s="2418" t="s">
        <v>1003</v>
      </c>
      <c r="I144" s="2418"/>
      <c r="J144" s="2418"/>
      <c r="K144" s="2409">
        <f>K99</f>
        <v>0</v>
      </c>
      <c r="L144" s="2409"/>
      <c r="M144" s="2409">
        <f>M99</f>
        <v>0</v>
      </c>
      <c r="N144" s="2409"/>
      <c r="O144" s="2409">
        <f>O99</f>
        <v>0</v>
      </c>
      <c r="P144" s="2409"/>
      <c r="Q144" s="2409">
        <f>Q99</f>
        <v>0</v>
      </c>
      <c r="R144" s="2409"/>
      <c r="S144" s="2409"/>
      <c r="T144" s="2410"/>
    </row>
    <row r="145" spans="2:20" ht="12.75" customHeight="1">
      <c r="B145" s="2437" t="s">
        <v>208</v>
      </c>
      <c r="C145" s="2440" t="s">
        <v>738</v>
      </c>
      <c r="D145" s="739" t="s">
        <v>209</v>
      </c>
      <c r="E145" s="739" t="s">
        <v>207</v>
      </c>
      <c r="F145" s="2431" t="s">
        <v>210</v>
      </c>
      <c r="G145" s="2431" t="s">
        <v>210</v>
      </c>
      <c r="H145" s="2431" t="s">
        <v>209</v>
      </c>
      <c r="I145" s="739" t="s">
        <v>801</v>
      </c>
      <c r="J145" s="2433" t="s">
        <v>802</v>
      </c>
      <c r="K145" s="2434"/>
      <c r="L145" s="2435"/>
      <c r="M145" s="739" t="s">
        <v>204</v>
      </c>
      <c r="N145" s="765" t="s">
        <v>260</v>
      </c>
      <c r="O145" s="1310" t="s">
        <v>270</v>
      </c>
      <c r="P145" s="2450" t="s">
        <v>212</v>
      </c>
      <c r="Q145" s="2450"/>
      <c r="R145" s="2450"/>
      <c r="S145" s="2450"/>
      <c r="T145" s="2451"/>
    </row>
    <row r="146" spans="2:20">
      <c r="B146" s="2438"/>
      <c r="C146" s="2441"/>
      <c r="D146" s="741" t="s">
        <v>214</v>
      </c>
      <c r="E146" s="741" t="s">
        <v>215</v>
      </c>
      <c r="F146" s="2432"/>
      <c r="G146" s="2432"/>
      <c r="H146" s="2432"/>
      <c r="I146" s="741" t="s">
        <v>209</v>
      </c>
      <c r="J146" s="2431" t="s">
        <v>803</v>
      </c>
      <c r="K146" s="2431" t="s">
        <v>804</v>
      </c>
      <c r="L146" s="2431" t="str">
        <f>L101</f>
        <v>Other (1)%</v>
      </c>
      <c r="M146" s="741" t="s">
        <v>217</v>
      </c>
      <c r="N146" s="766" t="s">
        <v>217</v>
      </c>
      <c r="O146" s="1311" t="s">
        <v>481</v>
      </c>
      <c r="P146" s="2452"/>
      <c r="Q146" s="2452"/>
      <c r="R146" s="2452"/>
      <c r="S146" s="2452"/>
      <c r="T146" s="2453"/>
    </row>
    <row r="147" spans="2:20">
      <c r="B147" s="2439"/>
      <c r="C147" s="2442"/>
      <c r="D147" s="740" t="str">
        <f>D102</f>
        <v xml:space="preserve">m </v>
      </c>
      <c r="E147" s="740" t="str">
        <f>D147</f>
        <v xml:space="preserve">m </v>
      </c>
      <c r="F147" s="740" t="s">
        <v>211</v>
      </c>
      <c r="G147" s="740" t="s">
        <v>739</v>
      </c>
      <c r="H147" s="742" t="str">
        <f>H102</f>
        <v>Gain</v>
      </c>
      <c r="I147" s="740" t="str">
        <f>I102</f>
        <v>m³</v>
      </c>
      <c r="J147" s="2436"/>
      <c r="K147" s="2436"/>
      <c r="L147" s="2436"/>
      <c r="M147" s="740" t="str">
        <f>M102</f>
        <v>kPa</v>
      </c>
      <c r="N147" s="767" t="str">
        <f>N102</f>
        <v>kPa</v>
      </c>
      <c r="O147" s="1312" t="str">
        <f>O102</f>
        <v>10³m³/d</v>
      </c>
      <c r="P147" s="2454"/>
      <c r="Q147" s="2454"/>
      <c r="R147" s="2454"/>
      <c r="S147" s="2454"/>
      <c r="T147" s="2455"/>
    </row>
    <row r="148" spans="2:20">
      <c r="B148" s="2425">
        <v>0</v>
      </c>
      <c r="C148" s="2411"/>
      <c r="D148" s="2411"/>
      <c r="E148" s="2411"/>
      <c r="F148" s="2419">
        <f>G144</f>
        <v>0</v>
      </c>
      <c r="G148" s="2419">
        <f>F148-G144</f>
        <v>0</v>
      </c>
      <c r="H148" s="2422">
        <f>G148*G143</f>
        <v>0</v>
      </c>
      <c r="I148" s="2422">
        <f>H148+I133</f>
        <v>0</v>
      </c>
      <c r="J148" s="2419">
        <v>0</v>
      </c>
      <c r="K148" s="2419">
        <v>0</v>
      </c>
      <c r="L148" s="2419">
        <f>IF(H148=0,0,IF((100-J148-K148)&lt;0,0,100-J148-K148))</f>
        <v>0</v>
      </c>
      <c r="M148" s="2411"/>
      <c r="N148" s="2411"/>
      <c r="O148" s="2443"/>
      <c r="P148" s="758"/>
      <c r="Q148" s="758"/>
      <c r="R148" s="758"/>
      <c r="S148" s="758"/>
      <c r="T148" s="759"/>
    </row>
    <row r="149" spans="2:20">
      <c r="B149" s="2426"/>
      <c r="C149" s="2413"/>
      <c r="D149" s="2413"/>
      <c r="E149" s="2413"/>
      <c r="F149" s="2421"/>
      <c r="G149" s="2421"/>
      <c r="H149" s="2423"/>
      <c r="I149" s="2423"/>
      <c r="J149" s="2421"/>
      <c r="K149" s="2421"/>
      <c r="L149" s="2421"/>
      <c r="M149" s="2413"/>
      <c r="N149" s="2413"/>
      <c r="O149" s="2443"/>
      <c r="P149" s="173"/>
      <c r="Q149" s="173"/>
      <c r="R149" s="173"/>
      <c r="S149" s="173"/>
      <c r="T149" s="760"/>
    </row>
    <row r="150" spans="2:20">
      <c r="B150" s="2425"/>
      <c r="C150" s="2411"/>
      <c r="D150" s="2414"/>
      <c r="E150" s="2411"/>
      <c r="F150" s="2419">
        <f>F148</f>
        <v>0</v>
      </c>
      <c r="G150" s="2419">
        <f>F150-F148</f>
        <v>0</v>
      </c>
      <c r="H150" s="2422">
        <f>G150*G143</f>
        <v>0</v>
      </c>
      <c r="I150" s="2422">
        <f>I148+H150</f>
        <v>0</v>
      </c>
      <c r="J150" s="2419"/>
      <c r="K150" s="2419"/>
      <c r="L150" s="2419">
        <f>IF(H150=0,0,IF((100-J150-K150)&lt;0,0,100-J150-K150))</f>
        <v>0</v>
      </c>
      <c r="M150" s="2411"/>
      <c r="N150" s="2411"/>
      <c r="O150" s="2443"/>
      <c r="P150" s="758"/>
      <c r="Q150" s="758"/>
      <c r="R150" s="758"/>
      <c r="S150" s="758"/>
      <c r="T150" s="759"/>
    </row>
    <row r="151" spans="2:20">
      <c r="B151" s="2426"/>
      <c r="C151" s="2413"/>
      <c r="D151" s="2427"/>
      <c r="E151" s="2413"/>
      <c r="F151" s="2421"/>
      <c r="G151" s="2421"/>
      <c r="H151" s="2423"/>
      <c r="I151" s="2424"/>
      <c r="J151" s="2421"/>
      <c r="K151" s="2421"/>
      <c r="L151" s="2421"/>
      <c r="M151" s="2413"/>
      <c r="N151" s="2413"/>
      <c r="O151" s="2443"/>
      <c r="P151" s="173"/>
      <c r="Q151" s="173"/>
      <c r="R151" s="173"/>
      <c r="S151" s="173"/>
      <c r="T151" s="760"/>
    </row>
    <row r="152" spans="2:20">
      <c r="B152" s="2425"/>
      <c r="C152" s="2411"/>
      <c r="D152" s="2414"/>
      <c r="E152" s="2411"/>
      <c r="F152" s="2419">
        <f>F150</f>
        <v>0</v>
      </c>
      <c r="G152" s="2419">
        <f>F152-F150</f>
        <v>0</v>
      </c>
      <c r="H152" s="2422">
        <f>G152*G143</f>
        <v>0</v>
      </c>
      <c r="I152" s="2422">
        <f>I150+H152</f>
        <v>0</v>
      </c>
      <c r="J152" s="2419"/>
      <c r="K152" s="2419"/>
      <c r="L152" s="2419">
        <f>IF(H152=0,0,IF((100-J152-K152)&lt;0,0,100-J152-K152))</f>
        <v>0</v>
      </c>
      <c r="M152" s="2411"/>
      <c r="N152" s="2411"/>
      <c r="O152" s="2443"/>
      <c r="P152" s="758"/>
      <c r="Q152" s="758"/>
      <c r="R152" s="758"/>
      <c r="S152" s="758"/>
      <c r="T152" s="759"/>
    </row>
    <row r="153" spans="2:20">
      <c r="B153" s="2426"/>
      <c r="C153" s="2413"/>
      <c r="D153" s="2427"/>
      <c r="E153" s="2413"/>
      <c r="F153" s="2421"/>
      <c r="G153" s="2421"/>
      <c r="H153" s="2423"/>
      <c r="I153" s="2424"/>
      <c r="J153" s="2421"/>
      <c r="K153" s="2421"/>
      <c r="L153" s="2421"/>
      <c r="M153" s="2413"/>
      <c r="N153" s="2413"/>
      <c r="O153" s="2443"/>
      <c r="P153" s="173"/>
      <c r="Q153" s="173"/>
      <c r="R153" s="173"/>
      <c r="S153" s="173"/>
      <c r="T153" s="760"/>
    </row>
    <row r="154" spans="2:20">
      <c r="B154" s="2425"/>
      <c r="C154" s="2411"/>
      <c r="D154" s="2414"/>
      <c r="E154" s="2411"/>
      <c r="F154" s="2419">
        <f>F152</f>
        <v>0</v>
      </c>
      <c r="G154" s="2419">
        <f>F154-F152</f>
        <v>0</v>
      </c>
      <c r="H154" s="2422">
        <f>G154*G143</f>
        <v>0</v>
      </c>
      <c r="I154" s="2422">
        <f>I152+H154</f>
        <v>0</v>
      </c>
      <c r="J154" s="2419"/>
      <c r="K154" s="2419"/>
      <c r="L154" s="2419">
        <f>IF(H154=0,0,IF((100-J154-K154)&lt;0,0,100-J154-K154))</f>
        <v>0</v>
      </c>
      <c r="M154" s="2411"/>
      <c r="N154" s="2411"/>
      <c r="O154" s="2443"/>
      <c r="P154" s="758"/>
      <c r="Q154" s="758"/>
      <c r="R154" s="758"/>
      <c r="S154" s="758"/>
      <c r="T154" s="759"/>
    </row>
    <row r="155" spans="2:20">
      <c r="B155" s="2426"/>
      <c r="C155" s="2413"/>
      <c r="D155" s="2427"/>
      <c r="E155" s="2413"/>
      <c r="F155" s="2421"/>
      <c r="G155" s="2421"/>
      <c r="H155" s="2423"/>
      <c r="I155" s="2424"/>
      <c r="J155" s="2421"/>
      <c r="K155" s="2421"/>
      <c r="L155" s="2421"/>
      <c r="M155" s="2413"/>
      <c r="N155" s="2413"/>
      <c r="O155" s="2443"/>
      <c r="P155" s="173"/>
      <c r="Q155" s="173"/>
      <c r="R155" s="173"/>
      <c r="S155" s="173"/>
      <c r="T155" s="760"/>
    </row>
    <row r="156" spans="2:20">
      <c r="B156" s="2425"/>
      <c r="C156" s="2411"/>
      <c r="D156" s="2414"/>
      <c r="E156" s="2411"/>
      <c r="F156" s="2419">
        <f>F154</f>
        <v>0</v>
      </c>
      <c r="G156" s="2419">
        <f>F156-F154</f>
        <v>0</v>
      </c>
      <c r="H156" s="2422">
        <f>G156*G143</f>
        <v>0</v>
      </c>
      <c r="I156" s="2422">
        <f>I154+H156</f>
        <v>0</v>
      </c>
      <c r="J156" s="2419"/>
      <c r="K156" s="2419"/>
      <c r="L156" s="2419">
        <f>IF(H156=0,0,IF((100-J156-K156)&lt;0,0,100-J156-K156))</f>
        <v>0</v>
      </c>
      <c r="M156" s="2411"/>
      <c r="N156" s="2411"/>
      <c r="O156" s="2443"/>
      <c r="P156" s="758"/>
      <c r="Q156" s="758"/>
      <c r="R156" s="758"/>
      <c r="S156" s="758"/>
      <c r="T156" s="759"/>
    </row>
    <row r="157" spans="2:20">
      <c r="B157" s="2426"/>
      <c r="C157" s="2413"/>
      <c r="D157" s="2427"/>
      <c r="E157" s="2413"/>
      <c r="F157" s="2421"/>
      <c r="G157" s="2421"/>
      <c r="H157" s="2423"/>
      <c r="I157" s="2424"/>
      <c r="J157" s="2421"/>
      <c r="K157" s="2421"/>
      <c r="L157" s="2421"/>
      <c r="M157" s="2413"/>
      <c r="N157" s="2413"/>
      <c r="O157" s="2443"/>
      <c r="P157" s="173"/>
      <c r="Q157" s="173"/>
      <c r="R157" s="173"/>
      <c r="S157" s="173"/>
      <c r="T157" s="760"/>
    </row>
    <row r="158" spans="2:20">
      <c r="B158" s="2425"/>
      <c r="C158" s="2411"/>
      <c r="D158" s="2414"/>
      <c r="E158" s="2411"/>
      <c r="F158" s="2419">
        <f>F156</f>
        <v>0</v>
      </c>
      <c r="G158" s="2419">
        <f>F158-F156</f>
        <v>0</v>
      </c>
      <c r="H158" s="2422">
        <f>G158*G143</f>
        <v>0</v>
      </c>
      <c r="I158" s="2422">
        <f>I156+H158</f>
        <v>0</v>
      </c>
      <c r="J158" s="2419"/>
      <c r="K158" s="2419"/>
      <c r="L158" s="2419">
        <f>IF(H158=0,0,IF((100-J158-K158)&lt;0,0,100-J158-K158))</f>
        <v>0</v>
      </c>
      <c r="M158" s="2411"/>
      <c r="N158" s="2411"/>
      <c r="O158" s="2443"/>
      <c r="P158" s="758"/>
      <c r="Q158" s="758"/>
      <c r="R158" s="758"/>
      <c r="S158" s="758"/>
      <c r="T158" s="759"/>
    </row>
    <row r="159" spans="2:20">
      <c r="B159" s="2426"/>
      <c r="C159" s="2413"/>
      <c r="D159" s="2427"/>
      <c r="E159" s="2413"/>
      <c r="F159" s="2421"/>
      <c r="G159" s="2421"/>
      <c r="H159" s="2423"/>
      <c r="I159" s="2424"/>
      <c r="J159" s="2421"/>
      <c r="K159" s="2421"/>
      <c r="L159" s="2421"/>
      <c r="M159" s="2413"/>
      <c r="N159" s="2413"/>
      <c r="O159" s="2443"/>
      <c r="P159" s="173"/>
      <c r="Q159" s="173"/>
      <c r="R159" s="173"/>
      <c r="S159" s="173"/>
      <c r="T159" s="760"/>
    </row>
    <row r="160" spans="2:20">
      <c r="B160" s="2425"/>
      <c r="C160" s="2411"/>
      <c r="D160" s="2414"/>
      <c r="E160" s="2411"/>
      <c r="F160" s="2419">
        <f>F158</f>
        <v>0</v>
      </c>
      <c r="G160" s="2419">
        <f>F160-F158</f>
        <v>0</v>
      </c>
      <c r="H160" s="2422">
        <f>G160*G143</f>
        <v>0</v>
      </c>
      <c r="I160" s="2422">
        <f>I158+H160</f>
        <v>0</v>
      </c>
      <c r="J160" s="2419"/>
      <c r="K160" s="2419"/>
      <c r="L160" s="2419">
        <f>IF(H160=0,0,IF((100-J160-K160)&lt;0,0,100-J160-K160))</f>
        <v>0</v>
      </c>
      <c r="M160" s="2411"/>
      <c r="N160" s="2411"/>
      <c r="O160" s="2443"/>
      <c r="P160" s="758"/>
      <c r="Q160" s="758"/>
      <c r="R160" s="758"/>
      <c r="S160" s="758"/>
      <c r="T160" s="759"/>
    </row>
    <row r="161" spans="2:20">
      <c r="B161" s="2426"/>
      <c r="C161" s="2413"/>
      <c r="D161" s="2427"/>
      <c r="E161" s="2413"/>
      <c r="F161" s="2421"/>
      <c r="G161" s="2421"/>
      <c r="H161" s="2423"/>
      <c r="I161" s="2424"/>
      <c r="J161" s="2421"/>
      <c r="K161" s="2421"/>
      <c r="L161" s="2421"/>
      <c r="M161" s="2413"/>
      <c r="N161" s="2413"/>
      <c r="O161" s="2443"/>
      <c r="P161" s="173"/>
      <c r="Q161" s="173"/>
      <c r="R161" s="173"/>
      <c r="S161" s="173"/>
      <c r="T161" s="760"/>
    </row>
    <row r="162" spans="2:20">
      <c r="B162" s="2425"/>
      <c r="C162" s="2411"/>
      <c r="D162" s="2414"/>
      <c r="E162" s="2411"/>
      <c r="F162" s="2419">
        <f>F160</f>
        <v>0</v>
      </c>
      <c r="G162" s="2419">
        <f>F162-F160</f>
        <v>0</v>
      </c>
      <c r="H162" s="2422">
        <f>G162*G143</f>
        <v>0</v>
      </c>
      <c r="I162" s="2422">
        <f>I160+H162</f>
        <v>0</v>
      </c>
      <c r="J162" s="2419"/>
      <c r="K162" s="2419"/>
      <c r="L162" s="2419">
        <f>IF(H162=0,0,IF((100-J162-K162)&lt;0,0,100-J162-K162))</f>
        <v>0</v>
      </c>
      <c r="M162" s="2411"/>
      <c r="N162" s="2411"/>
      <c r="O162" s="2443"/>
      <c r="P162" s="758"/>
      <c r="Q162" s="758"/>
      <c r="R162" s="758"/>
      <c r="S162" s="758"/>
      <c r="T162" s="759"/>
    </row>
    <row r="163" spans="2:20">
      <c r="B163" s="2426"/>
      <c r="C163" s="2413"/>
      <c r="D163" s="2427"/>
      <c r="E163" s="2413"/>
      <c r="F163" s="2421"/>
      <c r="G163" s="2421"/>
      <c r="H163" s="2423"/>
      <c r="I163" s="2424"/>
      <c r="J163" s="2421"/>
      <c r="K163" s="2421"/>
      <c r="L163" s="2421"/>
      <c r="M163" s="2413"/>
      <c r="N163" s="2413"/>
      <c r="O163" s="2443"/>
      <c r="P163" s="173"/>
      <c r="Q163" s="173"/>
      <c r="R163" s="173"/>
      <c r="S163" s="173"/>
      <c r="T163" s="760"/>
    </row>
    <row r="164" spans="2:20">
      <c r="B164" s="2425"/>
      <c r="C164" s="2411"/>
      <c r="D164" s="2414"/>
      <c r="E164" s="2411"/>
      <c r="F164" s="2419">
        <f>F162</f>
        <v>0</v>
      </c>
      <c r="G164" s="2419">
        <f>F164-F162</f>
        <v>0</v>
      </c>
      <c r="H164" s="2422">
        <f>G164*G143</f>
        <v>0</v>
      </c>
      <c r="I164" s="2422">
        <f>I162+H164</f>
        <v>0</v>
      </c>
      <c r="J164" s="2419"/>
      <c r="K164" s="2419"/>
      <c r="L164" s="2419">
        <f>IF(H164=0,0,IF((100-J164-K164)&lt;0,0,100-J164-K164))</f>
        <v>0</v>
      </c>
      <c r="M164" s="2411"/>
      <c r="N164" s="2411"/>
      <c r="O164" s="2443"/>
      <c r="P164" s="758"/>
      <c r="Q164" s="758"/>
      <c r="R164" s="758"/>
      <c r="S164" s="758"/>
      <c r="T164" s="759"/>
    </row>
    <row r="165" spans="2:20">
      <c r="B165" s="2426"/>
      <c r="C165" s="2413"/>
      <c r="D165" s="2427"/>
      <c r="E165" s="2413"/>
      <c r="F165" s="2421"/>
      <c r="G165" s="2421"/>
      <c r="H165" s="2423"/>
      <c r="I165" s="2424"/>
      <c r="J165" s="2421"/>
      <c r="K165" s="2421"/>
      <c r="L165" s="2421"/>
      <c r="M165" s="2413"/>
      <c r="N165" s="2413"/>
      <c r="O165" s="2443"/>
      <c r="P165" s="173"/>
      <c r="Q165" s="173"/>
      <c r="R165" s="173"/>
      <c r="S165" s="173"/>
      <c r="T165" s="760"/>
    </row>
    <row r="166" spans="2:20">
      <c r="B166" s="2425"/>
      <c r="C166" s="2411"/>
      <c r="D166" s="2414"/>
      <c r="E166" s="2411"/>
      <c r="F166" s="2419">
        <f>F164</f>
        <v>0</v>
      </c>
      <c r="G166" s="2419">
        <f>F166-F164</f>
        <v>0</v>
      </c>
      <c r="H166" s="2422">
        <f>G166*G143</f>
        <v>0</v>
      </c>
      <c r="I166" s="2422">
        <f>I164+H166</f>
        <v>0</v>
      </c>
      <c r="J166" s="2419"/>
      <c r="K166" s="2419"/>
      <c r="L166" s="2419">
        <f>IF(H166=0,0,IF((100-J166-K166)&lt;0,0,100-J166-K166))</f>
        <v>0</v>
      </c>
      <c r="M166" s="2411"/>
      <c r="N166" s="2411"/>
      <c r="O166" s="2443"/>
      <c r="P166" s="758"/>
      <c r="Q166" s="758"/>
      <c r="R166" s="758"/>
      <c r="S166" s="758"/>
      <c r="T166" s="759"/>
    </row>
    <row r="167" spans="2:20">
      <c r="B167" s="2426"/>
      <c r="C167" s="2413"/>
      <c r="D167" s="2427"/>
      <c r="E167" s="2413"/>
      <c r="F167" s="2421"/>
      <c r="G167" s="2421"/>
      <c r="H167" s="2423"/>
      <c r="I167" s="2424"/>
      <c r="J167" s="2421"/>
      <c r="K167" s="2421"/>
      <c r="L167" s="2421"/>
      <c r="M167" s="2413"/>
      <c r="N167" s="2413"/>
      <c r="O167" s="2443"/>
      <c r="P167" s="173"/>
      <c r="Q167" s="173"/>
      <c r="R167" s="173"/>
      <c r="S167" s="173"/>
      <c r="T167" s="760"/>
    </row>
    <row r="168" spans="2:20">
      <c r="B168" s="2425"/>
      <c r="C168" s="2411"/>
      <c r="D168" s="2414"/>
      <c r="E168" s="2411"/>
      <c r="F168" s="2419">
        <f>F166</f>
        <v>0</v>
      </c>
      <c r="G168" s="2419">
        <f>F168-F166</f>
        <v>0</v>
      </c>
      <c r="H168" s="2422">
        <f>G168*G143</f>
        <v>0</v>
      </c>
      <c r="I168" s="2422">
        <f>I166+H168</f>
        <v>0</v>
      </c>
      <c r="J168" s="2419"/>
      <c r="K168" s="2419"/>
      <c r="L168" s="2419">
        <f>IF(H168=0,0,IF((100-J168-K168)&lt;0,0,100-J168-K168))</f>
        <v>0</v>
      </c>
      <c r="M168" s="2411"/>
      <c r="N168" s="2411"/>
      <c r="O168" s="2443"/>
      <c r="P168" s="758"/>
      <c r="Q168" s="758"/>
      <c r="R168" s="758"/>
      <c r="S168" s="758"/>
      <c r="T168" s="759"/>
    </row>
    <row r="169" spans="2:20">
      <c r="B169" s="2426"/>
      <c r="C169" s="2413"/>
      <c r="D169" s="2427"/>
      <c r="E169" s="2413"/>
      <c r="F169" s="2421"/>
      <c r="G169" s="2421"/>
      <c r="H169" s="2423"/>
      <c r="I169" s="2424"/>
      <c r="J169" s="2421"/>
      <c r="K169" s="2421"/>
      <c r="L169" s="2421"/>
      <c r="M169" s="2413"/>
      <c r="N169" s="2413"/>
      <c r="O169" s="2443"/>
      <c r="P169" s="173"/>
      <c r="Q169" s="173"/>
      <c r="R169" s="173"/>
      <c r="S169" s="173"/>
      <c r="T169" s="760"/>
    </row>
    <row r="170" spans="2:20">
      <c r="B170" s="2425"/>
      <c r="C170" s="2411"/>
      <c r="D170" s="2414"/>
      <c r="E170" s="2411"/>
      <c r="F170" s="2419">
        <f>F168</f>
        <v>0</v>
      </c>
      <c r="G170" s="2419">
        <f>F170-F168</f>
        <v>0</v>
      </c>
      <c r="H170" s="2422">
        <f>G170*G143</f>
        <v>0</v>
      </c>
      <c r="I170" s="2422">
        <f>I168+H170</f>
        <v>0</v>
      </c>
      <c r="J170" s="2419"/>
      <c r="K170" s="2419"/>
      <c r="L170" s="2419">
        <f>IF(H170=0,0,IF((100-J170-K170)&lt;0,0,100-J170-K170))</f>
        <v>0</v>
      </c>
      <c r="M170" s="2411"/>
      <c r="N170" s="2411"/>
      <c r="O170" s="2443"/>
      <c r="P170" s="758"/>
      <c r="Q170" s="758"/>
      <c r="R170" s="758"/>
      <c r="S170" s="758"/>
      <c r="T170" s="759"/>
    </row>
    <row r="171" spans="2:20">
      <c r="B171" s="2426"/>
      <c r="C171" s="2413"/>
      <c r="D171" s="2427"/>
      <c r="E171" s="2413"/>
      <c r="F171" s="2421"/>
      <c r="G171" s="2421"/>
      <c r="H171" s="2423"/>
      <c r="I171" s="2424"/>
      <c r="J171" s="2421"/>
      <c r="K171" s="2421"/>
      <c r="L171" s="2421"/>
      <c r="M171" s="2413"/>
      <c r="N171" s="2413"/>
      <c r="O171" s="2443"/>
      <c r="P171" s="173"/>
      <c r="Q171" s="173"/>
      <c r="R171" s="173"/>
      <c r="S171" s="173"/>
      <c r="T171" s="760"/>
    </row>
    <row r="172" spans="2:20">
      <c r="B172" s="2425"/>
      <c r="C172" s="2411"/>
      <c r="D172" s="2414"/>
      <c r="E172" s="2411"/>
      <c r="F172" s="2419">
        <f>F170</f>
        <v>0</v>
      </c>
      <c r="G172" s="2419">
        <f>F172-F170</f>
        <v>0</v>
      </c>
      <c r="H172" s="2422">
        <f>G172*G143</f>
        <v>0</v>
      </c>
      <c r="I172" s="2422">
        <f>I170+H172</f>
        <v>0</v>
      </c>
      <c r="J172" s="2419"/>
      <c r="K172" s="2419"/>
      <c r="L172" s="2419">
        <f>IF(H172=0,0,IF((100-J172-K172)&lt;0,0,100-J172-K172))</f>
        <v>0</v>
      </c>
      <c r="M172" s="2411"/>
      <c r="N172" s="2411"/>
      <c r="O172" s="2443"/>
      <c r="P172" s="758"/>
      <c r="Q172" s="758"/>
      <c r="R172" s="758"/>
      <c r="S172" s="758"/>
      <c r="T172" s="759"/>
    </row>
    <row r="173" spans="2:20">
      <c r="B173" s="2426"/>
      <c r="C173" s="2413"/>
      <c r="D173" s="2427"/>
      <c r="E173" s="2413"/>
      <c r="F173" s="2421"/>
      <c r="G173" s="2421"/>
      <c r="H173" s="2423"/>
      <c r="I173" s="2424"/>
      <c r="J173" s="2421"/>
      <c r="K173" s="2421"/>
      <c r="L173" s="2421"/>
      <c r="M173" s="2413"/>
      <c r="N173" s="2413"/>
      <c r="O173" s="2443"/>
      <c r="P173" s="173"/>
      <c r="Q173" s="173"/>
      <c r="R173" s="173"/>
      <c r="S173" s="173"/>
      <c r="T173" s="760"/>
    </row>
    <row r="174" spans="2:20">
      <c r="B174" s="2425"/>
      <c r="C174" s="2411"/>
      <c r="D174" s="2414"/>
      <c r="E174" s="2411"/>
      <c r="F174" s="2419">
        <f>F172</f>
        <v>0</v>
      </c>
      <c r="G174" s="2419">
        <f>F174-F172</f>
        <v>0</v>
      </c>
      <c r="H174" s="2422">
        <f>G174*G143</f>
        <v>0</v>
      </c>
      <c r="I174" s="2422">
        <f>I172+H174</f>
        <v>0</v>
      </c>
      <c r="J174" s="2419"/>
      <c r="K174" s="2419"/>
      <c r="L174" s="2419">
        <f>IF(H174=0,0,IF((100-J174-K174)&lt;0,0,100-J174-K174))</f>
        <v>0</v>
      </c>
      <c r="M174" s="2411"/>
      <c r="N174" s="2411"/>
      <c r="O174" s="2443"/>
      <c r="P174" s="758"/>
      <c r="Q174" s="758"/>
      <c r="R174" s="758"/>
      <c r="S174" s="758"/>
      <c r="T174" s="759"/>
    </row>
    <row r="175" spans="2:20">
      <c r="B175" s="2426"/>
      <c r="C175" s="2413"/>
      <c r="D175" s="2427"/>
      <c r="E175" s="2413"/>
      <c r="F175" s="2421"/>
      <c r="G175" s="2421"/>
      <c r="H175" s="2423"/>
      <c r="I175" s="2424"/>
      <c r="J175" s="2421"/>
      <c r="K175" s="2421"/>
      <c r="L175" s="2421"/>
      <c r="M175" s="2413"/>
      <c r="N175" s="2413"/>
      <c r="O175" s="2443"/>
      <c r="P175" s="173"/>
      <c r="Q175" s="173"/>
      <c r="R175" s="173"/>
      <c r="S175" s="173"/>
      <c r="T175" s="760"/>
    </row>
    <row r="176" spans="2:20">
      <c r="B176" s="2425"/>
      <c r="C176" s="2411"/>
      <c r="D176" s="2414"/>
      <c r="E176" s="2411"/>
      <c r="F176" s="2419">
        <f>F174</f>
        <v>0</v>
      </c>
      <c r="G176" s="2419">
        <f>F176-F174</f>
        <v>0</v>
      </c>
      <c r="H176" s="2422">
        <f>G176*G143</f>
        <v>0</v>
      </c>
      <c r="I176" s="2422">
        <f>I174+H176</f>
        <v>0</v>
      </c>
      <c r="J176" s="2419"/>
      <c r="K176" s="2419"/>
      <c r="L176" s="2419">
        <f>IF(H176=0,0,IF((100-J176-K176)&lt;0,0,100-J176-K176))</f>
        <v>0</v>
      </c>
      <c r="M176" s="2411"/>
      <c r="N176" s="2411"/>
      <c r="O176" s="2443"/>
      <c r="P176" s="758"/>
      <c r="Q176" s="758"/>
      <c r="R176" s="758"/>
      <c r="S176" s="758"/>
      <c r="T176" s="759"/>
    </row>
    <row r="177" spans="2:20" ht="13.75" thickBot="1">
      <c r="B177" s="2426"/>
      <c r="C177" s="2413"/>
      <c r="D177" s="2427"/>
      <c r="E177" s="2413"/>
      <c r="F177" s="2421"/>
      <c r="G177" s="2421"/>
      <c r="H177" s="2423"/>
      <c r="I177" s="2424"/>
      <c r="J177" s="2421"/>
      <c r="K177" s="2421"/>
      <c r="L177" s="2421"/>
      <c r="M177" s="2413"/>
      <c r="N177" s="2413"/>
      <c r="O177" s="2443"/>
      <c r="P177" s="173"/>
      <c r="Q177" s="173"/>
      <c r="R177" s="173"/>
      <c r="S177" s="173"/>
      <c r="T177" s="185"/>
    </row>
    <row r="178" spans="2:20">
      <c r="B178" s="2425"/>
      <c r="C178" s="2411"/>
      <c r="D178" s="2414"/>
      <c r="E178" s="2411"/>
      <c r="F178" s="2419">
        <f>F176</f>
        <v>0</v>
      </c>
      <c r="G178" s="2419">
        <f>F178-F176</f>
        <v>0</v>
      </c>
      <c r="H178" s="2422">
        <f>G178*G143</f>
        <v>0</v>
      </c>
      <c r="I178" s="2422">
        <f>I176+H178</f>
        <v>0</v>
      </c>
      <c r="J178" s="2419"/>
      <c r="K178" s="2419"/>
      <c r="L178" s="2419">
        <f>IF(H178=0,0,IF((100-J178-K178)&lt;0,0,100-J178-K178))</f>
        <v>0</v>
      </c>
      <c r="M178" s="2411"/>
      <c r="N178" s="2411"/>
      <c r="O178" s="2457"/>
      <c r="P178" s="365"/>
      <c r="Q178" s="365"/>
      <c r="R178" s="365"/>
      <c r="S178" s="365"/>
      <c r="T178" s="1087" t="str">
        <f>T133</f>
        <v>Ttl Other (1)</v>
      </c>
    </row>
    <row r="179" spans="2:20" ht="13.75" thickBot="1">
      <c r="B179" s="2430"/>
      <c r="C179" s="2412"/>
      <c r="D179" s="2415"/>
      <c r="E179" s="2412"/>
      <c r="F179" s="2420"/>
      <c r="G179" s="2420"/>
      <c r="H179" s="2428"/>
      <c r="I179" s="2429"/>
      <c r="J179" s="2420"/>
      <c r="K179" s="2420"/>
      <c r="L179" s="2420"/>
      <c r="M179" s="2412"/>
      <c r="N179" s="2412"/>
      <c r="O179" s="2458"/>
      <c r="P179" s="1313" t="s">
        <v>806</v>
      </c>
      <c r="Q179" s="1314">
        <f>((H148*K148)+(H150*K150)+(H152*K152)+(H154*K154)+(H156*K156)+(H158*K158)+(H160*K160)+(H162*K162)+(H164*K164)+(H166*K166)+(H168*K168)+(H170*K170)+(H172*K172)+(H174*K174)+(H176*K176)+(H178*K178))/100+Q134</f>
        <v>0</v>
      </c>
      <c r="R179" s="1313" t="s">
        <v>807</v>
      </c>
      <c r="S179" s="1314">
        <f>((J148*H148)+(J150*H150)+(J152*H152)+(J154*H154)+(J156*H156)+(J158*H158)+(J160*H160)+(J162*H162)+(J164*H164)+(J166*H166)+(J168*H168)+(J170*H170)+(J172*H172)+(J174*H174)+(J176*H176)+(J178*H178))/100+S134</f>
        <v>0</v>
      </c>
      <c r="T179" s="763">
        <f>IF(I178=0,T134,I178-Q179-S179)</f>
        <v>0</v>
      </c>
    </row>
    <row r="180" spans="2:20">
      <c r="B180" s="752"/>
      <c r="C180" s="753"/>
      <c r="D180" s="753"/>
      <c r="E180" s="753"/>
      <c r="F180" s="754"/>
      <c r="G180" s="754"/>
      <c r="H180" s="755"/>
      <c r="I180" s="751"/>
      <c r="J180" s="754"/>
      <c r="K180" s="754"/>
      <c r="L180" s="754"/>
      <c r="M180" s="753"/>
      <c r="N180" s="753"/>
      <c r="O180" s="41"/>
      <c r="P180" s="756"/>
      <c r="Q180" s="41"/>
      <c r="R180" s="41"/>
      <c r="S180" s="756"/>
      <c r="T180" s="761"/>
    </row>
    <row r="181" spans="2:20" ht="13.75" thickBot="1">
      <c r="B181" s="512"/>
      <c r="C181" s="757"/>
      <c r="D181" s="513"/>
      <c r="E181" s="513"/>
      <c r="F181" s="514"/>
      <c r="G181" s="514"/>
      <c r="H181" s="515"/>
      <c r="I181" s="516"/>
      <c r="J181" s="514"/>
      <c r="K181" s="514"/>
      <c r="L181" s="514"/>
      <c r="M181" s="513"/>
      <c r="N181" s="513"/>
      <c r="O181" s="366"/>
      <c r="P181" s="366"/>
      <c r="Q181" s="366"/>
      <c r="R181" s="366"/>
      <c r="S181" s="366"/>
      <c r="T181" s="762"/>
    </row>
    <row r="182" spans="2:20">
      <c r="B182" s="2406">
        <f>B137</f>
        <v>0</v>
      </c>
      <c r="C182" s="2407"/>
      <c r="D182" s="2407"/>
      <c r="E182" s="2407"/>
      <c r="F182" s="2407"/>
      <c r="G182" s="2407"/>
      <c r="H182" s="2407"/>
      <c r="I182" s="2407"/>
      <c r="J182" s="2407"/>
      <c r="K182" s="2407"/>
      <c r="L182" s="2407"/>
      <c r="M182" s="2407"/>
      <c r="N182" s="2407"/>
      <c r="O182" s="2407"/>
      <c r="P182" s="2407"/>
      <c r="Q182" s="2407"/>
      <c r="R182" s="2407"/>
      <c r="S182" s="2407"/>
      <c r="T182" s="2408"/>
    </row>
    <row r="183" spans="2:20">
      <c r="B183" s="1790" t="s">
        <v>1453</v>
      </c>
      <c r="C183" s="1659"/>
      <c r="D183" s="1659"/>
      <c r="E183" s="1659"/>
      <c r="F183" s="1659"/>
      <c r="G183" s="1659"/>
      <c r="H183" s="1659"/>
      <c r="I183" s="1659"/>
      <c r="J183" s="1659"/>
      <c r="K183" s="1659"/>
      <c r="L183" s="1659"/>
      <c r="M183" s="1659"/>
      <c r="N183" s="1659"/>
      <c r="O183" s="1659"/>
      <c r="P183" s="1659"/>
      <c r="Q183" s="1659"/>
      <c r="R183" s="1659"/>
      <c r="S183" s="1659"/>
      <c r="T183" s="1778"/>
    </row>
    <row r="184" spans="2:20">
      <c r="B184" s="84"/>
      <c r="P184" s="120" t="s">
        <v>729</v>
      </c>
      <c r="Q184" s="4">
        <f>IF(B193&gt;0,1,0)</f>
        <v>0</v>
      </c>
      <c r="R184" s="4"/>
      <c r="S184" s="120" t="s">
        <v>730</v>
      </c>
      <c r="T184" s="133">
        <f>IF(T229=2,2,Q184)</f>
        <v>0</v>
      </c>
    </row>
    <row r="185" spans="2:20">
      <c r="B185" s="84"/>
      <c r="E185"/>
      <c r="T185" s="39"/>
    </row>
    <row r="186" spans="2:20">
      <c r="B186" s="947" t="s">
        <v>634</v>
      </c>
      <c r="C186" s="23">
        <f>C141</f>
        <v>0</v>
      </c>
      <c r="T186" s="39"/>
    </row>
    <row r="187" spans="2:20">
      <c r="B187" s="84"/>
      <c r="T187" s="39"/>
    </row>
    <row r="188" spans="2:20">
      <c r="B188" s="84" t="s">
        <v>221</v>
      </c>
      <c r="C188" s="2416"/>
      <c r="D188" s="2416"/>
      <c r="E188" s="2000" t="s">
        <v>736</v>
      </c>
      <c r="F188" s="2000"/>
      <c r="G188" s="23">
        <v>0</v>
      </c>
      <c r="I188" s="1659" t="s">
        <v>737</v>
      </c>
      <c r="J188" s="1659"/>
      <c r="K188" s="168">
        <f>K143</f>
        <v>0</v>
      </c>
      <c r="N188" s="23" t="s">
        <v>660</v>
      </c>
      <c r="P188" s="23">
        <f>P143</f>
        <v>0</v>
      </c>
      <c r="T188" s="39"/>
    </row>
    <row r="189" spans="2:20">
      <c r="B189" s="84"/>
      <c r="D189" s="2417" t="s">
        <v>805</v>
      </c>
      <c r="E189" s="2417"/>
      <c r="F189" s="2417"/>
      <c r="G189" s="367">
        <v>0</v>
      </c>
      <c r="H189" s="2418" t="s">
        <v>1003</v>
      </c>
      <c r="I189" s="2418"/>
      <c r="J189" s="2418"/>
      <c r="K189" s="2409">
        <f>K144</f>
        <v>0</v>
      </c>
      <c r="L189" s="2409"/>
      <c r="M189" s="2409">
        <f>M144</f>
        <v>0</v>
      </c>
      <c r="N189" s="2409"/>
      <c r="O189" s="2409">
        <f>O144</f>
        <v>0</v>
      </c>
      <c r="P189" s="2409"/>
      <c r="Q189" s="2409">
        <f>Q144</f>
        <v>0</v>
      </c>
      <c r="R189" s="2409"/>
      <c r="S189" s="2409"/>
      <c r="T189" s="2410"/>
    </row>
    <row r="190" spans="2:20" ht="12.75" customHeight="1">
      <c r="B190" s="2437" t="s">
        <v>208</v>
      </c>
      <c r="C190" s="2440" t="s">
        <v>738</v>
      </c>
      <c r="D190" s="739" t="s">
        <v>209</v>
      </c>
      <c r="E190" s="739" t="s">
        <v>207</v>
      </c>
      <c r="F190" s="2431" t="s">
        <v>210</v>
      </c>
      <c r="G190" s="2431" t="s">
        <v>210</v>
      </c>
      <c r="H190" s="2431" t="s">
        <v>209</v>
      </c>
      <c r="I190" s="739" t="s">
        <v>801</v>
      </c>
      <c r="J190" s="2433" t="s">
        <v>802</v>
      </c>
      <c r="K190" s="2434"/>
      <c r="L190" s="2435"/>
      <c r="M190" s="739" t="s">
        <v>204</v>
      </c>
      <c r="N190" s="765" t="s">
        <v>260</v>
      </c>
      <c r="O190" s="1310" t="s">
        <v>270</v>
      </c>
      <c r="P190" s="2450" t="s">
        <v>212</v>
      </c>
      <c r="Q190" s="2450"/>
      <c r="R190" s="2450"/>
      <c r="S190" s="2450"/>
      <c r="T190" s="2451"/>
    </row>
    <row r="191" spans="2:20">
      <c r="B191" s="2438"/>
      <c r="C191" s="2441"/>
      <c r="D191" s="741" t="s">
        <v>214</v>
      </c>
      <c r="E191" s="741" t="s">
        <v>215</v>
      </c>
      <c r="F191" s="2432"/>
      <c r="G191" s="2432"/>
      <c r="H191" s="2432"/>
      <c r="I191" s="741" t="s">
        <v>209</v>
      </c>
      <c r="J191" s="2431" t="s">
        <v>803</v>
      </c>
      <c r="K191" s="2431" t="s">
        <v>804</v>
      </c>
      <c r="L191" s="2431" t="str">
        <f>L146</f>
        <v>Other (1)%</v>
      </c>
      <c r="M191" s="741" t="s">
        <v>217</v>
      </c>
      <c r="N191" s="766" t="s">
        <v>217</v>
      </c>
      <c r="O191" s="1311" t="s">
        <v>481</v>
      </c>
      <c r="P191" s="2452"/>
      <c r="Q191" s="2452"/>
      <c r="R191" s="2452"/>
      <c r="S191" s="2452"/>
      <c r="T191" s="2453"/>
    </row>
    <row r="192" spans="2:20">
      <c r="B192" s="2439"/>
      <c r="C192" s="2442"/>
      <c r="D192" s="740" t="str">
        <f>D147</f>
        <v xml:space="preserve">m </v>
      </c>
      <c r="E192" s="740" t="str">
        <f>D192</f>
        <v xml:space="preserve">m </v>
      </c>
      <c r="F192" s="740" t="s">
        <v>211</v>
      </c>
      <c r="G192" s="740" t="s">
        <v>739</v>
      </c>
      <c r="H192" s="742" t="str">
        <f>H147</f>
        <v>Gain</v>
      </c>
      <c r="I192" s="740" t="str">
        <f>I147</f>
        <v>m³</v>
      </c>
      <c r="J192" s="2436"/>
      <c r="K192" s="2436"/>
      <c r="L192" s="2436"/>
      <c r="M192" s="740" t="str">
        <f>M147</f>
        <v>kPa</v>
      </c>
      <c r="N192" s="767" t="str">
        <f>N147</f>
        <v>kPa</v>
      </c>
      <c r="O192" s="1312" t="str">
        <f>O147</f>
        <v>10³m³/d</v>
      </c>
      <c r="P192" s="2454"/>
      <c r="Q192" s="2454"/>
      <c r="R192" s="2454"/>
      <c r="S192" s="2454"/>
      <c r="T192" s="2455"/>
    </row>
    <row r="193" spans="2:20">
      <c r="B193" s="2425">
        <v>0</v>
      </c>
      <c r="C193" s="2411"/>
      <c r="D193" s="2411"/>
      <c r="E193" s="2411"/>
      <c r="F193" s="2419">
        <f>G189</f>
        <v>0</v>
      </c>
      <c r="G193" s="2419">
        <f>F193-G189</f>
        <v>0</v>
      </c>
      <c r="H193" s="2422">
        <f>G193*G188</f>
        <v>0</v>
      </c>
      <c r="I193" s="2422">
        <f>H193</f>
        <v>0</v>
      </c>
      <c r="J193" s="2419"/>
      <c r="K193" s="2419"/>
      <c r="L193" s="2419">
        <f>IF(H193=0,0,IF((100-J193-K193)&lt;0,0,100-J193-K193))</f>
        <v>0</v>
      </c>
      <c r="M193" s="2411"/>
      <c r="N193" s="2411"/>
      <c r="O193" s="2443"/>
      <c r="P193" s="758"/>
      <c r="Q193" s="758"/>
      <c r="R193" s="758"/>
      <c r="S193" s="758"/>
      <c r="T193" s="759"/>
    </row>
    <row r="194" spans="2:20">
      <c r="B194" s="2426"/>
      <c r="C194" s="2413"/>
      <c r="D194" s="2413"/>
      <c r="E194" s="2413"/>
      <c r="F194" s="2421"/>
      <c r="G194" s="2421"/>
      <c r="H194" s="2423"/>
      <c r="I194" s="2423"/>
      <c r="J194" s="2421"/>
      <c r="K194" s="2421"/>
      <c r="L194" s="2421"/>
      <c r="M194" s="2413"/>
      <c r="N194" s="2413"/>
      <c r="O194" s="2443"/>
      <c r="P194" s="173"/>
      <c r="Q194" s="173"/>
      <c r="R194" s="173"/>
      <c r="S194" s="173"/>
      <c r="T194" s="760"/>
    </row>
    <row r="195" spans="2:20">
      <c r="B195" s="2425"/>
      <c r="C195" s="2411"/>
      <c r="D195" s="2414"/>
      <c r="E195" s="2411"/>
      <c r="F195" s="2419">
        <f>F193</f>
        <v>0</v>
      </c>
      <c r="G195" s="2419">
        <f>F195-F193</f>
        <v>0</v>
      </c>
      <c r="H195" s="2422">
        <f>G195*G188</f>
        <v>0</v>
      </c>
      <c r="I195" s="2422">
        <f>I193+H195</f>
        <v>0</v>
      </c>
      <c r="J195" s="2419"/>
      <c r="K195" s="2419"/>
      <c r="L195" s="2419">
        <f>IF(H195=0,0,IF((100-J195-K195)&lt;0,0,100-J195-K195))</f>
        <v>0</v>
      </c>
      <c r="M195" s="2411"/>
      <c r="N195" s="2411"/>
      <c r="O195" s="2443"/>
      <c r="P195" s="758"/>
      <c r="Q195" s="758"/>
      <c r="R195" s="758"/>
      <c r="S195" s="758"/>
      <c r="T195" s="759"/>
    </row>
    <row r="196" spans="2:20">
      <c r="B196" s="2426"/>
      <c r="C196" s="2413"/>
      <c r="D196" s="2427"/>
      <c r="E196" s="2413"/>
      <c r="F196" s="2421"/>
      <c r="G196" s="2421"/>
      <c r="H196" s="2423"/>
      <c r="I196" s="2424"/>
      <c r="J196" s="2421"/>
      <c r="K196" s="2421"/>
      <c r="L196" s="2421"/>
      <c r="M196" s="2413"/>
      <c r="N196" s="2413"/>
      <c r="O196" s="2443"/>
      <c r="P196" s="173"/>
      <c r="Q196" s="173"/>
      <c r="R196" s="173"/>
      <c r="S196" s="173"/>
      <c r="T196" s="760"/>
    </row>
    <row r="197" spans="2:20">
      <c r="B197" s="2425"/>
      <c r="C197" s="2411"/>
      <c r="D197" s="2414"/>
      <c r="E197" s="2411"/>
      <c r="F197" s="2419">
        <f>F195</f>
        <v>0</v>
      </c>
      <c r="G197" s="2419">
        <f>F197-F195</f>
        <v>0</v>
      </c>
      <c r="H197" s="2422">
        <f>G197*G188</f>
        <v>0</v>
      </c>
      <c r="I197" s="2422">
        <f>I195+H197</f>
        <v>0</v>
      </c>
      <c r="J197" s="2419"/>
      <c r="K197" s="2419"/>
      <c r="L197" s="2419">
        <f>IF(H197=0,0,IF((100-J197-K197)&lt;0,0,100-J197-K197))</f>
        <v>0</v>
      </c>
      <c r="M197" s="2411"/>
      <c r="N197" s="2411"/>
      <c r="O197" s="2443"/>
      <c r="P197" s="758"/>
      <c r="Q197" s="758"/>
      <c r="R197" s="758"/>
      <c r="S197" s="758"/>
      <c r="T197" s="759"/>
    </row>
    <row r="198" spans="2:20">
      <c r="B198" s="2426"/>
      <c r="C198" s="2413"/>
      <c r="D198" s="2427"/>
      <c r="E198" s="2413"/>
      <c r="F198" s="2421"/>
      <c r="G198" s="2421"/>
      <c r="H198" s="2423"/>
      <c r="I198" s="2424"/>
      <c r="J198" s="2421"/>
      <c r="K198" s="2421"/>
      <c r="L198" s="2421"/>
      <c r="M198" s="2413"/>
      <c r="N198" s="2413"/>
      <c r="O198" s="2443"/>
      <c r="P198" s="173"/>
      <c r="Q198" s="173"/>
      <c r="R198" s="173"/>
      <c r="S198" s="173"/>
      <c r="T198" s="760"/>
    </row>
    <row r="199" spans="2:20">
      <c r="B199" s="2425"/>
      <c r="C199" s="2411"/>
      <c r="D199" s="2414"/>
      <c r="E199" s="2411"/>
      <c r="F199" s="2419">
        <f>F197</f>
        <v>0</v>
      </c>
      <c r="G199" s="2419">
        <f>F199-F197</f>
        <v>0</v>
      </c>
      <c r="H199" s="2422">
        <f>G199*G188</f>
        <v>0</v>
      </c>
      <c r="I199" s="2422">
        <f>I197+H199</f>
        <v>0</v>
      </c>
      <c r="J199" s="2419"/>
      <c r="K199" s="2419"/>
      <c r="L199" s="2419">
        <f>IF(H199=0,0,IF((100-J199-K199)&lt;0,0,100-J199-K199))</f>
        <v>0</v>
      </c>
      <c r="M199" s="2411"/>
      <c r="N199" s="2411"/>
      <c r="O199" s="2443"/>
      <c r="P199" s="758"/>
      <c r="Q199" s="758"/>
      <c r="R199" s="758"/>
      <c r="S199" s="758"/>
      <c r="T199" s="759"/>
    </row>
    <row r="200" spans="2:20">
      <c r="B200" s="2426"/>
      <c r="C200" s="2413"/>
      <c r="D200" s="2427"/>
      <c r="E200" s="2413"/>
      <c r="F200" s="2421"/>
      <c r="G200" s="2421"/>
      <c r="H200" s="2423"/>
      <c r="I200" s="2424"/>
      <c r="J200" s="2421"/>
      <c r="K200" s="2421"/>
      <c r="L200" s="2421"/>
      <c r="M200" s="2413"/>
      <c r="N200" s="2413"/>
      <c r="O200" s="2443"/>
      <c r="P200" s="173"/>
      <c r="Q200" s="173"/>
      <c r="R200" s="173"/>
      <c r="S200" s="173"/>
      <c r="T200" s="760"/>
    </row>
    <row r="201" spans="2:20">
      <c r="B201" s="2425"/>
      <c r="C201" s="2411"/>
      <c r="D201" s="2414"/>
      <c r="E201" s="2411"/>
      <c r="F201" s="2419">
        <f>F199</f>
        <v>0</v>
      </c>
      <c r="G201" s="2419">
        <f>F201-F199</f>
        <v>0</v>
      </c>
      <c r="H201" s="2422">
        <f>G201*G188</f>
        <v>0</v>
      </c>
      <c r="I201" s="2422">
        <f>I199+H201</f>
        <v>0</v>
      </c>
      <c r="J201" s="2419"/>
      <c r="K201" s="2419"/>
      <c r="L201" s="2419">
        <f>IF(H201=0,0,IF((100-J201-K201)&lt;0,0,100-J201-K201))</f>
        <v>0</v>
      </c>
      <c r="M201" s="2411"/>
      <c r="N201" s="2411"/>
      <c r="O201" s="2443"/>
      <c r="P201" s="758"/>
      <c r="Q201" s="758"/>
      <c r="R201" s="758"/>
      <c r="S201" s="758"/>
      <c r="T201" s="759"/>
    </row>
    <row r="202" spans="2:20">
      <c r="B202" s="2426"/>
      <c r="C202" s="2413"/>
      <c r="D202" s="2427"/>
      <c r="E202" s="2413"/>
      <c r="F202" s="2421"/>
      <c r="G202" s="2421"/>
      <c r="H202" s="2423"/>
      <c r="I202" s="2424"/>
      <c r="J202" s="2421"/>
      <c r="K202" s="2421"/>
      <c r="L202" s="2421"/>
      <c r="M202" s="2413"/>
      <c r="N202" s="2413"/>
      <c r="O202" s="2443"/>
      <c r="P202" s="173"/>
      <c r="Q202" s="173"/>
      <c r="R202" s="173"/>
      <c r="S202" s="173"/>
      <c r="T202" s="760"/>
    </row>
    <row r="203" spans="2:20">
      <c r="B203" s="2425"/>
      <c r="C203" s="2411"/>
      <c r="D203" s="2414"/>
      <c r="E203" s="2411"/>
      <c r="F203" s="2419">
        <f>F201</f>
        <v>0</v>
      </c>
      <c r="G203" s="2419">
        <f>F203-F201</f>
        <v>0</v>
      </c>
      <c r="H203" s="2422">
        <f>G203*G188</f>
        <v>0</v>
      </c>
      <c r="I203" s="2422">
        <f>I201+H203</f>
        <v>0</v>
      </c>
      <c r="J203" s="2419"/>
      <c r="K203" s="2419"/>
      <c r="L203" s="2419">
        <f>IF(H203=0,0,IF((100-J203-K203)&lt;0,0,100-J203-K203))</f>
        <v>0</v>
      </c>
      <c r="M203" s="2411"/>
      <c r="N203" s="2411"/>
      <c r="O203" s="2443"/>
      <c r="P203" s="758"/>
      <c r="Q203" s="758"/>
      <c r="R203" s="758"/>
      <c r="S203" s="758"/>
      <c r="T203" s="759"/>
    </row>
    <row r="204" spans="2:20">
      <c r="B204" s="2426"/>
      <c r="C204" s="2413"/>
      <c r="D204" s="2427"/>
      <c r="E204" s="2413"/>
      <c r="F204" s="2421"/>
      <c r="G204" s="2421"/>
      <c r="H204" s="2423"/>
      <c r="I204" s="2424"/>
      <c r="J204" s="2421"/>
      <c r="K204" s="2421"/>
      <c r="L204" s="2421"/>
      <c r="M204" s="2413"/>
      <c r="N204" s="2413"/>
      <c r="O204" s="2443"/>
      <c r="P204" s="173"/>
      <c r="Q204" s="173"/>
      <c r="R204" s="173"/>
      <c r="S204" s="173"/>
      <c r="T204" s="760"/>
    </row>
    <row r="205" spans="2:20">
      <c r="B205" s="2425"/>
      <c r="C205" s="2411"/>
      <c r="D205" s="2414"/>
      <c r="E205" s="2411"/>
      <c r="F205" s="2419">
        <f>F203</f>
        <v>0</v>
      </c>
      <c r="G205" s="2419">
        <f>F205-F203</f>
        <v>0</v>
      </c>
      <c r="H205" s="2422">
        <f>G205*G188</f>
        <v>0</v>
      </c>
      <c r="I205" s="2422">
        <f>I203+H205</f>
        <v>0</v>
      </c>
      <c r="J205" s="2419"/>
      <c r="K205" s="2419"/>
      <c r="L205" s="2419">
        <f>IF(H205=0,0,IF((100-J205-K205)&lt;0,0,100-J205-K205))</f>
        <v>0</v>
      </c>
      <c r="M205" s="2411"/>
      <c r="N205" s="2411"/>
      <c r="O205" s="2443"/>
      <c r="P205" s="758"/>
      <c r="Q205" s="758"/>
      <c r="R205" s="758"/>
      <c r="S205" s="758"/>
      <c r="T205" s="759"/>
    </row>
    <row r="206" spans="2:20">
      <c r="B206" s="2426"/>
      <c r="C206" s="2413"/>
      <c r="D206" s="2427"/>
      <c r="E206" s="2413"/>
      <c r="F206" s="2421"/>
      <c r="G206" s="2421"/>
      <c r="H206" s="2423"/>
      <c r="I206" s="2424"/>
      <c r="J206" s="2421"/>
      <c r="K206" s="2421"/>
      <c r="L206" s="2421"/>
      <c r="M206" s="2413"/>
      <c r="N206" s="2413"/>
      <c r="O206" s="2443"/>
      <c r="P206" s="173"/>
      <c r="Q206" s="173"/>
      <c r="R206" s="173"/>
      <c r="S206" s="173"/>
      <c r="T206" s="760"/>
    </row>
    <row r="207" spans="2:20">
      <c r="B207" s="2425"/>
      <c r="C207" s="2411"/>
      <c r="D207" s="2414"/>
      <c r="E207" s="2411"/>
      <c r="F207" s="2419">
        <f>F205</f>
        <v>0</v>
      </c>
      <c r="G207" s="2419">
        <f>F207-F205</f>
        <v>0</v>
      </c>
      <c r="H207" s="2422">
        <f>G207*G188</f>
        <v>0</v>
      </c>
      <c r="I207" s="2422">
        <f>I205+H207</f>
        <v>0</v>
      </c>
      <c r="J207" s="2419"/>
      <c r="K207" s="2419"/>
      <c r="L207" s="2419">
        <f>IF(H207=0,0,IF((100-J207-K207)&lt;0,0,100-J207-K207))</f>
        <v>0</v>
      </c>
      <c r="M207" s="2411"/>
      <c r="N207" s="2411"/>
      <c r="O207" s="2443"/>
      <c r="P207" s="758"/>
      <c r="Q207" s="758"/>
      <c r="R207" s="758"/>
      <c r="S207" s="758"/>
      <c r="T207" s="759"/>
    </row>
    <row r="208" spans="2:20">
      <c r="B208" s="2426"/>
      <c r="C208" s="2413"/>
      <c r="D208" s="2427"/>
      <c r="E208" s="2413"/>
      <c r="F208" s="2421"/>
      <c r="G208" s="2421"/>
      <c r="H208" s="2423"/>
      <c r="I208" s="2424"/>
      <c r="J208" s="2421"/>
      <c r="K208" s="2421"/>
      <c r="L208" s="2421"/>
      <c r="M208" s="2413"/>
      <c r="N208" s="2413"/>
      <c r="O208" s="2443"/>
      <c r="P208" s="173"/>
      <c r="Q208" s="173"/>
      <c r="R208" s="173"/>
      <c r="S208" s="173"/>
      <c r="T208" s="760"/>
    </row>
    <row r="209" spans="2:20">
      <c r="B209" s="2425"/>
      <c r="C209" s="2411"/>
      <c r="D209" s="2414"/>
      <c r="E209" s="2411"/>
      <c r="F209" s="2419">
        <f>F207</f>
        <v>0</v>
      </c>
      <c r="G209" s="2419">
        <f>F209-F207</f>
        <v>0</v>
      </c>
      <c r="H209" s="2422">
        <f>G209*G188</f>
        <v>0</v>
      </c>
      <c r="I209" s="2422">
        <f>I207+H209</f>
        <v>0</v>
      </c>
      <c r="J209" s="2419"/>
      <c r="K209" s="2419"/>
      <c r="L209" s="2419">
        <f>IF(H209=0,0,IF((100-J209-K209)&lt;0,0,100-J209-K209))</f>
        <v>0</v>
      </c>
      <c r="M209" s="2411"/>
      <c r="N209" s="2411"/>
      <c r="O209" s="2443"/>
      <c r="P209" s="758"/>
      <c r="Q209" s="758"/>
      <c r="R209" s="758"/>
      <c r="S209" s="758"/>
      <c r="T209" s="759"/>
    </row>
    <row r="210" spans="2:20">
      <c r="B210" s="2426"/>
      <c r="C210" s="2413"/>
      <c r="D210" s="2427"/>
      <c r="E210" s="2413"/>
      <c r="F210" s="2421"/>
      <c r="G210" s="2421"/>
      <c r="H210" s="2423"/>
      <c r="I210" s="2424"/>
      <c r="J210" s="2421"/>
      <c r="K210" s="2421"/>
      <c r="L210" s="2421"/>
      <c r="M210" s="2413"/>
      <c r="N210" s="2413"/>
      <c r="O210" s="2443"/>
      <c r="P210" s="173"/>
      <c r="Q210" s="173"/>
      <c r="R210" s="173"/>
      <c r="S210" s="173"/>
      <c r="T210" s="760"/>
    </row>
    <row r="211" spans="2:20">
      <c r="B211" s="2425"/>
      <c r="C211" s="2411"/>
      <c r="D211" s="2414"/>
      <c r="E211" s="2411"/>
      <c r="F211" s="2419">
        <f>F209</f>
        <v>0</v>
      </c>
      <c r="G211" s="2419">
        <f>F211-F209</f>
        <v>0</v>
      </c>
      <c r="H211" s="2422">
        <f>G211*G188</f>
        <v>0</v>
      </c>
      <c r="I211" s="2422">
        <f>I209+H211</f>
        <v>0</v>
      </c>
      <c r="J211" s="2419"/>
      <c r="K211" s="2419"/>
      <c r="L211" s="2419">
        <f>IF(H211=0,0,IF((100-J211-K211)&lt;0,0,100-J211-K211))</f>
        <v>0</v>
      </c>
      <c r="M211" s="2411"/>
      <c r="N211" s="2411"/>
      <c r="O211" s="2443"/>
      <c r="P211" s="758"/>
      <c r="Q211" s="758"/>
      <c r="R211" s="758"/>
      <c r="S211" s="758"/>
      <c r="T211" s="759"/>
    </row>
    <row r="212" spans="2:20">
      <c r="B212" s="2426"/>
      <c r="C212" s="2413"/>
      <c r="D212" s="2427"/>
      <c r="E212" s="2413"/>
      <c r="F212" s="2421"/>
      <c r="G212" s="2421"/>
      <c r="H212" s="2423"/>
      <c r="I212" s="2424"/>
      <c r="J212" s="2421"/>
      <c r="K212" s="2421"/>
      <c r="L212" s="2421"/>
      <c r="M212" s="2413"/>
      <c r="N212" s="2413"/>
      <c r="O212" s="2443"/>
      <c r="P212" s="173"/>
      <c r="Q212" s="173"/>
      <c r="R212" s="173"/>
      <c r="S212" s="173"/>
      <c r="T212" s="760"/>
    </row>
    <row r="213" spans="2:20">
      <c r="B213" s="2425"/>
      <c r="C213" s="2411"/>
      <c r="D213" s="2414"/>
      <c r="E213" s="2411"/>
      <c r="F213" s="2419">
        <f>F211</f>
        <v>0</v>
      </c>
      <c r="G213" s="2419">
        <f>F213-F211</f>
        <v>0</v>
      </c>
      <c r="H213" s="2422">
        <f>G213*G188</f>
        <v>0</v>
      </c>
      <c r="I213" s="2422">
        <f>I211+H213</f>
        <v>0</v>
      </c>
      <c r="J213" s="2419"/>
      <c r="K213" s="2419"/>
      <c r="L213" s="2419">
        <f>IF(H213=0,0,IF((100-J213-K213)&lt;0,0,100-J213-K213))</f>
        <v>0</v>
      </c>
      <c r="M213" s="2411"/>
      <c r="N213" s="2411"/>
      <c r="O213" s="2443"/>
      <c r="P213" s="758"/>
      <c r="Q213" s="758"/>
      <c r="R213" s="758"/>
      <c r="S213" s="758"/>
      <c r="T213" s="759"/>
    </row>
    <row r="214" spans="2:20">
      <c r="B214" s="2426"/>
      <c r="C214" s="2413"/>
      <c r="D214" s="2427"/>
      <c r="E214" s="2413"/>
      <c r="F214" s="2421"/>
      <c r="G214" s="2421"/>
      <c r="H214" s="2423"/>
      <c r="I214" s="2424"/>
      <c r="J214" s="2421"/>
      <c r="K214" s="2421"/>
      <c r="L214" s="2421"/>
      <c r="M214" s="2413"/>
      <c r="N214" s="2413"/>
      <c r="O214" s="2443"/>
      <c r="P214" s="173"/>
      <c r="Q214" s="173"/>
      <c r="R214" s="173"/>
      <c r="S214" s="173"/>
      <c r="T214" s="760"/>
    </row>
    <row r="215" spans="2:20">
      <c r="B215" s="2425"/>
      <c r="C215" s="2411"/>
      <c r="D215" s="2414"/>
      <c r="E215" s="2411"/>
      <c r="F215" s="2419">
        <f>F213</f>
        <v>0</v>
      </c>
      <c r="G215" s="2419">
        <f>F215-F213</f>
        <v>0</v>
      </c>
      <c r="H215" s="2422">
        <f>G215*G188</f>
        <v>0</v>
      </c>
      <c r="I215" s="2422">
        <f>I213+H215</f>
        <v>0</v>
      </c>
      <c r="J215" s="2419"/>
      <c r="K215" s="2419"/>
      <c r="L215" s="2419">
        <f>IF(H215=0,0,IF((100-J215-K215)&lt;0,0,100-J215-K215))</f>
        <v>0</v>
      </c>
      <c r="M215" s="2411"/>
      <c r="N215" s="2411"/>
      <c r="O215" s="2443"/>
      <c r="P215" s="758"/>
      <c r="Q215" s="758"/>
      <c r="R215" s="758"/>
      <c r="S215" s="758"/>
      <c r="T215" s="759"/>
    </row>
    <row r="216" spans="2:20">
      <c r="B216" s="2426"/>
      <c r="C216" s="2413"/>
      <c r="D216" s="2427"/>
      <c r="E216" s="2413"/>
      <c r="F216" s="2421"/>
      <c r="G216" s="2421"/>
      <c r="H216" s="2423"/>
      <c r="I216" s="2424"/>
      <c r="J216" s="2421"/>
      <c r="K216" s="2421"/>
      <c r="L216" s="2421"/>
      <c r="M216" s="2413"/>
      <c r="N216" s="2413"/>
      <c r="O216" s="2443"/>
      <c r="P216" s="173"/>
      <c r="Q216" s="173"/>
      <c r="R216" s="173"/>
      <c r="S216" s="173"/>
      <c r="T216" s="760"/>
    </row>
    <row r="217" spans="2:20">
      <c r="B217" s="2425"/>
      <c r="C217" s="2411"/>
      <c r="D217" s="2414"/>
      <c r="E217" s="2411"/>
      <c r="F217" s="2419">
        <f>F215</f>
        <v>0</v>
      </c>
      <c r="G217" s="2419">
        <f>F217-F215</f>
        <v>0</v>
      </c>
      <c r="H217" s="2422">
        <f>G217*G188</f>
        <v>0</v>
      </c>
      <c r="I217" s="2422">
        <f>I215+H217</f>
        <v>0</v>
      </c>
      <c r="J217" s="2419"/>
      <c r="K217" s="2419"/>
      <c r="L217" s="2419">
        <f>IF(H217=0,0,IF((100-J217-K217)&lt;0,0,100-J217-K217))</f>
        <v>0</v>
      </c>
      <c r="M217" s="2411"/>
      <c r="N217" s="2411"/>
      <c r="O217" s="2443"/>
      <c r="P217" s="758"/>
      <c r="Q217" s="758"/>
      <c r="R217" s="758"/>
      <c r="S217" s="758"/>
      <c r="T217" s="759"/>
    </row>
    <row r="218" spans="2:20">
      <c r="B218" s="2426"/>
      <c r="C218" s="2413"/>
      <c r="D218" s="2427"/>
      <c r="E218" s="2413"/>
      <c r="F218" s="2421"/>
      <c r="G218" s="2421"/>
      <c r="H218" s="2423"/>
      <c r="I218" s="2424"/>
      <c r="J218" s="2421"/>
      <c r="K218" s="2421"/>
      <c r="L218" s="2421"/>
      <c r="M218" s="2413"/>
      <c r="N218" s="2413"/>
      <c r="O218" s="2443"/>
      <c r="P218" s="173"/>
      <c r="Q218" s="173"/>
      <c r="R218" s="173"/>
      <c r="S218" s="173"/>
      <c r="T218" s="760"/>
    </row>
    <row r="219" spans="2:20">
      <c r="B219" s="2425"/>
      <c r="C219" s="2411"/>
      <c r="D219" s="2414"/>
      <c r="E219" s="2411"/>
      <c r="F219" s="2419">
        <f>F217</f>
        <v>0</v>
      </c>
      <c r="G219" s="2419">
        <f>F219-F217</f>
        <v>0</v>
      </c>
      <c r="H219" s="2422">
        <f>G219*G188</f>
        <v>0</v>
      </c>
      <c r="I219" s="2422">
        <f>I217+H219</f>
        <v>0</v>
      </c>
      <c r="J219" s="2419"/>
      <c r="K219" s="2419"/>
      <c r="L219" s="2419">
        <f>IF(H219=0,0,IF((100-J219-K219)&lt;0,0,100-J219-K219))</f>
        <v>0</v>
      </c>
      <c r="M219" s="2411"/>
      <c r="N219" s="2411"/>
      <c r="O219" s="2443"/>
      <c r="P219" s="758"/>
      <c r="Q219" s="758"/>
      <c r="R219" s="758"/>
      <c r="S219" s="758"/>
      <c r="T219" s="759"/>
    </row>
    <row r="220" spans="2:20">
      <c r="B220" s="2426"/>
      <c r="C220" s="2413"/>
      <c r="D220" s="2427"/>
      <c r="E220" s="2413"/>
      <c r="F220" s="2421"/>
      <c r="G220" s="2421"/>
      <c r="H220" s="2423"/>
      <c r="I220" s="2424"/>
      <c r="J220" s="2421"/>
      <c r="K220" s="2421"/>
      <c r="L220" s="2421"/>
      <c r="M220" s="2413"/>
      <c r="N220" s="2413"/>
      <c r="O220" s="2443"/>
      <c r="P220" s="173"/>
      <c r="Q220" s="173"/>
      <c r="R220" s="173"/>
      <c r="S220" s="173"/>
      <c r="T220" s="760"/>
    </row>
    <row r="221" spans="2:20">
      <c r="B221" s="2425"/>
      <c r="C221" s="2411"/>
      <c r="D221" s="2414"/>
      <c r="E221" s="2411"/>
      <c r="F221" s="2419">
        <f>F219</f>
        <v>0</v>
      </c>
      <c r="G221" s="2419">
        <f>F221-F219</f>
        <v>0</v>
      </c>
      <c r="H221" s="2422">
        <f>G221*G188</f>
        <v>0</v>
      </c>
      <c r="I221" s="2422">
        <f>I219+H221</f>
        <v>0</v>
      </c>
      <c r="J221" s="2419"/>
      <c r="K221" s="2419"/>
      <c r="L221" s="2419">
        <f>IF(H221=0,0,IF((100-J221-K221)&lt;0,0,100-J221-K221))</f>
        <v>0</v>
      </c>
      <c r="M221" s="2411"/>
      <c r="N221" s="2411"/>
      <c r="O221" s="2443"/>
      <c r="P221" s="758"/>
      <c r="Q221" s="758"/>
      <c r="R221" s="758"/>
      <c r="S221" s="758"/>
      <c r="T221" s="759"/>
    </row>
    <row r="222" spans="2:20" ht="13.75" thickBot="1">
      <c r="B222" s="2426"/>
      <c r="C222" s="2413"/>
      <c r="D222" s="2427"/>
      <c r="E222" s="2413"/>
      <c r="F222" s="2421"/>
      <c r="G222" s="2421"/>
      <c r="H222" s="2423"/>
      <c r="I222" s="2424"/>
      <c r="J222" s="2421"/>
      <c r="K222" s="2421"/>
      <c r="L222" s="2421"/>
      <c r="M222" s="2413"/>
      <c r="N222" s="2413"/>
      <c r="O222" s="2443"/>
      <c r="P222" s="173"/>
      <c r="Q222" s="173"/>
      <c r="R222" s="173"/>
      <c r="S222" s="173"/>
      <c r="T222" s="185"/>
    </row>
    <row r="223" spans="2:20">
      <c r="B223" s="2425"/>
      <c r="C223" s="2411"/>
      <c r="D223" s="2414"/>
      <c r="E223" s="2411"/>
      <c r="F223" s="2419">
        <f>F221</f>
        <v>0</v>
      </c>
      <c r="G223" s="2419">
        <f>F223-F221</f>
        <v>0</v>
      </c>
      <c r="H223" s="2422">
        <f>G223*G188</f>
        <v>0</v>
      </c>
      <c r="I223" s="2422">
        <f>I221+H223</f>
        <v>0</v>
      </c>
      <c r="J223" s="2419"/>
      <c r="K223" s="2419"/>
      <c r="L223" s="2419">
        <f>IF(H223=0,0,IF((100-J223-K223)&lt;0,0,100-J223-K223))</f>
        <v>0</v>
      </c>
      <c r="M223" s="2411"/>
      <c r="N223" s="2411"/>
      <c r="O223" s="2457"/>
      <c r="P223" s="365"/>
      <c r="Q223" s="365"/>
      <c r="R223" s="365"/>
      <c r="S223" s="365"/>
      <c r="T223" s="1087" t="str">
        <f>T178</f>
        <v>Ttl Other (1)</v>
      </c>
    </row>
    <row r="224" spans="2:20" ht="15" customHeight="1" thickBot="1">
      <c r="B224" s="2430"/>
      <c r="C224" s="2412"/>
      <c r="D224" s="2415"/>
      <c r="E224" s="2412"/>
      <c r="F224" s="2420"/>
      <c r="G224" s="2420"/>
      <c r="H224" s="2428"/>
      <c r="I224" s="2429"/>
      <c r="J224" s="2420"/>
      <c r="K224" s="2420"/>
      <c r="L224" s="2420"/>
      <c r="M224" s="2412"/>
      <c r="N224" s="2412"/>
      <c r="O224" s="2458"/>
      <c r="P224" s="1313" t="s">
        <v>806</v>
      </c>
      <c r="Q224" s="1314">
        <f>((H193*K193)+(H195*K195)+(H197*K197)+(H199*K199)+(H201*K201)+(H203*K203)+(H205*K205)+(H207*K207)+(H209*K209)+(H211*K211)+(H213*K213)+(H215*K215)+(H217*K217)+(H219*K219)+(H221*K221)+(H223*K223))/100</f>
        <v>0</v>
      </c>
      <c r="R224" s="1313" t="s">
        <v>807</v>
      </c>
      <c r="S224" s="1314">
        <f>((J193*H193)+(J195*H195)+(J197*H197)+(J199*H199)+(J201*H201)+(J203*H203)+(J205*H205)+(J207*H207)+(J209*H209)+(J211*H211)+(J213*H213)+(J215*H215)+(J217*H217)+(J219*H219)+(J221*H221)+(J223*H223))/100</f>
        <v>0</v>
      </c>
      <c r="T224" s="763">
        <f>I223-Q224-S224</f>
        <v>0</v>
      </c>
    </row>
    <row r="225" spans="2:20">
      <c r="B225" s="752"/>
      <c r="C225" s="753"/>
      <c r="D225" s="753"/>
      <c r="E225" s="753"/>
      <c r="F225" s="754"/>
      <c r="G225" s="754"/>
      <c r="H225" s="755"/>
      <c r="I225" s="751"/>
      <c r="J225" s="754"/>
      <c r="K225" s="754"/>
      <c r="L225" s="754"/>
      <c r="M225" s="753"/>
      <c r="N225" s="753"/>
      <c r="O225" s="41"/>
      <c r="P225" s="756"/>
      <c r="Q225" s="41"/>
      <c r="R225" s="41"/>
      <c r="S225" s="756"/>
      <c r="T225" s="761"/>
    </row>
    <row r="226" spans="2:20" ht="13.75" thickBot="1">
      <c r="B226" s="512"/>
      <c r="C226" s="757"/>
      <c r="D226" s="513"/>
      <c r="E226" s="513"/>
      <c r="F226" s="514"/>
      <c r="G226" s="514"/>
      <c r="H226" s="515"/>
      <c r="I226" s="516"/>
      <c r="J226" s="514"/>
      <c r="K226" s="514"/>
      <c r="L226" s="514"/>
      <c r="M226" s="513"/>
      <c r="N226" s="513"/>
      <c r="O226" s="366"/>
      <c r="P226" s="366"/>
      <c r="Q226" s="366"/>
      <c r="R226" s="366"/>
      <c r="S226" s="366"/>
      <c r="T226" s="762"/>
    </row>
    <row r="227" spans="2:20">
      <c r="B227" s="2406">
        <f>B182</f>
        <v>0</v>
      </c>
      <c r="C227" s="2407"/>
      <c r="D227" s="2407"/>
      <c r="E227" s="2407"/>
      <c r="F227" s="2407"/>
      <c r="G227" s="2407"/>
      <c r="H227" s="2407"/>
      <c r="I227" s="2407"/>
      <c r="J227" s="2407"/>
      <c r="K227" s="2407"/>
      <c r="L227" s="2407"/>
      <c r="M227" s="2407"/>
      <c r="N227" s="2407"/>
      <c r="O227" s="2407"/>
      <c r="P227" s="2407"/>
      <c r="Q227" s="2407"/>
      <c r="R227" s="2407"/>
      <c r="S227" s="2407"/>
      <c r="T227" s="2408"/>
    </row>
    <row r="228" spans="2:20">
      <c r="B228" s="1790" t="s">
        <v>1453</v>
      </c>
      <c r="C228" s="1659"/>
      <c r="D228" s="1659"/>
      <c r="E228" s="1659"/>
      <c r="F228" s="1659"/>
      <c r="G228" s="1659"/>
      <c r="H228" s="1659"/>
      <c r="I228" s="1659"/>
      <c r="J228" s="1659"/>
      <c r="K228" s="1659"/>
      <c r="L228" s="1659"/>
      <c r="M228" s="1659"/>
      <c r="N228" s="1659"/>
      <c r="O228" s="1659"/>
      <c r="P228" s="1659"/>
      <c r="Q228" s="1659"/>
      <c r="R228" s="1659"/>
      <c r="S228" s="1659"/>
      <c r="T228" s="1778"/>
    </row>
    <row r="229" spans="2:20">
      <c r="B229" s="84"/>
      <c r="P229" s="120" t="s">
        <v>729</v>
      </c>
      <c r="Q229" s="4">
        <f>IF(B238&gt;0,2,0)</f>
        <v>0</v>
      </c>
      <c r="R229" s="4"/>
      <c r="S229" s="120" t="s">
        <v>730</v>
      </c>
      <c r="T229" s="133">
        <f>IF(Q229=2,2,0)</f>
        <v>0</v>
      </c>
    </row>
    <row r="230" spans="2:20">
      <c r="B230" s="84"/>
      <c r="E230"/>
      <c r="T230" s="39"/>
    </row>
    <row r="231" spans="2:20">
      <c r="B231" s="947" t="s">
        <v>634</v>
      </c>
      <c r="C231" s="23">
        <f>C186</f>
        <v>0</v>
      </c>
      <c r="T231" s="39"/>
    </row>
    <row r="232" spans="2:20">
      <c r="B232" s="84"/>
      <c r="T232" s="39"/>
    </row>
    <row r="233" spans="2:20">
      <c r="B233" s="84" t="s">
        <v>221</v>
      </c>
      <c r="C233" s="2416">
        <f>IF(Q229=2,C188,0)</f>
        <v>0</v>
      </c>
      <c r="D233" s="2416"/>
      <c r="E233" s="2000" t="s">
        <v>736</v>
      </c>
      <c r="F233" s="2000"/>
      <c r="G233" s="23">
        <f>G188</f>
        <v>0</v>
      </c>
      <c r="I233" s="1659" t="s">
        <v>737</v>
      </c>
      <c r="J233" s="1659"/>
      <c r="K233" s="168">
        <f>K188</f>
        <v>0</v>
      </c>
      <c r="N233" s="23" t="s">
        <v>660</v>
      </c>
      <c r="P233" s="23">
        <f>P188</f>
        <v>0</v>
      </c>
      <c r="T233" s="39"/>
    </row>
    <row r="234" spans="2:20">
      <c r="B234" s="84"/>
      <c r="D234" s="2417" t="s">
        <v>805</v>
      </c>
      <c r="E234" s="2417"/>
      <c r="F234" s="2417"/>
      <c r="G234" s="367">
        <f>F223</f>
        <v>0</v>
      </c>
      <c r="H234" s="2418" t="s">
        <v>1003</v>
      </c>
      <c r="I234" s="2418"/>
      <c r="J234" s="2418"/>
      <c r="K234" s="2409">
        <f>K189</f>
        <v>0</v>
      </c>
      <c r="L234" s="2409"/>
      <c r="M234" s="2409">
        <f>M189</f>
        <v>0</v>
      </c>
      <c r="N234" s="2409"/>
      <c r="O234" s="2409">
        <f>O189</f>
        <v>0</v>
      </c>
      <c r="P234" s="2409"/>
      <c r="Q234" s="2409">
        <f>Q189</f>
        <v>0</v>
      </c>
      <c r="R234" s="2409"/>
      <c r="S234" s="2409"/>
      <c r="T234" s="2410"/>
    </row>
    <row r="235" spans="2:20" ht="12.75" customHeight="1">
      <c r="B235" s="2437" t="s">
        <v>208</v>
      </c>
      <c r="C235" s="2440" t="s">
        <v>738</v>
      </c>
      <c r="D235" s="739" t="s">
        <v>209</v>
      </c>
      <c r="E235" s="739" t="s">
        <v>207</v>
      </c>
      <c r="F235" s="2431" t="s">
        <v>210</v>
      </c>
      <c r="G235" s="2431" t="s">
        <v>210</v>
      </c>
      <c r="H235" s="2431" t="s">
        <v>209</v>
      </c>
      <c r="I235" s="739" t="s">
        <v>801</v>
      </c>
      <c r="J235" s="2433" t="s">
        <v>802</v>
      </c>
      <c r="K235" s="2434"/>
      <c r="L235" s="2435"/>
      <c r="M235" s="739" t="s">
        <v>204</v>
      </c>
      <c r="N235" s="765" t="s">
        <v>260</v>
      </c>
      <c r="O235" s="1310" t="s">
        <v>270</v>
      </c>
      <c r="P235" s="2450" t="s">
        <v>212</v>
      </c>
      <c r="Q235" s="2450"/>
      <c r="R235" s="2450"/>
      <c r="S235" s="2450"/>
      <c r="T235" s="2451"/>
    </row>
    <row r="236" spans="2:20">
      <c r="B236" s="2438"/>
      <c r="C236" s="2441"/>
      <c r="D236" s="741" t="s">
        <v>214</v>
      </c>
      <c r="E236" s="741" t="s">
        <v>215</v>
      </c>
      <c r="F236" s="2432"/>
      <c r="G236" s="2432"/>
      <c r="H236" s="2432"/>
      <c r="I236" s="741" t="s">
        <v>209</v>
      </c>
      <c r="J236" s="2431" t="s">
        <v>803</v>
      </c>
      <c r="K236" s="2431" t="s">
        <v>804</v>
      </c>
      <c r="L236" s="2431" t="str">
        <f>L191</f>
        <v>Other (1)%</v>
      </c>
      <c r="M236" s="741" t="s">
        <v>217</v>
      </c>
      <c r="N236" s="766" t="s">
        <v>217</v>
      </c>
      <c r="O236" s="1311" t="s">
        <v>481</v>
      </c>
      <c r="P236" s="2452"/>
      <c r="Q236" s="2452"/>
      <c r="R236" s="2452"/>
      <c r="S236" s="2452"/>
      <c r="T236" s="2453"/>
    </row>
    <row r="237" spans="2:20">
      <c r="B237" s="2439"/>
      <c r="C237" s="2442"/>
      <c r="D237" s="740" t="str">
        <f>D192</f>
        <v xml:space="preserve">m </v>
      </c>
      <c r="E237" s="740" t="str">
        <f>D237</f>
        <v xml:space="preserve">m </v>
      </c>
      <c r="F237" s="740" t="s">
        <v>211</v>
      </c>
      <c r="G237" s="740" t="s">
        <v>739</v>
      </c>
      <c r="H237" s="742" t="str">
        <f>H192</f>
        <v>Gain</v>
      </c>
      <c r="I237" s="740" t="str">
        <f>I192</f>
        <v>m³</v>
      </c>
      <c r="J237" s="2436"/>
      <c r="K237" s="2436"/>
      <c r="L237" s="2436"/>
      <c r="M237" s="740" t="str">
        <f>M192</f>
        <v>kPa</v>
      </c>
      <c r="N237" s="767" t="str">
        <f>N192</f>
        <v>kPa</v>
      </c>
      <c r="O237" s="1312" t="str">
        <f>O192</f>
        <v>10³m³/d</v>
      </c>
      <c r="P237" s="2454"/>
      <c r="Q237" s="2454"/>
      <c r="R237" s="2454"/>
      <c r="S237" s="2454"/>
      <c r="T237" s="2455"/>
    </row>
    <row r="238" spans="2:20">
      <c r="B238" s="2425">
        <v>0</v>
      </c>
      <c r="C238" s="2411"/>
      <c r="D238" s="2411"/>
      <c r="E238" s="2411"/>
      <c r="F238" s="2419">
        <f>G234</f>
        <v>0</v>
      </c>
      <c r="G238" s="2419">
        <f>F238-G234</f>
        <v>0</v>
      </c>
      <c r="H238" s="2422">
        <f>G238*G233</f>
        <v>0</v>
      </c>
      <c r="I238" s="2422">
        <f>H238+I223</f>
        <v>0</v>
      </c>
      <c r="J238" s="2419"/>
      <c r="K238" s="2419"/>
      <c r="L238" s="2419">
        <f>IF(H238=0,0,IF((100-J238-K238)&lt;0,0,100-J238-K238))</f>
        <v>0</v>
      </c>
      <c r="M238" s="2411"/>
      <c r="N238" s="2411"/>
      <c r="O238" s="2443"/>
      <c r="P238" s="758"/>
      <c r="Q238" s="758"/>
      <c r="R238" s="758"/>
      <c r="S238" s="758"/>
      <c r="T238" s="759"/>
    </row>
    <row r="239" spans="2:20">
      <c r="B239" s="2426"/>
      <c r="C239" s="2413"/>
      <c r="D239" s="2413"/>
      <c r="E239" s="2413"/>
      <c r="F239" s="2421"/>
      <c r="G239" s="2421"/>
      <c r="H239" s="2423"/>
      <c r="I239" s="2423"/>
      <c r="J239" s="2421"/>
      <c r="K239" s="2421"/>
      <c r="L239" s="2421"/>
      <c r="M239" s="2413"/>
      <c r="N239" s="2413"/>
      <c r="O239" s="2443"/>
      <c r="P239" s="173"/>
      <c r="Q239" s="173"/>
      <c r="R239" s="173"/>
      <c r="S239" s="173"/>
      <c r="T239" s="760"/>
    </row>
    <row r="240" spans="2:20">
      <c r="B240" s="2425"/>
      <c r="C240" s="2411"/>
      <c r="D240" s="2414"/>
      <c r="E240" s="2411"/>
      <c r="F240" s="2419">
        <f>F238</f>
        <v>0</v>
      </c>
      <c r="G240" s="2419">
        <f>F240-F238</f>
        <v>0</v>
      </c>
      <c r="H240" s="2422">
        <f>G240*G233</f>
        <v>0</v>
      </c>
      <c r="I240" s="2422">
        <f>I238+H240</f>
        <v>0</v>
      </c>
      <c r="J240" s="2419"/>
      <c r="K240" s="2419"/>
      <c r="L240" s="2419">
        <f>IF(H240=0,0,IF((100-J240-K240)&lt;0,0,100-J240-K240))</f>
        <v>0</v>
      </c>
      <c r="M240" s="2411"/>
      <c r="N240" s="2411"/>
      <c r="O240" s="2443"/>
      <c r="P240" s="758"/>
      <c r="Q240" s="758"/>
      <c r="R240" s="758"/>
      <c r="S240" s="758"/>
      <c r="T240" s="759"/>
    </row>
    <row r="241" spans="2:20">
      <c r="B241" s="2426"/>
      <c r="C241" s="2413"/>
      <c r="D241" s="2427"/>
      <c r="E241" s="2413"/>
      <c r="F241" s="2421"/>
      <c r="G241" s="2421"/>
      <c r="H241" s="2423"/>
      <c r="I241" s="2424"/>
      <c r="J241" s="2421"/>
      <c r="K241" s="2421"/>
      <c r="L241" s="2421"/>
      <c r="M241" s="2413"/>
      <c r="N241" s="2413"/>
      <c r="O241" s="2443"/>
      <c r="P241" s="173"/>
      <c r="Q241" s="173"/>
      <c r="R241" s="173"/>
      <c r="S241" s="173"/>
      <c r="T241" s="760"/>
    </row>
    <row r="242" spans="2:20">
      <c r="B242" s="2425"/>
      <c r="C242" s="2411"/>
      <c r="D242" s="2414"/>
      <c r="E242" s="2411"/>
      <c r="F242" s="2419">
        <f>F240</f>
        <v>0</v>
      </c>
      <c r="G242" s="2419">
        <f>F242-F240</f>
        <v>0</v>
      </c>
      <c r="H242" s="2422">
        <f>G242*G233</f>
        <v>0</v>
      </c>
      <c r="I242" s="2422">
        <f>I240+H242</f>
        <v>0</v>
      </c>
      <c r="J242" s="2419"/>
      <c r="K242" s="2419"/>
      <c r="L242" s="2419">
        <f>IF(H242=0,0,IF((100-J242-K242)&lt;0,0,100-J242-K242))</f>
        <v>0</v>
      </c>
      <c r="M242" s="2411"/>
      <c r="N242" s="2411"/>
      <c r="O242" s="2443"/>
      <c r="P242" s="758"/>
      <c r="Q242" s="758"/>
      <c r="R242" s="758"/>
      <c r="S242" s="758"/>
      <c r="T242" s="759"/>
    </row>
    <row r="243" spans="2:20">
      <c r="B243" s="2426"/>
      <c r="C243" s="2413"/>
      <c r="D243" s="2427"/>
      <c r="E243" s="2413"/>
      <c r="F243" s="2421"/>
      <c r="G243" s="2421"/>
      <c r="H243" s="2423"/>
      <c r="I243" s="2424"/>
      <c r="J243" s="2421"/>
      <c r="K243" s="2421"/>
      <c r="L243" s="2421"/>
      <c r="M243" s="2413"/>
      <c r="N243" s="2413"/>
      <c r="O243" s="2443"/>
      <c r="P243" s="173"/>
      <c r="Q243" s="173"/>
      <c r="R243" s="173"/>
      <c r="S243" s="173"/>
      <c r="T243" s="760"/>
    </row>
    <row r="244" spans="2:20">
      <c r="B244" s="2425"/>
      <c r="C244" s="2411"/>
      <c r="D244" s="2414"/>
      <c r="E244" s="2411"/>
      <c r="F244" s="2419">
        <f>F242</f>
        <v>0</v>
      </c>
      <c r="G244" s="2419">
        <f>F244-F242</f>
        <v>0</v>
      </c>
      <c r="H244" s="2422">
        <f>G244*G233</f>
        <v>0</v>
      </c>
      <c r="I244" s="2422">
        <f>I242+H244</f>
        <v>0</v>
      </c>
      <c r="J244" s="2419"/>
      <c r="K244" s="2419"/>
      <c r="L244" s="2419">
        <f>IF(H244=0,0,IF((100-J244-K244)&lt;0,0,100-J244-K244))</f>
        <v>0</v>
      </c>
      <c r="M244" s="2411"/>
      <c r="N244" s="2411"/>
      <c r="O244" s="2443"/>
      <c r="P244" s="758"/>
      <c r="Q244" s="758"/>
      <c r="R244" s="758"/>
      <c r="S244" s="758"/>
      <c r="T244" s="759"/>
    </row>
    <row r="245" spans="2:20">
      <c r="B245" s="2426"/>
      <c r="C245" s="2413"/>
      <c r="D245" s="2427"/>
      <c r="E245" s="2413"/>
      <c r="F245" s="2421"/>
      <c r="G245" s="2421"/>
      <c r="H245" s="2423"/>
      <c r="I245" s="2424"/>
      <c r="J245" s="2421"/>
      <c r="K245" s="2421"/>
      <c r="L245" s="2421"/>
      <c r="M245" s="2413"/>
      <c r="N245" s="2413"/>
      <c r="O245" s="2443"/>
      <c r="P245" s="173"/>
      <c r="Q245" s="173"/>
      <c r="R245" s="173"/>
      <c r="S245" s="173"/>
      <c r="T245" s="760"/>
    </row>
    <row r="246" spans="2:20">
      <c r="B246" s="2425"/>
      <c r="C246" s="2411"/>
      <c r="D246" s="2414"/>
      <c r="E246" s="2411"/>
      <c r="F246" s="2419">
        <f>F244</f>
        <v>0</v>
      </c>
      <c r="G246" s="2419">
        <f>F246-F244</f>
        <v>0</v>
      </c>
      <c r="H246" s="2422">
        <f>G246*G233</f>
        <v>0</v>
      </c>
      <c r="I246" s="2422">
        <f>I244+H246</f>
        <v>0</v>
      </c>
      <c r="J246" s="2419"/>
      <c r="K246" s="2419"/>
      <c r="L246" s="2419">
        <f>IF(H246=0,0,IF((100-J246-K246)&lt;0,0,100-J246-K246))</f>
        <v>0</v>
      </c>
      <c r="M246" s="2411"/>
      <c r="N246" s="2411"/>
      <c r="O246" s="2443"/>
      <c r="P246" s="758"/>
      <c r="Q246" s="758"/>
      <c r="R246" s="758"/>
      <c r="S246" s="758"/>
      <c r="T246" s="759"/>
    </row>
    <row r="247" spans="2:20">
      <c r="B247" s="2426"/>
      <c r="C247" s="2413"/>
      <c r="D247" s="2427"/>
      <c r="E247" s="2413"/>
      <c r="F247" s="2421"/>
      <c r="G247" s="2421"/>
      <c r="H247" s="2423"/>
      <c r="I247" s="2424"/>
      <c r="J247" s="2421"/>
      <c r="K247" s="2421"/>
      <c r="L247" s="2421"/>
      <c r="M247" s="2413"/>
      <c r="N247" s="2413"/>
      <c r="O247" s="2443"/>
      <c r="P247" s="173"/>
      <c r="Q247" s="173"/>
      <c r="R247" s="173"/>
      <c r="S247" s="173"/>
      <c r="T247" s="760"/>
    </row>
    <row r="248" spans="2:20">
      <c r="B248" s="2425"/>
      <c r="C248" s="2411"/>
      <c r="D248" s="2414"/>
      <c r="E248" s="2411"/>
      <c r="F248" s="2419">
        <f>F246</f>
        <v>0</v>
      </c>
      <c r="G248" s="2419">
        <f>F248-F246</f>
        <v>0</v>
      </c>
      <c r="H248" s="2422">
        <f>G248*G233</f>
        <v>0</v>
      </c>
      <c r="I248" s="2422">
        <f>I246+H248</f>
        <v>0</v>
      </c>
      <c r="J248" s="2419"/>
      <c r="K248" s="2419"/>
      <c r="L248" s="2419">
        <f>IF(H248=0,0,IF((100-J248-K248)&lt;0,0,100-J248-K248))</f>
        <v>0</v>
      </c>
      <c r="M248" s="2411"/>
      <c r="N248" s="2411"/>
      <c r="O248" s="2443"/>
      <c r="P248" s="758"/>
      <c r="Q248" s="758"/>
      <c r="R248" s="758"/>
      <c r="S248" s="758"/>
      <c r="T248" s="759"/>
    </row>
    <row r="249" spans="2:20">
      <c r="B249" s="2426"/>
      <c r="C249" s="2413"/>
      <c r="D249" s="2427"/>
      <c r="E249" s="2413"/>
      <c r="F249" s="2421"/>
      <c r="G249" s="2421"/>
      <c r="H249" s="2423"/>
      <c r="I249" s="2424"/>
      <c r="J249" s="2421"/>
      <c r="K249" s="2421"/>
      <c r="L249" s="2421"/>
      <c r="M249" s="2413"/>
      <c r="N249" s="2413"/>
      <c r="O249" s="2443"/>
      <c r="P249" s="173"/>
      <c r="Q249" s="173"/>
      <c r="R249" s="173"/>
      <c r="S249" s="173"/>
      <c r="T249" s="760"/>
    </row>
    <row r="250" spans="2:20">
      <c r="B250" s="2425"/>
      <c r="C250" s="2411"/>
      <c r="D250" s="2414"/>
      <c r="E250" s="2411"/>
      <c r="F250" s="2419">
        <f>F248</f>
        <v>0</v>
      </c>
      <c r="G250" s="2419">
        <f>F250-F248</f>
        <v>0</v>
      </c>
      <c r="H250" s="2422">
        <f>G250*G233</f>
        <v>0</v>
      </c>
      <c r="I250" s="2422">
        <f>I248+H250</f>
        <v>0</v>
      </c>
      <c r="J250" s="2419"/>
      <c r="K250" s="2419"/>
      <c r="L250" s="2419">
        <f>IF(H250=0,0,IF((100-J250-K250)&lt;0,0,100-J250-K250))</f>
        <v>0</v>
      </c>
      <c r="M250" s="2411"/>
      <c r="N250" s="2411"/>
      <c r="O250" s="2443"/>
      <c r="P250" s="758"/>
      <c r="Q250" s="758"/>
      <c r="R250" s="758"/>
      <c r="S250" s="758"/>
      <c r="T250" s="759"/>
    </row>
    <row r="251" spans="2:20">
      <c r="B251" s="2426"/>
      <c r="C251" s="2413"/>
      <c r="D251" s="2427"/>
      <c r="E251" s="2413"/>
      <c r="F251" s="2421"/>
      <c r="G251" s="2421"/>
      <c r="H251" s="2423"/>
      <c r="I251" s="2424"/>
      <c r="J251" s="2421"/>
      <c r="K251" s="2421"/>
      <c r="L251" s="2421"/>
      <c r="M251" s="2413"/>
      <c r="N251" s="2413"/>
      <c r="O251" s="2443"/>
      <c r="P251" s="173"/>
      <c r="Q251" s="173"/>
      <c r="R251" s="173"/>
      <c r="S251" s="173"/>
      <c r="T251" s="760"/>
    </row>
    <row r="252" spans="2:20">
      <c r="B252" s="2425"/>
      <c r="C252" s="2411"/>
      <c r="D252" s="2414"/>
      <c r="E252" s="2411"/>
      <c r="F252" s="2419">
        <f>F250</f>
        <v>0</v>
      </c>
      <c r="G252" s="2419">
        <f>F252-F250</f>
        <v>0</v>
      </c>
      <c r="H252" s="2422">
        <f>G252*G233</f>
        <v>0</v>
      </c>
      <c r="I252" s="2422">
        <f>I250+H252</f>
        <v>0</v>
      </c>
      <c r="J252" s="2419"/>
      <c r="K252" s="2419"/>
      <c r="L252" s="2419">
        <f>IF(H252=0,0,IF((100-J252-K252)&lt;0,0,100-J252-K252))</f>
        <v>0</v>
      </c>
      <c r="M252" s="2411"/>
      <c r="N252" s="2411"/>
      <c r="O252" s="2443"/>
      <c r="P252" s="758"/>
      <c r="Q252" s="758"/>
      <c r="R252" s="758"/>
      <c r="S252" s="758"/>
      <c r="T252" s="759"/>
    </row>
    <row r="253" spans="2:20">
      <c r="B253" s="2426"/>
      <c r="C253" s="2413"/>
      <c r="D253" s="2427"/>
      <c r="E253" s="2413"/>
      <c r="F253" s="2421"/>
      <c r="G253" s="2421"/>
      <c r="H253" s="2423"/>
      <c r="I253" s="2424"/>
      <c r="J253" s="2421"/>
      <c r="K253" s="2421"/>
      <c r="L253" s="2421"/>
      <c r="M253" s="2413"/>
      <c r="N253" s="2413"/>
      <c r="O253" s="2443"/>
      <c r="P253" s="173"/>
      <c r="Q253" s="173"/>
      <c r="R253" s="173"/>
      <c r="S253" s="173"/>
      <c r="T253" s="760"/>
    </row>
    <row r="254" spans="2:20">
      <c r="B254" s="2425"/>
      <c r="C254" s="2411"/>
      <c r="D254" s="2414"/>
      <c r="E254" s="2411"/>
      <c r="F254" s="2419">
        <f>F252</f>
        <v>0</v>
      </c>
      <c r="G254" s="2419">
        <f>F254-F252</f>
        <v>0</v>
      </c>
      <c r="H254" s="2422">
        <f>G254*G233</f>
        <v>0</v>
      </c>
      <c r="I254" s="2422">
        <f>I252+H254</f>
        <v>0</v>
      </c>
      <c r="J254" s="2419"/>
      <c r="K254" s="2419"/>
      <c r="L254" s="2419">
        <f>IF(H254=0,0,IF((100-J254-K254)&lt;0,0,100-J254-K254))</f>
        <v>0</v>
      </c>
      <c r="M254" s="2411"/>
      <c r="N254" s="2411"/>
      <c r="O254" s="2443"/>
      <c r="P254" s="758"/>
      <c r="Q254" s="758"/>
      <c r="R254" s="758"/>
      <c r="S254" s="758"/>
      <c r="T254" s="759"/>
    </row>
    <row r="255" spans="2:20">
      <c r="B255" s="2426"/>
      <c r="C255" s="2413"/>
      <c r="D255" s="2427"/>
      <c r="E255" s="2413"/>
      <c r="F255" s="2421"/>
      <c r="G255" s="2421"/>
      <c r="H255" s="2423"/>
      <c r="I255" s="2424"/>
      <c r="J255" s="2421"/>
      <c r="K255" s="2421"/>
      <c r="L255" s="2421"/>
      <c r="M255" s="2413"/>
      <c r="N255" s="2413"/>
      <c r="O255" s="2443"/>
      <c r="P255" s="173"/>
      <c r="Q255" s="173"/>
      <c r="R255" s="173"/>
      <c r="S255" s="173"/>
      <c r="T255" s="760"/>
    </row>
    <row r="256" spans="2:20">
      <c r="B256" s="2425"/>
      <c r="C256" s="2411"/>
      <c r="D256" s="2414"/>
      <c r="E256" s="2411"/>
      <c r="F256" s="2419">
        <f>F254</f>
        <v>0</v>
      </c>
      <c r="G256" s="2419">
        <f>F256-F254</f>
        <v>0</v>
      </c>
      <c r="H256" s="2422">
        <f>G256*G233</f>
        <v>0</v>
      </c>
      <c r="I256" s="2422">
        <f>I254+H256</f>
        <v>0</v>
      </c>
      <c r="J256" s="2419"/>
      <c r="K256" s="2419"/>
      <c r="L256" s="2419">
        <f>IF(H256=0,0,IF((100-J256-K256)&lt;0,0,100-J256-K256))</f>
        <v>0</v>
      </c>
      <c r="M256" s="2411"/>
      <c r="N256" s="2411"/>
      <c r="O256" s="2443"/>
      <c r="P256" s="758"/>
      <c r="Q256" s="758"/>
      <c r="R256" s="758"/>
      <c r="S256" s="758"/>
      <c r="T256" s="759"/>
    </row>
    <row r="257" spans="2:20">
      <c r="B257" s="2426"/>
      <c r="C257" s="2413"/>
      <c r="D257" s="2427"/>
      <c r="E257" s="2413"/>
      <c r="F257" s="2421"/>
      <c r="G257" s="2421"/>
      <c r="H257" s="2423"/>
      <c r="I257" s="2424"/>
      <c r="J257" s="2421"/>
      <c r="K257" s="2421"/>
      <c r="L257" s="2421"/>
      <c r="M257" s="2413"/>
      <c r="N257" s="2413"/>
      <c r="O257" s="2443"/>
      <c r="P257" s="173"/>
      <c r="Q257" s="173"/>
      <c r="R257" s="173"/>
      <c r="S257" s="173"/>
      <c r="T257" s="760"/>
    </row>
    <row r="258" spans="2:20">
      <c r="B258" s="2425"/>
      <c r="C258" s="2411"/>
      <c r="D258" s="2414"/>
      <c r="E258" s="2411"/>
      <c r="F258" s="2419">
        <f>F256</f>
        <v>0</v>
      </c>
      <c r="G258" s="2419">
        <f>F258-F256</f>
        <v>0</v>
      </c>
      <c r="H258" s="2422">
        <f>G258*G233</f>
        <v>0</v>
      </c>
      <c r="I258" s="2422">
        <f>I256+H258</f>
        <v>0</v>
      </c>
      <c r="J258" s="2419"/>
      <c r="K258" s="2419"/>
      <c r="L258" s="2419">
        <f>IF(H258=0,0,IF((100-J258-K258)&lt;0,0,100-J258-K258))</f>
        <v>0</v>
      </c>
      <c r="M258" s="2411"/>
      <c r="N258" s="2411"/>
      <c r="O258" s="2443"/>
      <c r="P258" s="758"/>
      <c r="Q258" s="758"/>
      <c r="R258" s="758"/>
      <c r="S258" s="758"/>
      <c r="T258" s="759"/>
    </row>
    <row r="259" spans="2:20">
      <c r="B259" s="2426"/>
      <c r="C259" s="2413"/>
      <c r="D259" s="2427"/>
      <c r="E259" s="2413"/>
      <c r="F259" s="2421"/>
      <c r="G259" s="2421"/>
      <c r="H259" s="2423"/>
      <c r="I259" s="2424"/>
      <c r="J259" s="2421"/>
      <c r="K259" s="2421"/>
      <c r="L259" s="2421"/>
      <c r="M259" s="2413"/>
      <c r="N259" s="2413"/>
      <c r="O259" s="2443"/>
      <c r="P259" s="173"/>
      <c r="Q259" s="173"/>
      <c r="R259" s="173"/>
      <c r="S259" s="173"/>
      <c r="T259" s="760"/>
    </row>
    <row r="260" spans="2:20">
      <c r="B260" s="2425"/>
      <c r="C260" s="2411"/>
      <c r="D260" s="2414"/>
      <c r="E260" s="2411"/>
      <c r="F260" s="2419">
        <f>F258</f>
        <v>0</v>
      </c>
      <c r="G260" s="2419">
        <f>F260-F258</f>
        <v>0</v>
      </c>
      <c r="H260" s="2422">
        <f>G260*G233</f>
        <v>0</v>
      </c>
      <c r="I260" s="2422">
        <f>I258+H260</f>
        <v>0</v>
      </c>
      <c r="J260" s="2419"/>
      <c r="K260" s="2419"/>
      <c r="L260" s="2419">
        <f>IF(H260=0,0,IF((100-J260-K260)&lt;0,0,100-J260-K260))</f>
        <v>0</v>
      </c>
      <c r="M260" s="2411"/>
      <c r="N260" s="2411"/>
      <c r="O260" s="2443"/>
      <c r="P260" s="758"/>
      <c r="Q260" s="758"/>
      <c r="R260" s="758"/>
      <c r="S260" s="758"/>
      <c r="T260" s="759"/>
    </row>
    <row r="261" spans="2:20">
      <c r="B261" s="2426"/>
      <c r="C261" s="2413"/>
      <c r="D261" s="2427"/>
      <c r="E261" s="2413"/>
      <c r="F261" s="2421"/>
      <c r="G261" s="2421"/>
      <c r="H261" s="2423"/>
      <c r="I261" s="2424"/>
      <c r="J261" s="2421"/>
      <c r="K261" s="2421"/>
      <c r="L261" s="2421"/>
      <c r="M261" s="2413"/>
      <c r="N261" s="2413"/>
      <c r="O261" s="2443"/>
      <c r="P261" s="173"/>
      <c r="Q261" s="173"/>
      <c r="R261" s="173"/>
      <c r="S261" s="173"/>
      <c r="T261" s="760"/>
    </row>
    <row r="262" spans="2:20">
      <c r="B262" s="2425"/>
      <c r="C262" s="2411"/>
      <c r="D262" s="2414"/>
      <c r="E262" s="2411"/>
      <c r="F262" s="2419">
        <f>F260</f>
        <v>0</v>
      </c>
      <c r="G262" s="2419">
        <f>F262-F260</f>
        <v>0</v>
      </c>
      <c r="H262" s="2422">
        <f>G262*G233</f>
        <v>0</v>
      </c>
      <c r="I262" s="2422">
        <f>I260+H262</f>
        <v>0</v>
      </c>
      <c r="J262" s="2419"/>
      <c r="K262" s="2419"/>
      <c r="L262" s="2419">
        <f>IF(H262=0,0,IF((100-J262-K262)&lt;0,0,100-J262-K262))</f>
        <v>0</v>
      </c>
      <c r="M262" s="2411"/>
      <c r="N262" s="2411"/>
      <c r="O262" s="2443"/>
      <c r="P262" s="758"/>
      <c r="Q262" s="758"/>
      <c r="R262" s="758"/>
      <c r="S262" s="758"/>
      <c r="T262" s="759"/>
    </row>
    <row r="263" spans="2:20">
      <c r="B263" s="2426"/>
      <c r="C263" s="2413"/>
      <c r="D263" s="2427"/>
      <c r="E263" s="2413"/>
      <c r="F263" s="2421"/>
      <c r="G263" s="2421"/>
      <c r="H263" s="2423"/>
      <c r="I263" s="2424"/>
      <c r="J263" s="2421"/>
      <c r="K263" s="2421"/>
      <c r="L263" s="2421"/>
      <c r="M263" s="2413"/>
      <c r="N263" s="2413"/>
      <c r="O263" s="2443"/>
      <c r="P263" s="173"/>
      <c r="Q263" s="173"/>
      <c r="R263" s="173"/>
      <c r="S263" s="173"/>
      <c r="T263" s="760"/>
    </row>
    <row r="264" spans="2:20">
      <c r="B264" s="2425"/>
      <c r="C264" s="2411"/>
      <c r="D264" s="2414"/>
      <c r="E264" s="2411"/>
      <c r="F264" s="2419">
        <f>F262</f>
        <v>0</v>
      </c>
      <c r="G264" s="2419">
        <f>F264-F262</f>
        <v>0</v>
      </c>
      <c r="H264" s="2422">
        <f>G264*G233</f>
        <v>0</v>
      </c>
      <c r="I264" s="2422">
        <f>I262+H264</f>
        <v>0</v>
      </c>
      <c r="J264" s="2419"/>
      <c r="K264" s="2419"/>
      <c r="L264" s="2419">
        <f>IF(H264=0,0,IF((100-J264-K264)&lt;0,0,100-J264-K264))</f>
        <v>0</v>
      </c>
      <c r="M264" s="2411"/>
      <c r="N264" s="2411"/>
      <c r="O264" s="2443"/>
      <c r="P264" s="758"/>
      <c r="Q264" s="758"/>
      <c r="R264" s="758"/>
      <c r="S264" s="758"/>
      <c r="T264" s="759"/>
    </row>
    <row r="265" spans="2:20">
      <c r="B265" s="2426"/>
      <c r="C265" s="2413"/>
      <c r="D265" s="2427"/>
      <c r="E265" s="2413"/>
      <c r="F265" s="2421"/>
      <c r="G265" s="2421"/>
      <c r="H265" s="2423"/>
      <c r="I265" s="2424"/>
      <c r="J265" s="2421"/>
      <c r="K265" s="2421"/>
      <c r="L265" s="2421"/>
      <c r="M265" s="2413"/>
      <c r="N265" s="2413"/>
      <c r="O265" s="2443"/>
      <c r="P265" s="173"/>
      <c r="Q265" s="173"/>
      <c r="R265" s="173"/>
      <c r="S265" s="173"/>
      <c r="T265" s="760"/>
    </row>
    <row r="266" spans="2:20">
      <c r="B266" s="2425"/>
      <c r="C266" s="2411"/>
      <c r="D266" s="2414"/>
      <c r="E266" s="2411"/>
      <c r="F266" s="2419">
        <f>F264</f>
        <v>0</v>
      </c>
      <c r="G266" s="2419">
        <f>F266-F264</f>
        <v>0</v>
      </c>
      <c r="H266" s="2422">
        <f>G266*G233</f>
        <v>0</v>
      </c>
      <c r="I266" s="2422">
        <f>I264+H266</f>
        <v>0</v>
      </c>
      <c r="J266" s="2419"/>
      <c r="K266" s="2419"/>
      <c r="L266" s="2419">
        <f>IF(H266=0,0,IF((100-J266-K266)&lt;0,0,100-J266-K266))</f>
        <v>0</v>
      </c>
      <c r="M266" s="2411"/>
      <c r="N266" s="2411"/>
      <c r="O266" s="2443"/>
      <c r="P266" s="758"/>
      <c r="Q266" s="758"/>
      <c r="R266" s="758"/>
      <c r="S266" s="758"/>
      <c r="T266" s="759"/>
    </row>
    <row r="267" spans="2:20" ht="13.75" thickBot="1">
      <c r="B267" s="2426"/>
      <c r="C267" s="2413"/>
      <c r="D267" s="2427"/>
      <c r="E267" s="2413"/>
      <c r="F267" s="2421"/>
      <c r="G267" s="2421"/>
      <c r="H267" s="2423"/>
      <c r="I267" s="2424"/>
      <c r="J267" s="2421"/>
      <c r="K267" s="2421"/>
      <c r="L267" s="2421"/>
      <c r="M267" s="2413"/>
      <c r="N267" s="2413"/>
      <c r="O267" s="2443"/>
      <c r="P267" s="173"/>
      <c r="Q267" s="173"/>
      <c r="R267" s="173"/>
      <c r="S267" s="173"/>
      <c r="T267" s="760"/>
    </row>
    <row r="268" spans="2:20">
      <c r="B268" s="2425"/>
      <c r="C268" s="2411"/>
      <c r="D268" s="2414"/>
      <c r="E268" s="2411"/>
      <c r="F268" s="2419">
        <f>F266</f>
        <v>0</v>
      </c>
      <c r="G268" s="2419">
        <f>F268-F266</f>
        <v>0</v>
      </c>
      <c r="H268" s="2422">
        <f>G268*G233</f>
        <v>0</v>
      </c>
      <c r="I268" s="2422">
        <f>I266+H268</f>
        <v>0</v>
      </c>
      <c r="J268" s="2419"/>
      <c r="K268" s="2419"/>
      <c r="L268" s="2419">
        <f>IF(H268=0,0,IF((100-J268-K268)&lt;0,0,100-J268-K268))</f>
        <v>0</v>
      </c>
      <c r="M268" s="2411"/>
      <c r="N268" s="2411"/>
      <c r="O268" s="2457"/>
      <c r="P268" s="365"/>
      <c r="Q268" s="365"/>
      <c r="R268" s="365"/>
      <c r="S268" s="365"/>
      <c r="T268" s="1087" t="str">
        <f>T223</f>
        <v>Ttl Other (1)</v>
      </c>
    </row>
    <row r="269" spans="2:20" ht="13.75" thickBot="1">
      <c r="B269" s="2430"/>
      <c r="C269" s="2412"/>
      <c r="D269" s="2415"/>
      <c r="E269" s="2412"/>
      <c r="F269" s="2420"/>
      <c r="G269" s="2420"/>
      <c r="H269" s="2428"/>
      <c r="I269" s="2429"/>
      <c r="J269" s="2420"/>
      <c r="K269" s="2420"/>
      <c r="L269" s="2420"/>
      <c r="M269" s="2412"/>
      <c r="N269" s="2412"/>
      <c r="O269" s="2458"/>
      <c r="P269" s="1313" t="s">
        <v>806</v>
      </c>
      <c r="Q269" s="1314">
        <f>((H238*K238)+(H240*K240)+(H242*K242)+(H244*K244)+(H246*K246)+(H248*K248)+(H250*K250)+(H252*K252)+(H254*K254)+(H256*K256)+(H258*K258)+(H260*K260)+(H262*K262)+(H264*K264)+(H266*K266)+(H268*K268))/100+Q224</f>
        <v>0</v>
      </c>
      <c r="R269" s="1313" t="s">
        <v>807</v>
      </c>
      <c r="S269" s="1314">
        <f>((J238*H238)+(J240*H240)+(J242*H242)+(J244*H244)+(J246*H246)+(J248*H248)+(J250*H250)+(J252*H252)+(J254*H254)+(J256*H256)+(J258*H258)+(J260*H260)+(J262*H262)+(J264*H264)+(J266*H266)+(J268*H268))/100+S224</f>
        <v>0</v>
      </c>
      <c r="T269" s="510">
        <f>I268-Q269-S269</f>
        <v>0</v>
      </c>
    </row>
  </sheetData>
  <mergeCells count="1477">
    <mergeCell ref="C7:E7"/>
    <mergeCell ref="C223:C224"/>
    <mergeCell ref="D223:D224"/>
    <mergeCell ref="E223:E224"/>
    <mergeCell ref="M35:M36"/>
    <mergeCell ref="B92:T92"/>
    <mergeCell ref="B93:T93"/>
    <mergeCell ref="B137:T137"/>
    <mergeCell ref="S99:T99"/>
    <mergeCell ref="N131:N132"/>
    <mergeCell ref="B133:B134"/>
    <mergeCell ref="C133:C134"/>
    <mergeCell ref="D133:D134"/>
    <mergeCell ref="E133:E134"/>
    <mergeCell ref="K234:L234"/>
    <mergeCell ref="C233:D233"/>
    <mergeCell ref="E233:F233"/>
    <mergeCell ref="I233:J233"/>
    <mergeCell ref="D234:F234"/>
    <mergeCell ref="H234:J234"/>
    <mergeCell ref="F223:F224"/>
    <mergeCell ref="M234:N234"/>
    <mergeCell ref="O234:P234"/>
    <mergeCell ref="N39:N40"/>
    <mergeCell ref="M41:M42"/>
    <mergeCell ref="N41:N42"/>
    <mergeCell ref="N25:N26"/>
    <mergeCell ref="N37:N38"/>
    <mergeCell ref="N27:N28"/>
    <mergeCell ref="N219:N220"/>
    <mergeCell ref="J219:J220"/>
    <mergeCell ref="J217:J218"/>
    <mergeCell ref="B2:T2"/>
    <mergeCell ref="B3:T3"/>
    <mergeCell ref="B47:T47"/>
    <mergeCell ref="B48:T48"/>
    <mergeCell ref="S9:T9"/>
    <mergeCell ref="N43:N44"/>
    <mergeCell ref="N33:N34"/>
    <mergeCell ref="K144:L144"/>
    <mergeCell ref="N133:N134"/>
    <mergeCell ref="S234:T234"/>
    <mergeCell ref="K189:L189"/>
    <mergeCell ref="M189:N189"/>
    <mergeCell ref="O189:P189"/>
    <mergeCell ref="Q189:R189"/>
    <mergeCell ref="K223:K224"/>
    <mergeCell ref="L223:L224"/>
    <mergeCell ref="M223:M224"/>
    <mergeCell ref="N223:N224"/>
    <mergeCell ref="M43:M44"/>
    <mergeCell ref="K54:L54"/>
    <mergeCell ref="S144:T144"/>
    <mergeCell ref="K99:L99"/>
    <mergeCell ref="M99:N99"/>
    <mergeCell ref="O99:P99"/>
    <mergeCell ref="Q99:R99"/>
    <mergeCell ref="K133:K134"/>
    <mergeCell ref="L133:L134"/>
    <mergeCell ref="M133:M134"/>
    <mergeCell ref="K9:L9"/>
    <mergeCell ref="M9:N9"/>
    <mergeCell ref="O9:P9"/>
    <mergeCell ref="Q9:R9"/>
    <mergeCell ref="L268:L269"/>
    <mergeCell ref="M268:M269"/>
    <mergeCell ref="N268:N269"/>
    <mergeCell ref="Q54:R54"/>
    <mergeCell ref="M54:N54"/>
    <mergeCell ref="O54:P54"/>
    <mergeCell ref="Q144:R144"/>
    <mergeCell ref="M144:N144"/>
    <mergeCell ref="O144:P144"/>
    <mergeCell ref="Q234:R234"/>
    <mergeCell ref="K266:K267"/>
    <mergeCell ref="K268:K269"/>
    <mergeCell ref="N266:N267"/>
    <mergeCell ref="M266:M267"/>
    <mergeCell ref="K264:K265"/>
    <mergeCell ref="B268:B269"/>
    <mergeCell ref="C268:C269"/>
    <mergeCell ref="D268:D269"/>
    <mergeCell ref="E268:E269"/>
    <mergeCell ref="F268:F269"/>
    <mergeCell ref="G266:G267"/>
    <mergeCell ref="H266:H267"/>
    <mergeCell ref="I266:I267"/>
    <mergeCell ref="I268:I269"/>
    <mergeCell ref="J268:J269"/>
    <mergeCell ref="J266:J267"/>
    <mergeCell ref="G268:G269"/>
    <mergeCell ref="H268:H269"/>
    <mergeCell ref="M264:M265"/>
    <mergeCell ref="N264:N265"/>
    <mergeCell ref="N262:N263"/>
    <mergeCell ref="M262:M263"/>
    <mergeCell ref="B266:B267"/>
    <mergeCell ref="C266:C267"/>
    <mergeCell ref="D266:D267"/>
    <mergeCell ref="E266:E267"/>
    <mergeCell ref="L266:L267"/>
    <mergeCell ref="F266:F267"/>
    <mergeCell ref="F264:F265"/>
    <mergeCell ref="G264:G265"/>
    <mergeCell ref="H264:H265"/>
    <mergeCell ref="I264:I265"/>
    <mergeCell ref="B264:B265"/>
    <mergeCell ref="C264:C265"/>
    <mergeCell ref="D264:D265"/>
    <mergeCell ref="E264:E265"/>
    <mergeCell ref="H262:H263"/>
    <mergeCell ref="I262:I263"/>
    <mergeCell ref="J264:J265"/>
    <mergeCell ref="J262:J263"/>
    <mergeCell ref="K262:K263"/>
    <mergeCell ref="L262:L263"/>
    <mergeCell ref="L264:L265"/>
    <mergeCell ref="K260:K261"/>
    <mergeCell ref="L260:L261"/>
    <mergeCell ref="M260:M261"/>
    <mergeCell ref="N260:N261"/>
    <mergeCell ref="B262:B263"/>
    <mergeCell ref="C262:C263"/>
    <mergeCell ref="D262:D263"/>
    <mergeCell ref="E262:E263"/>
    <mergeCell ref="F262:F263"/>
    <mergeCell ref="G262:G263"/>
    <mergeCell ref="N258:N259"/>
    <mergeCell ref="B260:B261"/>
    <mergeCell ref="C260:C261"/>
    <mergeCell ref="D260:D261"/>
    <mergeCell ref="E260:E261"/>
    <mergeCell ref="F260:F261"/>
    <mergeCell ref="G260:G261"/>
    <mergeCell ref="H260:H261"/>
    <mergeCell ref="I260:I261"/>
    <mergeCell ref="J260:J261"/>
    <mergeCell ref="H258:H259"/>
    <mergeCell ref="I258:I259"/>
    <mergeCell ref="J258:J259"/>
    <mergeCell ref="K258:K259"/>
    <mergeCell ref="L258:L259"/>
    <mergeCell ref="M258:M259"/>
    <mergeCell ref="K256:K257"/>
    <mergeCell ref="L256:L257"/>
    <mergeCell ref="M256:M257"/>
    <mergeCell ref="N256:N257"/>
    <mergeCell ref="B258:B259"/>
    <mergeCell ref="C258:C259"/>
    <mergeCell ref="D258:D259"/>
    <mergeCell ref="E258:E259"/>
    <mergeCell ref="F258:F259"/>
    <mergeCell ref="G258:G259"/>
    <mergeCell ref="N254:N255"/>
    <mergeCell ref="B256:B257"/>
    <mergeCell ref="C256:C257"/>
    <mergeCell ref="D256:D257"/>
    <mergeCell ref="E256:E257"/>
    <mergeCell ref="F256:F257"/>
    <mergeCell ref="G256:G257"/>
    <mergeCell ref="H256:H257"/>
    <mergeCell ref="I256:I257"/>
    <mergeCell ref="J256:J257"/>
    <mergeCell ref="H254:H255"/>
    <mergeCell ref="I254:I255"/>
    <mergeCell ref="J254:J255"/>
    <mergeCell ref="K254:K255"/>
    <mergeCell ref="L254:L255"/>
    <mergeCell ref="M254:M255"/>
    <mergeCell ref="K252:K253"/>
    <mergeCell ref="L252:L253"/>
    <mergeCell ref="M252:M253"/>
    <mergeCell ref="N252:N253"/>
    <mergeCell ref="B254:B255"/>
    <mergeCell ref="C254:C255"/>
    <mergeCell ref="D254:D255"/>
    <mergeCell ref="E254:E255"/>
    <mergeCell ref="F254:F255"/>
    <mergeCell ref="G254:G255"/>
    <mergeCell ref="N250:N251"/>
    <mergeCell ref="B252:B253"/>
    <mergeCell ref="C252:C253"/>
    <mergeCell ref="D252:D253"/>
    <mergeCell ref="E252:E253"/>
    <mergeCell ref="F252:F253"/>
    <mergeCell ref="G252:G253"/>
    <mergeCell ref="H252:H253"/>
    <mergeCell ref="I252:I253"/>
    <mergeCell ref="J252:J253"/>
    <mergeCell ref="H250:H251"/>
    <mergeCell ref="I250:I251"/>
    <mergeCell ref="J250:J251"/>
    <mergeCell ref="K250:K251"/>
    <mergeCell ref="L250:L251"/>
    <mergeCell ref="M250:M251"/>
    <mergeCell ref="K248:K249"/>
    <mergeCell ref="L248:L249"/>
    <mergeCell ref="M248:M249"/>
    <mergeCell ref="N248:N249"/>
    <mergeCell ref="B250:B251"/>
    <mergeCell ref="C250:C251"/>
    <mergeCell ref="D250:D251"/>
    <mergeCell ref="E250:E251"/>
    <mergeCell ref="F250:F251"/>
    <mergeCell ref="G250:G251"/>
    <mergeCell ref="N246:N247"/>
    <mergeCell ref="B248:B249"/>
    <mergeCell ref="C248:C249"/>
    <mergeCell ref="D248:D249"/>
    <mergeCell ref="E248:E249"/>
    <mergeCell ref="F248:F249"/>
    <mergeCell ref="G248:G249"/>
    <mergeCell ref="H248:H249"/>
    <mergeCell ref="I248:I249"/>
    <mergeCell ref="J248:J249"/>
    <mergeCell ref="H246:H247"/>
    <mergeCell ref="I246:I247"/>
    <mergeCell ref="J246:J247"/>
    <mergeCell ref="K246:K247"/>
    <mergeCell ref="L246:L247"/>
    <mergeCell ref="M246:M247"/>
    <mergeCell ref="K244:K245"/>
    <mergeCell ref="L244:L245"/>
    <mergeCell ref="M244:M245"/>
    <mergeCell ref="N244:N245"/>
    <mergeCell ref="B246:B247"/>
    <mergeCell ref="C246:C247"/>
    <mergeCell ref="D246:D247"/>
    <mergeCell ref="E246:E247"/>
    <mergeCell ref="F246:F247"/>
    <mergeCell ref="G246:G247"/>
    <mergeCell ref="N242:N243"/>
    <mergeCell ref="B244:B245"/>
    <mergeCell ref="C244:C245"/>
    <mergeCell ref="D244:D245"/>
    <mergeCell ref="E244:E245"/>
    <mergeCell ref="F244:F245"/>
    <mergeCell ref="G244:G245"/>
    <mergeCell ref="H244:H245"/>
    <mergeCell ref="I244:I245"/>
    <mergeCell ref="J244:J245"/>
    <mergeCell ref="H242:H243"/>
    <mergeCell ref="I242:I243"/>
    <mergeCell ref="J242:J243"/>
    <mergeCell ref="K242:K243"/>
    <mergeCell ref="L242:L243"/>
    <mergeCell ref="M242:M243"/>
    <mergeCell ref="K240:K241"/>
    <mergeCell ref="L240:L241"/>
    <mergeCell ref="M240:M241"/>
    <mergeCell ref="N240:N241"/>
    <mergeCell ref="B242:B243"/>
    <mergeCell ref="C242:C243"/>
    <mergeCell ref="D242:D243"/>
    <mergeCell ref="E242:E243"/>
    <mergeCell ref="F242:F243"/>
    <mergeCell ref="G242:G243"/>
    <mergeCell ref="N238:N239"/>
    <mergeCell ref="B240:B241"/>
    <mergeCell ref="C240:C241"/>
    <mergeCell ref="D240:D241"/>
    <mergeCell ref="E240:E241"/>
    <mergeCell ref="F240:F241"/>
    <mergeCell ref="G240:G241"/>
    <mergeCell ref="H240:H241"/>
    <mergeCell ref="I240:I241"/>
    <mergeCell ref="J240:J241"/>
    <mergeCell ref="H238:H239"/>
    <mergeCell ref="I238:I239"/>
    <mergeCell ref="J238:J239"/>
    <mergeCell ref="K238:K239"/>
    <mergeCell ref="L238:L239"/>
    <mergeCell ref="M238:M239"/>
    <mergeCell ref="B238:B239"/>
    <mergeCell ref="C238:C239"/>
    <mergeCell ref="D238:D239"/>
    <mergeCell ref="E238:E239"/>
    <mergeCell ref="F238:F239"/>
    <mergeCell ref="G238:G239"/>
    <mergeCell ref="B235:B237"/>
    <mergeCell ref="C235:C237"/>
    <mergeCell ref="F235:F236"/>
    <mergeCell ref="G235:G236"/>
    <mergeCell ref="H235:H236"/>
    <mergeCell ref="J235:L235"/>
    <mergeCell ref="J236:J237"/>
    <mergeCell ref="K236:K237"/>
    <mergeCell ref="L236:L237"/>
    <mergeCell ref="K221:K222"/>
    <mergeCell ref="L221:L222"/>
    <mergeCell ref="M221:M222"/>
    <mergeCell ref="G223:G224"/>
    <mergeCell ref="H223:H224"/>
    <mergeCell ref="I223:I224"/>
    <mergeCell ref="J223:J224"/>
    <mergeCell ref="M217:M218"/>
    <mergeCell ref="B221:B222"/>
    <mergeCell ref="C221:C222"/>
    <mergeCell ref="D221:D222"/>
    <mergeCell ref="E221:E222"/>
    <mergeCell ref="F221:F222"/>
    <mergeCell ref="G221:G222"/>
    <mergeCell ref="H221:H222"/>
    <mergeCell ref="I221:I222"/>
    <mergeCell ref="J221:J222"/>
    <mergeCell ref="B219:B220"/>
    <mergeCell ref="C219:C220"/>
    <mergeCell ref="D219:D220"/>
    <mergeCell ref="E219:E220"/>
    <mergeCell ref="M219:M220"/>
    <mergeCell ref="K219:K220"/>
    <mergeCell ref="K217:K218"/>
    <mergeCell ref="L217:L218"/>
    <mergeCell ref="L219:L220"/>
    <mergeCell ref="F219:F220"/>
    <mergeCell ref="G219:G220"/>
    <mergeCell ref="H219:H220"/>
    <mergeCell ref="I219:I220"/>
    <mergeCell ref="N215:N216"/>
    <mergeCell ref="B217:B218"/>
    <mergeCell ref="C217:C218"/>
    <mergeCell ref="D217:D218"/>
    <mergeCell ref="E217:E218"/>
    <mergeCell ref="F217:F218"/>
    <mergeCell ref="G217:G218"/>
    <mergeCell ref="H217:H218"/>
    <mergeCell ref="I217:I218"/>
    <mergeCell ref="N217:N218"/>
    <mergeCell ref="H215:H216"/>
    <mergeCell ref="I215:I216"/>
    <mergeCell ref="J215:J216"/>
    <mergeCell ref="K215:K216"/>
    <mergeCell ref="L215:L216"/>
    <mergeCell ref="M215:M216"/>
    <mergeCell ref="K213:K214"/>
    <mergeCell ref="L213:L214"/>
    <mergeCell ref="M213:M214"/>
    <mergeCell ref="N213:N214"/>
    <mergeCell ref="B215:B216"/>
    <mergeCell ref="C215:C216"/>
    <mergeCell ref="D215:D216"/>
    <mergeCell ref="E215:E216"/>
    <mergeCell ref="F215:F216"/>
    <mergeCell ref="G215:G216"/>
    <mergeCell ref="N211:N212"/>
    <mergeCell ref="B213:B214"/>
    <mergeCell ref="C213:C214"/>
    <mergeCell ref="D213:D214"/>
    <mergeCell ref="E213:E214"/>
    <mergeCell ref="F213:F214"/>
    <mergeCell ref="G213:G214"/>
    <mergeCell ref="H213:H214"/>
    <mergeCell ref="I213:I214"/>
    <mergeCell ref="J213:J214"/>
    <mergeCell ref="H211:H212"/>
    <mergeCell ref="I211:I212"/>
    <mergeCell ref="J211:J212"/>
    <mergeCell ref="K211:K212"/>
    <mergeCell ref="L211:L212"/>
    <mergeCell ref="M211:M212"/>
    <mergeCell ref="K209:K210"/>
    <mergeCell ref="L209:L210"/>
    <mergeCell ref="M209:M210"/>
    <mergeCell ref="N209:N210"/>
    <mergeCell ref="B211:B212"/>
    <mergeCell ref="C211:C212"/>
    <mergeCell ref="D211:D212"/>
    <mergeCell ref="E211:E212"/>
    <mergeCell ref="F211:F212"/>
    <mergeCell ref="G211:G212"/>
    <mergeCell ref="N207:N208"/>
    <mergeCell ref="B209:B210"/>
    <mergeCell ref="C209:C210"/>
    <mergeCell ref="D209:D210"/>
    <mergeCell ref="E209:E210"/>
    <mergeCell ref="F209:F210"/>
    <mergeCell ref="G209:G210"/>
    <mergeCell ref="H209:H210"/>
    <mergeCell ref="I209:I210"/>
    <mergeCell ref="J209:J210"/>
    <mergeCell ref="H207:H208"/>
    <mergeCell ref="I207:I208"/>
    <mergeCell ref="J207:J208"/>
    <mergeCell ref="K207:K208"/>
    <mergeCell ref="L207:L208"/>
    <mergeCell ref="M207:M208"/>
    <mergeCell ref="K205:K206"/>
    <mergeCell ref="L205:L206"/>
    <mergeCell ref="M205:M206"/>
    <mergeCell ref="N205:N206"/>
    <mergeCell ref="B207:B208"/>
    <mergeCell ref="C207:C208"/>
    <mergeCell ref="D207:D208"/>
    <mergeCell ref="E207:E208"/>
    <mergeCell ref="F207:F208"/>
    <mergeCell ref="G207:G208"/>
    <mergeCell ref="N203:N204"/>
    <mergeCell ref="B205:B206"/>
    <mergeCell ref="C205:C206"/>
    <mergeCell ref="D205:D206"/>
    <mergeCell ref="E205:E206"/>
    <mergeCell ref="F205:F206"/>
    <mergeCell ref="G205:G206"/>
    <mergeCell ref="H205:H206"/>
    <mergeCell ref="I205:I206"/>
    <mergeCell ref="J205:J206"/>
    <mergeCell ref="H203:H204"/>
    <mergeCell ref="I203:I204"/>
    <mergeCell ref="J203:J204"/>
    <mergeCell ref="K203:K204"/>
    <mergeCell ref="L203:L204"/>
    <mergeCell ref="M203:M204"/>
    <mergeCell ref="K201:K202"/>
    <mergeCell ref="L201:L202"/>
    <mergeCell ref="M201:M202"/>
    <mergeCell ref="N201:N202"/>
    <mergeCell ref="B203:B204"/>
    <mergeCell ref="C203:C204"/>
    <mergeCell ref="D203:D204"/>
    <mergeCell ref="E203:E204"/>
    <mergeCell ref="F203:F204"/>
    <mergeCell ref="G203:G204"/>
    <mergeCell ref="N199:N200"/>
    <mergeCell ref="B201:B202"/>
    <mergeCell ref="C201:C202"/>
    <mergeCell ref="D201:D202"/>
    <mergeCell ref="E201:E202"/>
    <mergeCell ref="F201:F202"/>
    <mergeCell ref="G201:G202"/>
    <mergeCell ref="H201:H202"/>
    <mergeCell ref="I201:I202"/>
    <mergeCell ref="J201:J202"/>
    <mergeCell ref="H199:H200"/>
    <mergeCell ref="I199:I200"/>
    <mergeCell ref="J199:J200"/>
    <mergeCell ref="K199:K200"/>
    <mergeCell ref="L199:L200"/>
    <mergeCell ref="M199:M200"/>
    <mergeCell ref="K197:K198"/>
    <mergeCell ref="L197:L198"/>
    <mergeCell ref="M197:M198"/>
    <mergeCell ref="N197:N198"/>
    <mergeCell ref="B199:B200"/>
    <mergeCell ref="C199:C200"/>
    <mergeCell ref="D199:D200"/>
    <mergeCell ref="E199:E200"/>
    <mergeCell ref="F199:F200"/>
    <mergeCell ref="G199:G200"/>
    <mergeCell ref="N195:N196"/>
    <mergeCell ref="B197:B198"/>
    <mergeCell ref="C197:C198"/>
    <mergeCell ref="D197:D198"/>
    <mergeCell ref="E197:E198"/>
    <mergeCell ref="F197:F198"/>
    <mergeCell ref="G197:G198"/>
    <mergeCell ref="H197:H198"/>
    <mergeCell ref="I197:I198"/>
    <mergeCell ref="J197:J198"/>
    <mergeCell ref="H195:H196"/>
    <mergeCell ref="I195:I196"/>
    <mergeCell ref="J195:J196"/>
    <mergeCell ref="K195:K196"/>
    <mergeCell ref="L195:L196"/>
    <mergeCell ref="M195:M196"/>
    <mergeCell ref="K193:K194"/>
    <mergeCell ref="L193:L194"/>
    <mergeCell ref="M193:M194"/>
    <mergeCell ref="N193:N194"/>
    <mergeCell ref="B195:B196"/>
    <mergeCell ref="C195:C196"/>
    <mergeCell ref="D195:D196"/>
    <mergeCell ref="E195:E196"/>
    <mergeCell ref="F195:F196"/>
    <mergeCell ref="G195:G196"/>
    <mergeCell ref="L191:L192"/>
    <mergeCell ref="B193:B194"/>
    <mergeCell ref="C193:C194"/>
    <mergeCell ref="D193:D194"/>
    <mergeCell ref="E193:E194"/>
    <mergeCell ref="F193:F194"/>
    <mergeCell ref="G193:G194"/>
    <mergeCell ref="H193:H194"/>
    <mergeCell ref="I193:I194"/>
    <mergeCell ref="J193:J194"/>
    <mergeCell ref="D189:F189"/>
    <mergeCell ref="H189:J189"/>
    <mergeCell ref="B190:B192"/>
    <mergeCell ref="C190:C192"/>
    <mergeCell ref="F190:F191"/>
    <mergeCell ref="G190:G191"/>
    <mergeCell ref="H190:H191"/>
    <mergeCell ref="J190:L190"/>
    <mergeCell ref="J191:J192"/>
    <mergeCell ref="K191:K192"/>
    <mergeCell ref="K178:K179"/>
    <mergeCell ref="L178:L179"/>
    <mergeCell ref="M178:M179"/>
    <mergeCell ref="N178:N179"/>
    <mergeCell ref="C188:D188"/>
    <mergeCell ref="E188:F188"/>
    <mergeCell ref="I188:J188"/>
    <mergeCell ref="N176:N177"/>
    <mergeCell ref="B178:B179"/>
    <mergeCell ref="C178:C179"/>
    <mergeCell ref="D178:D179"/>
    <mergeCell ref="E178:E179"/>
    <mergeCell ref="F178:F179"/>
    <mergeCell ref="G178:G179"/>
    <mergeCell ref="H178:H179"/>
    <mergeCell ref="I178:I179"/>
    <mergeCell ref="J178:J179"/>
    <mergeCell ref="H176:H177"/>
    <mergeCell ref="I176:I177"/>
    <mergeCell ref="J176:J177"/>
    <mergeCell ref="K176:K177"/>
    <mergeCell ref="L176:L177"/>
    <mergeCell ref="M176:M177"/>
    <mergeCell ref="K174:K175"/>
    <mergeCell ref="L174:L175"/>
    <mergeCell ref="M174:M175"/>
    <mergeCell ref="N174:N175"/>
    <mergeCell ref="B176:B177"/>
    <mergeCell ref="C176:C177"/>
    <mergeCell ref="D176:D177"/>
    <mergeCell ref="E176:E177"/>
    <mergeCell ref="F176:F177"/>
    <mergeCell ref="G176:G177"/>
    <mergeCell ref="J174:J175"/>
    <mergeCell ref="H172:H173"/>
    <mergeCell ref="I172:I173"/>
    <mergeCell ref="J172:J173"/>
    <mergeCell ref="K172:K173"/>
    <mergeCell ref="L172:L173"/>
    <mergeCell ref="M172:M173"/>
    <mergeCell ref="K170:K171"/>
    <mergeCell ref="L170:L171"/>
    <mergeCell ref="M170:M171"/>
    <mergeCell ref="N170:N171"/>
    <mergeCell ref="B172:B173"/>
    <mergeCell ref="C172:C173"/>
    <mergeCell ref="D172:D173"/>
    <mergeCell ref="E172:E173"/>
    <mergeCell ref="F172:F173"/>
    <mergeCell ref="G172:G173"/>
    <mergeCell ref="N168:N169"/>
    <mergeCell ref="B170:B171"/>
    <mergeCell ref="C170:C171"/>
    <mergeCell ref="D170:D171"/>
    <mergeCell ref="E170:E171"/>
    <mergeCell ref="F170:F171"/>
    <mergeCell ref="G170:G171"/>
    <mergeCell ref="H170:H171"/>
    <mergeCell ref="I170:I171"/>
    <mergeCell ref="J170:J171"/>
    <mergeCell ref="H168:H169"/>
    <mergeCell ref="I168:I169"/>
    <mergeCell ref="J168:J169"/>
    <mergeCell ref="K168:K169"/>
    <mergeCell ref="L168:L169"/>
    <mergeCell ref="M168:M169"/>
    <mergeCell ref="K166:K167"/>
    <mergeCell ref="L166:L167"/>
    <mergeCell ref="M166:M167"/>
    <mergeCell ref="N166:N167"/>
    <mergeCell ref="B168:B169"/>
    <mergeCell ref="C168:C169"/>
    <mergeCell ref="D168:D169"/>
    <mergeCell ref="E168:E169"/>
    <mergeCell ref="F168:F169"/>
    <mergeCell ref="G168:G169"/>
    <mergeCell ref="N164:N165"/>
    <mergeCell ref="B166:B167"/>
    <mergeCell ref="C166:C167"/>
    <mergeCell ref="D166:D167"/>
    <mergeCell ref="E166:E167"/>
    <mergeCell ref="F166:F167"/>
    <mergeCell ref="G166:G167"/>
    <mergeCell ref="H166:H167"/>
    <mergeCell ref="I166:I167"/>
    <mergeCell ref="J166:J167"/>
    <mergeCell ref="H164:H165"/>
    <mergeCell ref="I164:I165"/>
    <mergeCell ref="J164:J165"/>
    <mergeCell ref="K164:K165"/>
    <mergeCell ref="L164:L165"/>
    <mergeCell ref="M164:M165"/>
    <mergeCell ref="K162:K163"/>
    <mergeCell ref="L162:L163"/>
    <mergeCell ref="M162:M163"/>
    <mergeCell ref="N162:N163"/>
    <mergeCell ref="B164:B165"/>
    <mergeCell ref="C164:C165"/>
    <mergeCell ref="D164:D165"/>
    <mergeCell ref="E164:E165"/>
    <mergeCell ref="F164:F165"/>
    <mergeCell ref="G164:G165"/>
    <mergeCell ref="N160:N161"/>
    <mergeCell ref="B162:B163"/>
    <mergeCell ref="C162:C163"/>
    <mergeCell ref="D162:D163"/>
    <mergeCell ref="E162:E163"/>
    <mergeCell ref="F162:F163"/>
    <mergeCell ref="G162:G163"/>
    <mergeCell ref="H162:H163"/>
    <mergeCell ref="I162:I163"/>
    <mergeCell ref="J162:J163"/>
    <mergeCell ref="H160:H161"/>
    <mergeCell ref="I160:I161"/>
    <mergeCell ref="J160:J161"/>
    <mergeCell ref="K160:K161"/>
    <mergeCell ref="L160:L161"/>
    <mergeCell ref="M160:M161"/>
    <mergeCell ref="K158:K159"/>
    <mergeCell ref="L158:L159"/>
    <mergeCell ref="M158:M159"/>
    <mergeCell ref="N158:N159"/>
    <mergeCell ref="B160:B161"/>
    <mergeCell ref="C160:C161"/>
    <mergeCell ref="D160:D161"/>
    <mergeCell ref="E160:E161"/>
    <mergeCell ref="F160:F161"/>
    <mergeCell ref="G160:G161"/>
    <mergeCell ref="N156:N157"/>
    <mergeCell ref="B158:B159"/>
    <mergeCell ref="C158:C159"/>
    <mergeCell ref="D158:D159"/>
    <mergeCell ref="E158:E159"/>
    <mergeCell ref="F158:F159"/>
    <mergeCell ref="G158:G159"/>
    <mergeCell ref="H158:H159"/>
    <mergeCell ref="I158:I159"/>
    <mergeCell ref="J158:J159"/>
    <mergeCell ref="H156:H157"/>
    <mergeCell ref="I156:I157"/>
    <mergeCell ref="J156:J157"/>
    <mergeCell ref="K156:K157"/>
    <mergeCell ref="L156:L157"/>
    <mergeCell ref="M156:M157"/>
    <mergeCell ref="K154:K155"/>
    <mergeCell ref="L154:L155"/>
    <mergeCell ref="M154:M155"/>
    <mergeCell ref="N154:N155"/>
    <mergeCell ref="B156:B157"/>
    <mergeCell ref="C156:C157"/>
    <mergeCell ref="D156:D157"/>
    <mergeCell ref="E156:E157"/>
    <mergeCell ref="F156:F157"/>
    <mergeCell ref="G156:G157"/>
    <mergeCell ref="N152:N153"/>
    <mergeCell ref="B154:B155"/>
    <mergeCell ref="C154:C155"/>
    <mergeCell ref="D154:D155"/>
    <mergeCell ref="E154:E155"/>
    <mergeCell ref="F154:F155"/>
    <mergeCell ref="G154:G155"/>
    <mergeCell ref="H154:H155"/>
    <mergeCell ref="I154:I155"/>
    <mergeCell ref="J154:J155"/>
    <mergeCell ref="H152:H153"/>
    <mergeCell ref="I152:I153"/>
    <mergeCell ref="J152:J153"/>
    <mergeCell ref="K152:K153"/>
    <mergeCell ref="L152:L153"/>
    <mergeCell ref="M152:M153"/>
    <mergeCell ref="K150:K151"/>
    <mergeCell ref="L150:L151"/>
    <mergeCell ref="M150:M151"/>
    <mergeCell ref="N150:N151"/>
    <mergeCell ref="B152:B153"/>
    <mergeCell ref="C152:C153"/>
    <mergeCell ref="D152:D153"/>
    <mergeCell ref="E152:E153"/>
    <mergeCell ref="F152:F153"/>
    <mergeCell ref="G152:G153"/>
    <mergeCell ref="N148:N149"/>
    <mergeCell ref="B150:B151"/>
    <mergeCell ref="C150:C151"/>
    <mergeCell ref="D150:D151"/>
    <mergeCell ref="E150:E151"/>
    <mergeCell ref="F150:F151"/>
    <mergeCell ref="G150:G151"/>
    <mergeCell ref="H150:H151"/>
    <mergeCell ref="I150:I151"/>
    <mergeCell ref="J150:J151"/>
    <mergeCell ref="H148:H149"/>
    <mergeCell ref="I148:I149"/>
    <mergeCell ref="J148:J149"/>
    <mergeCell ref="K148:K149"/>
    <mergeCell ref="L148:L149"/>
    <mergeCell ref="M148:M149"/>
    <mergeCell ref="J145:L145"/>
    <mergeCell ref="J146:J147"/>
    <mergeCell ref="K146:K147"/>
    <mergeCell ref="L146:L147"/>
    <mergeCell ref="B148:B149"/>
    <mergeCell ref="C148:C149"/>
    <mergeCell ref="D148:D149"/>
    <mergeCell ref="E148:E149"/>
    <mergeCell ref="F148:F149"/>
    <mergeCell ref="G148:G149"/>
    <mergeCell ref="C143:D143"/>
    <mergeCell ref="E143:F143"/>
    <mergeCell ref="I143:J143"/>
    <mergeCell ref="D144:F144"/>
    <mergeCell ref="H144:J144"/>
    <mergeCell ref="B145:B147"/>
    <mergeCell ref="C145:C147"/>
    <mergeCell ref="F145:F146"/>
    <mergeCell ref="G145:G146"/>
    <mergeCell ref="H145:H146"/>
    <mergeCell ref="J133:J134"/>
    <mergeCell ref="J131:J132"/>
    <mergeCell ref="K131:K132"/>
    <mergeCell ref="L131:L132"/>
    <mergeCell ref="F133:F134"/>
    <mergeCell ref="G133:G134"/>
    <mergeCell ref="H133:H134"/>
    <mergeCell ref="I133:I134"/>
    <mergeCell ref="N129:N130"/>
    <mergeCell ref="B131:B132"/>
    <mergeCell ref="C131:C132"/>
    <mergeCell ref="D131:D132"/>
    <mergeCell ref="E131:E132"/>
    <mergeCell ref="M131:M132"/>
    <mergeCell ref="F131:F132"/>
    <mergeCell ref="G131:G132"/>
    <mergeCell ref="H131:H132"/>
    <mergeCell ref="I131:I132"/>
    <mergeCell ref="H129:H130"/>
    <mergeCell ref="I129:I130"/>
    <mergeCell ref="J129:J130"/>
    <mergeCell ref="K129:K130"/>
    <mergeCell ref="L129:L130"/>
    <mergeCell ref="M129:M130"/>
    <mergeCell ref="K127:K128"/>
    <mergeCell ref="L127:L128"/>
    <mergeCell ref="M127:M128"/>
    <mergeCell ref="N127:N128"/>
    <mergeCell ref="B129:B130"/>
    <mergeCell ref="C129:C130"/>
    <mergeCell ref="D129:D130"/>
    <mergeCell ref="E129:E130"/>
    <mergeCell ref="F129:F130"/>
    <mergeCell ref="G129:G130"/>
    <mergeCell ref="N125:N126"/>
    <mergeCell ref="B127:B128"/>
    <mergeCell ref="C127:C128"/>
    <mergeCell ref="D127:D128"/>
    <mergeCell ref="E127:E128"/>
    <mergeCell ref="F127:F128"/>
    <mergeCell ref="G127:G128"/>
    <mergeCell ref="H127:H128"/>
    <mergeCell ref="I127:I128"/>
    <mergeCell ref="J127:J128"/>
    <mergeCell ref="H125:H126"/>
    <mergeCell ref="I125:I126"/>
    <mergeCell ref="J125:J126"/>
    <mergeCell ref="K125:K126"/>
    <mergeCell ref="L125:L126"/>
    <mergeCell ref="M125:M126"/>
    <mergeCell ref="K123:K124"/>
    <mergeCell ref="L123:L124"/>
    <mergeCell ref="M123:M124"/>
    <mergeCell ref="N123:N124"/>
    <mergeCell ref="B125:B126"/>
    <mergeCell ref="C125:C126"/>
    <mergeCell ref="D125:D126"/>
    <mergeCell ref="E125:E126"/>
    <mergeCell ref="F125:F126"/>
    <mergeCell ref="G125:G126"/>
    <mergeCell ref="N121:N122"/>
    <mergeCell ref="B123:B124"/>
    <mergeCell ref="C123:C124"/>
    <mergeCell ref="D123:D124"/>
    <mergeCell ref="E123:E124"/>
    <mergeCell ref="F123:F124"/>
    <mergeCell ref="G123:G124"/>
    <mergeCell ref="H123:H124"/>
    <mergeCell ref="I123:I124"/>
    <mergeCell ref="J123:J124"/>
    <mergeCell ref="H121:H122"/>
    <mergeCell ref="I121:I122"/>
    <mergeCell ref="J121:J122"/>
    <mergeCell ref="K121:K122"/>
    <mergeCell ref="L121:L122"/>
    <mergeCell ref="M121:M122"/>
    <mergeCell ref="K119:K120"/>
    <mergeCell ref="L119:L120"/>
    <mergeCell ref="M119:M120"/>
    <mergeCell ref="N119:N120"/>
    <mergeCell ref="B121:B122"/>
    <mergeCell ref="C121:C122"/>
    <mergeCell ref="D121:D122"/>
    <mergeCell ref="E121:E122"/>
    <mergeCell ref="F121:F122"/>
    <mergeCell ref="G121:G122"/>
    <mergeCell ref="N117:N118"/>
    <mergeCell ref="B119:B120"/>
    <mergeCell ref="C119:C120"/>
    <mergeCell ref="D119:D120"/>
    <mergeCell ref="E119:E120"/>
    <mergeCell ref="F119:F120"/>
    <mergeCell ref="G119:G120"/>
    <mergeCell ref="H119:H120"/>
    <mergeCell ref="I119:I120"/>
    <mergeCell ref="J119:J120"/>
    <mergeCell ref="H117:H118"/>
    <mergeCell ref="I117:I118"/>
    <mergeCell ref="J117:J118"/>
    <mergeCell ref="K117:K118"/>
    <mergeCell ref="L117:L118"/>
    <mergeCell ref="M117:M118"/>
    <mergeCell ref="K115:K116"/>
    <mergeCell ref="L115:L116"/>
    <mergeCell ref="M115:M116"/>
    <mergeCell ref="N115:N116"/>
    <mergeCell ref="B117:B118"/>
    <mergeCell ref="C117:C118"/>
    <mergeCell ref="D117:D118"/>
    <mergeCell ref="E117:E118"/>
    <mergeCell ref="F117:F118"/>
    <mergeCell ref="G117:G118"/>
    <mergeCell ref="N113:N114"/>
    <mergeCell ref="B115:B116"/>
    <mergeCell ref="C115:C116"/>
    <mergeCell ref="D115:D116"/>
    <mergeCell ref="E115:E116"/>
    <mergeCell ref="F115:F116"/>
    <mergeCell ref="G115:G116"/>
    <mergeCell ref="H115:H116"/>
    <mergeCell ref="I115:I116"/>
    <mergeCell ref="J115:J116"/>
    <mergeCell ref="H113:H114"/>
    <mergeCell ref="I113:I114"/>
    <mergeCell ref="J113:J114"/>
    <mergeCell ref="K113:K114"/>
    <mergeCell ref="L113:L114"/>
    <mergeCell ref="M113:M114"/>
    <mergeCell ref="K111:K112"/>
    <mergeCell ref="L111:L112"/>
    <mergeCell ref="M111:M112"/>
    <mergeCell ref="N111:N112"/>
    <mergeCell ref="B113:B114"/>
    <mergeCell ref="C113:C114"/>
    <mergeCell ref="D113:D114"/>
    <mergeCell ref="E113:E114"/>
    <mergeCell ref="F113:F114"/>
    <mergeCell ref="G113:G114"/>
    <mergeCell ref="N109:N110"/>
    <mergeCell ref="B111:B112"/>
    <mergeCell ref="C111:C112"/>
    <mergeCell ref="D111:D112"/>
    <mergeCell ref="E111:E112"/>
    <mergeCell ref="F111:F112"/>
    <mergeCell ref="G111:G112"/>
    <mergeCell ref="H111:H112"/>
    <mergeCell ref="I111:I112"/>
    <mergeCell ref="J111:J112"/>
    <mergeCell ref="H109:H110"/>
    <mergeCell ref="I109:I110"/>
    <mergeCell ref="J109:J110"/>
    <mergeCell ref="K109:K110"/>
    <mergeCell ref="L109:L110"/>
    <mergeCell ref="M109:M110"/>
    <mergeCell ref="K107:K108"/>
    <mergeCell ref="L107:L108"/>
    <mergeCell ref="M107:M108"/>
    <mergeCell ref="N107:N108"/>
    <mergeCell ref="B109:B110"/>
    <mergeCell ref="C109:C110"/>
    <mergeCell ref="D109:D110"/>
    <mergeCell ref="E109:E110"/>
    <mergeCell ref="F109:F110"/>
    <mergeCell ref="G109:G110"/>
    <mergeCell ref="N105:N106"/>
    <mergeCell ref="B107:B108"/>
    <mergeCell ref="C107:C108"/>
    <mergeCell ref="D107:D108"/>
    <mergeCell ref="E107:E108"/>
    <mergeCell ref="F107:F108"/>
    <mergeCell ref="G107:G108"/>
    <mergeCell ref="H107:H108"/>
    <mergeCell ref="I107:I108"/>
    <mergeCell ref="J107:J108"/>
    <mergeCell ref="H105:H106"/>
    <mergeCell ref="I105:I106"/>
    <mergeCell ref="J105:J106"/>
    <mergeCell ref="K105:K106"/>
    <mergeCell ref="L105:L106"/>
    <mergeCell ref="M105:M106"/>
    <mergeCell ref="B105:B106"/>
    <mergeCell ref="C105:C106"/>
    <mergeCell ref="D105:D106"/>
    <mergeCell ref="E105:E106"/>
    <mergeCell ref="F105:F106"/>
    <mergeCell ref="G105:G106"/>
    <mergeCell ref="I103:I104"/>
    <mergeCell ref="J103:J104"/>
    <mergeCell ref="K103:K104"/>
    <mergeCell ref="L103:L104"/>
    <mergeCell ref="M103:M104"/>
    <mergeCell ref="N103:N104"/>
    <mergeCell ref="J101:J102"/>
    <mergeCell ref="K101:K102"/>
    <mergeCell ref="L101:L102"/>
    <mergeCell ref="B103:B104"/>
    <mergeCell ref="C103:C104"/>
    <mergeCell ref="D103:D104"/>
    <mergeCell ref="E103:E104"/>
    <mergeCell ref="F103:F104"/>
    <mergeCell ref="G103:G104"/>
    <mergeCell ref="H103:H104"/>
    <mergeCell ref="F88:F89"/>
    <mergeCell ref="G88:G89"/>
    <mergeCell ref="D99:F99"/>
    <mergeCell ref="H99:J99"/>
    <mergeCell ref="B100:B102"/>
    <mergeCell ref="C100:C102"/>
    <mergeCell ref="F100:F101"/>
    <mergeCell ref="G100:G101"/>
    <mergeCell ref="H100:H101"/>
    <mergeCell ref="J100:L100"/>
    <mergeCell ref="B88:B89"/>
    <mergeCell ref="C88:C89"/>
    <mergeCell ref="D88:D89"/>
    <mergeCell ref="E88:E89"/>
    <mergeCell ref="N88:N89"/>
    <mergeCell ref="C98:D98"/>
    <mergeCell ref="E98:F98"/>
    <mergeCell ref="I98:J98"/>
    <mergeCell ref="J88:J89"/>
    <mergeCell ref="K88:K89"/>
    <mergeCell ref="K86:K87"/>
    <mergeCell ref="L86:L87"/>
    <mergeCell ref="M86:M87"/>
    <mergeCell ref="N86:N87"/>
    <mergeCell ref="H88:H89"/>
    <mergeCell ref="I88:I89"/>
    <mergeCell ref="L88:L89"/>
    <mergeCell ref="M88:M89"/>
    <mergeCell ref="N84:N85"/>
    <mergeCell ref="B86:B87"/>
    <mergeCell ref="C86:C87"/>
    <mergeCell ref="D86:D87"/>
    <mergeCell ref="E86:E87"/>
    <mergeCell ref="F86:F87"/>
    <mergeCell ref="G86:G87"/>
    <mergeCell ref="H86:H87"/>
    <mergeCell ref="I86:I87"/>
    <mergeCell ref="J86:J87"/>
    <mergeCell ref="H84:H85"/>
    <mergeCell ref="I84:I85"/>
    <mergeCell ref="J84:J85"/>
    <mergeCell ref="K84:K85"/>
    <mergeCell ref="L84:L85"/>
    <mergeCell ref="M84:M85"/>
    <mergeCell ref="K82:K83"/>
    <mergeCell ref="L82:L83"/>
    <mergeCell ref="M82:M83"/>
    <mergeCell ref="N82:N83"/>
    <mergeCell ref="B84:B85"/>
    <mergeCell ref="C84:C85"/>
    <mergeCell ref="D84:D85"/>
    <mergeCell ref="E84:E85"/>
    <mergeCell ref="F84:F85"/>
    <mergeCell ref="G84:G85"/>
    <mergeCell ref="N80:N81"/>
    <mergeCell ref="B82:B83"/>
    <mergeCell ref="C82:C83"/>
    <mergeCell ref="D82:D83"/>
    <mergeCell ref="E82:E83"/>
    <mergeCell ref="F82:F83"/>
    <mergeCell ref="G82:G83"/>
    <mergeCell ref="H82:H83"/>
    <mergeCell ref="I82:I83"/>
    <mergeCell ref="J82:J83"/>
    <mergeCell ref="H80:H81"/>
    <mergeCell ref="I80:I81"/>
    <mergeCell ref="J80:J81"/>
    <mergeCell ref="K80:K81"/>
    <mergeCell ref="L80:L81"/>
    <mergeCell ref="M80:M81"/>
    <mergeCell ref="K78:K79"/>
    <mergeCell ref="L78:L79"/>
    <mergeCell ref="M78:M79"/>
    <mergeCell ref="N78:N79"/>
    <mergeCell ref="B80:B81"/>
    <mergeCell ref="C80:C81"/>
    <mergeCell ref="D80:D81"/>
    <mergeCell ref="E80:E81"/>
    <mergeCell ref="F80:F81"/>
    <mergeCell ref="G80:G81"/>
    <mergeCell ref="N76:N77"/>
    <mergeCell ref="B78:B79"/>
    <mergeCell ref="C78:C79"/>
    <mergeCell ref="D78:D79"/>
    <mergeCell ref="E78:E79"/>
    <mergeCell ref="F78:F79"/>
    <mergeCell ref="G78:G79"/>
    <mergeCell ref="H78:H79"/>
    <mergeCell ref="I78:I79"/>
    <mergeCell ref="J78:J79"/>
    <mergeCell ref="H76:H77"/>
    <mergeCell ref="I76:I77"/>
    <mergeCell ref="J76:J77"/>
    <mergeCell ref="K76:K77"/>
    <mergeCell ref="L76:L77"/>
    <mergeCell ref="M76:M77"/>
    <mergeCell ref="K74:K75"/>
    <mergeCell ref="L74:L75"/>
    <mergeCell ref="M74:M75"/>
    <mergeCell ref="N74:N75"/>
    <mergeCell ref="B76:B77"/>
    <mergeCell ref="C76:C77"/>
    <mergeCell ref="D76:D77"/>
    <mergeCell ref="E76:E77"/>
    <mergeCell ref="F76:F77"/>
    <mergeCell ref="G76:G77"/>
    <mergeCell ref="N72:N73"/>
    <mergeCell ref="B74:B75"/>
    <mergeCell ref="C74:C75"/>
    <mergeCell ref="D74:D75"/>
    <mergeCell ref="E74:E75"/>
    <mergeCell ref="F74:F75"/>
    <mergeCell ref="G74:G75"/>
    <mergeCell ref="H74:H75"/>
    <mergeCell ref="I74:I75"/>
    <mergeCell ref="J74:J75"/>
    <mergeCell ref="H72:H73"/>
    <mergeCell ref="I72:I73"/>
    <mergeCell ref="J72:J73"/>
    <mergeCell ref="K72:K73"/>
    <mergeCell ref="L72:L73"/>
    <mergeCell ref="M72:M73"/>
    <mergeCell ref="K70:K71"/>
    <mergeCell ref="L70:L71"/>
    <mergeCell ref="M70:M71"/>
    <mergeCell ref="N70:N71"/>
    <mergeCell ref="B72:B73"/>
    <mergeCell ref="C72:C73"/>
    <mergeCell ref="D72:D73"/>
    <mergeCell ref="E72:E73"/>
    <mergeCell ref="F72:F73"/>
    <mergeCell ref="G72:G73"/>
    <mergeCell ref="N68:N69"/>
    <mergeCell ref="B70:B71"/>
    <mergeCell ref="C70:C71"/>
    <mergeCell ref="D70:D71"/>
    <mergeCell ref="E70:E71"/>
    <mergeCell ref="F70:F71"/>
    <mergeCell ref="G70:G71"/>
    <mergeCell ref="H70:H71"/>
    <mergeCell ref="I70:I71"/>
    <mergeCell ref="J70:J71"/>
    <mergeCell ref="H68:H69"/>
    <mergeCell ref="I68:I69"/>
    <mergeCell ref="J68:J69"/>
    <mergeCell ref="K68:K69"/>
    <mergeCell ref="L68:L69"/>
    <mergeCell ref="M68:M69"/>
    <mergeCell ref="K66:K67"/>
    <mergeCell ref="L66:L67"/>
    <mergeCell ref="M66:M67"/>
    <mergeCell ref="N66:N67"/>
    <mergeCell ref="B68:B69"/>
    <mergeCell ref="C68:C69"/>
    <mergeCell ref="D68:D69"/>
    <mergeCell ref="E68:E69"/>
    <mergeCell ref="F68:F69"/>
    <mergeCell ref="G68:G69"/>
    <mergeCell ref="N64:N65"/>
    <mergeCell ref="B66:B67"/>
    <mergeCell ref="C66:C67"/>
    <mergeCell ref="D66:D67"/>
    <mergeCell ref="E66:E67"/>
    <mergeCell ref="F66:F67"/>
    <mergeCell ref="G66:G67"/>
    <mergeCell ref="H66:H67"/>
    <mergeCell ref="I66:I67"/>
    <mergeCell ref="J66:J67"/>
    <mergeCell ref="H64:H65"/>
    <mergeCell ref="I64:I65"/>
    <mergeCell ref="J64:J65"/>
    <mergeCell ref="K64:K65"/>
    <mergeCell ref="L64:L65"/>
    <mergeCell ref="M64:M65"/>
    <mergeCell ref="K62:K63"/>
    <mergeCell ref="L62:L63"/>
    <mergeCell ref="M62:M63"/>
    <mergeCell ref="N62:N63"/>
    <mergeCell ref="B64:B65"/>
    <mergeCell ref="C64:C65"/>
    <mergeCell ref="D64:D65"/>
    <mergeCell ref="E64:E65"/>
    <mergeCell ref="F64:F65"/>
    <mergeCell ref="G64:G65"/>
    <mergeCell ref="N60:N61"/>
    <mergeCell ref="B62:B63"/>
    <mergeCell ref="C62:C63"/>
    <mergeCell ref="D62:D63"/>
    <mergeCell ref="E62:E63"/>
    <mergeCell ref="F62:F63"/>
    <mergeCell ref="G62:G63"/>
    <mergeCell ref="H62:H63"/>
    <mergeCell ref="I62:I63"/>
    <mergeCell ref="J62:J63"/>
    <mergeCell ref="H60:H61"/>
    <mergeCell ref="I60:I61"/>
    <mergeCell ref="J60:J61"/>
    <mergeCell ref="K60:K61"/>
    <mergeCell ref="L60:L61"/>
    <mergeCell ref="M60:M61"/>
    <mergeCell ref="K58:K59"/>
    <mergeCell ref="L58:L59"/>
    <mergeCell ref="M58:M59"/>
    <mergeCell ref="N58:N59"/>
    <mergeCell ref="B60:B61"/>
    <mergeCell ref="C60:C61"/>
    <mergeCell ref="D60:D61"/>
    <mergeCell ref="E60:E61"/>
    <mergeCell ref="F60:F61"/>
    <mergeCell ref="G60:G61"/>
    <mergeCell ref="L56:L57"/>
    <mergeCell ref="B58:B59"/>
    <mergeCell ref="C58:C59"/>
    <mergeCell ref="D58:D59"/>
    <mergeCell ref="E58:E59"/>
    <mergeCell ref="F58:F59"/>
    <mergeCell ref="G58:G59"/>
    <mergeCell ref="H58:H59"/>
    <mergeCell ref="I58:I59"/>
    <mergeCell ref="J58:J59"/>
    <mergeCell ref="D54:F54"/>
    <mergeCell ref="H54:J54"/>
    <mergeCell ref="B55:B57"/>
    <mergeCell ref="C55:C57"/>
    <mergeCell ref="F55:F56"/>
    <mergeCell ref="G55:G56"/>
    <mergeCell ref="H55:H56"/>
    <mergeCell ref="J55:L55"/>
    <mergeCell ref="J56:J57"/>
    <mergeCell ref="K56:K57"/>
    <mergeCell ref="C53:D53"/>
    <mergeCell ref="E53:F53"/>
    <mergeCell ref="I53:J53"/>
    <mergeCell ref="J41:J42"/>
    <mergeCell ref="K41:K42"/>
    <mergeCell ref="L41:L42"/>
    <mergeCell ref="J43:J44"/>
    <mergeCell ref="K43:K44"/>
    <mergeCell ref="L43:L44"/>
    <mergeCell ref="H41:H42"/>
    <mergeCell ref="C43:C44"/>
    <mergeCell ref="N29:N30"/>
    <mergeCell ref="M31:M32"/>
    <mergeCell ref="N31:N32"/>
    <mergeCell ref="N35:N36"/>
    <mergeCell ref="M37:M38"/>
    <mergeCell ref="J39:J40"/>
    <mergeCell ref="N15:N16"/>
    <mergeCell ref="M17:M18"/>
    <mergeCell ref="N17:N18"/>
    <mergeCell ref="M19:M20"/>
    <mergeCell ref="N19:N20"/>
    <mergeCell ref="N21:N22"/>
    <mergeCell ref="M23:M24"/>
    <mergeCell ref="N23:N24"/>
    <mergeCell ref="M25:M26"/>
    <mergeCell ref="K39:K40"/>
    <mergeCell ref="L39:L40"/>
    <mergeCell ref="K21:K22"/>
    <mergeCell ref="L21:L22"/>
    <mergeCell ref="J27:J28"/>
    <mergeCell ref="K27:K28"/>
    <mergeCell ref="L27:L28"/>
    <mergeCell ref="M27:M28"/>
    <mergeCell ref="M33:M34"/>
    <mergeCell ref="M39:M40"/>
    <mergeCell ref="K29:K30"/>
    <mergeCell ref="L29:L30"/>
    <mergeCell ref="J35:J36"/>
    <mergeCell ref="K35:K36"/>
    <mergeCell ref="L35:L36"/>
    <mergeCell ref="J37:J38"/>
    <mergeCell ref="K37:K38"/>
    <mergeCell ref="L37:L38"/>
    <mergeCell ref="K33:K34"/>
    <mergeCell ref="L33:L34"/>
    <mergeCell ref="J23:J24"/>
    <mergeCell ref="K23:K24"/>
    <mergeCell ref="L23:L24"/>
    <mergeCell ref="K25:K26"/>
    <mergeCell ref="L25:L26"/>
    <mergeCell ref="J25:J26"/>
    <mergeCell ref="J29:J30"/>
    <mergeCell ref="J31:J32"/>
    <mergeCell ref="K31:K32"/>
    <mergeCell ref="L31:L32"/>
    <mergeCell ref="J33:J34"/>
    <mergeCell ref="M29:M30"/>
    <mergeCell ref="I33:I34"/>
    <mergeCell ref="I35:I36"/>
    <mergeCell ref="I37:I38"/>
    <mergeCell ref="I39:I40"/>
    <mergeCell ref="I41:I42"/>
    <mergeCell ref="I43:I44"/>
    <mergeCell ref="H43:H44"/>
    <mergeCell ref="I17:I18"/>
    <mergeCell ref="I19:I20"/>
    <mergeCell ref="I21:I22"/>
    <mergeCell ref="I23:I24"/>
    <mergeCell ref="I25:I26"/>
    <mergeCell ref="I27:I28"/>
    <mergeCell ref="I29:I30"/>
    <mergeCell ref="I31:I32"/>
    <mergeCell ref="H29:H30"/>
    <mergeCell ref="H31:H32"/>
    <mergeCell ref="H33:H34"/>
    <mergeCell ref="H35:H36"/>
    <mergeCell ref="H37:H38"/>
    <mergeCell ref="H39:H40"/>
    <mergeCell ref="G39:G40"/>
    <mergeCell ref="F41:F42"/>
    <mergeCell ref="G41:G42"/>
    <mergeCell ref="F33:F34"/>
    <mergeCell ref="F39:F40"/>
    <mergeCell ref="F23:F24"/>
    <mergeCell ref="F43:F44"/>
    <mergeCell ref="G43:G44"/>
    <mergeCell ref="H15:H16"/>
    <mergeCell ref="H21:H22"/>
    <mergeCell ref="H23:H24"/>
    <mergeCell ref="H25:H26"/>
    <mergeCell ref="H27:H28"/>
    <mergeCell ref="F17:F18"/>
    <mergeCell ref="F21:F22"/>
    <mergeCell ref="F27:F28"/>
    <mergeCell ref="F25:F26"/>
    <mergeCell ref="F31:F32"/>
    <mergeCell ref="F35:F36"/>
    <mergeCell ref="F37:F38"/>
    <mergeCell ref="G23:G24"/>
    <mergeCell ref="G25:G26"/>
    <mergeCell ref="G27:G28"/>
    <mergeCell ref="E43:E44"/>
    <mergeCell ref="G31:G32"/>
    <mergeCell ref="G33:G34"/>
    <mergeCell ref="G35:G36"/>
    <mergeCell ref="G37:G38"/>
    <mergeCell ref="E31:E32"/>
    <mergeCell ref="E33:E34"/>
    <mergeCell ref="E35:E36"/>
    <mergeCell ref="E37:E38"/>
    <mergeCell ref="E39:E40"/>
    <mergeCell ref="E41:E42"/>
    <mergeCell ref="D43:D44"/>
    <mergeCell ref="E13:E14"/>
    <mergeCell ref="E15:E16"/>
    <mergeCell ref="E17:E18"/>
    <mergeCell ref="E19:E20"/>
    <mergeCell ref="E21:E22"/>
    <mergeCell ref="E23:E24"/>
    <mergeCell ref="E25:E26"/>
    <mergeCell ref="E27:E28"/>
    <mergeCell ref="E29:E30"/>
    <mergeCell ref="D31:D32"/>
    <mergeCell ref="D33:D34"/>
    <mergeCell ref="D35:D36"/>
    <mergeCell ref="D37:D38"/>
    <mergeCell ref="D39:D40"/>
    <mergeCell ref="D29:D30"/>
    <mergeCell ref="D41:D42"/>
    <mergeCell ref="D13:D14"/>
    <mergeCell ref="D15:D16"/>
    <mergeCell ref="G15:G16"/>
    <mergeCell ref="G17:G18"/>
    <mergeCell ref="C31:C32"/>
    <mergeCell ref="C33:C34"/>
    <mergeCell ref="C35:C36"/>
    <mergeCell ref="C37:C38"/>
    <mergeCell ref="C39:C40"/>
    <mergeCell ref="C41:C42"/>
    <mergeCell ref="B43:B44"/>
    <mergeCell ref="C13:C14"/>
    <mergeCell ref="C15:C16"/>
    <mergeCell ref="C17:C18"/>
    <mergeCell ref="C19:C20"/>
    <mergeCell ref="C21:C22"/>
    <mergeCell ref="C23:C24"/>
    <mergeCell ref="C25:C26"/>
    <mergeCell ref="C27:C28"/>
    <mergeCell ref="C29:C30"/>
    <mergeCell ref="B31:B32"/>
    <mergeCell ref="B33:B34"/>
    <mergeCell ref="B35:B36"/>
    <mergeCell ref="B37:B38"/>
    <mergeCell ref="B39:B40"/>
    <mergeCell ref="B41:B42"/>
    <mergeCell ref="B19:B20"/>
    <mergeCell ref="B21:B22"/>
    <mergeCell ref="B23:B24"/>
    <mergeCell ref="B25:B26"/>
    <mergeCell ref="B27:B28"/>
    <mergeCell ref="B29:B30"/>
    <mergeCell ref="B15:B16"/>
    <mergeCell ref="B17:B18"/>
    <mergeCell ref="I15:I16"/>
    <mergeCell ref="K13:K14"/>
    <mergeCell ref="L13:L14"/>
    <mergeCell ref="K15:K16"/>
    <mergeCell ref="L15:L16"/>
    <mergeCell ref="K17:K18"/>
    <mergeCell ref="F13:F14"/>
    <mergeCell ref="F15:F16"/>
    <mergeCell ref="B13:B14"/>
    <mergeCell ref="G13:G14"/>
    <mergeCell ref="H13:H14"/>
    <mergeCell ref="I13:I14"/>
    <mergeCell ref="N13:N14"/>
    <mergeCell ref="D17:D18"/>
    <mergeCell ref="D19:D20"/>
    <mergeCell ref="D21:D22"/>
    <mergeCell ref="D23:D24"/>
    <mergeCell ref="D25:D26"/>
    <mergeCell ref="D27:D28"/>
    <mergeCell ref="F29:F30"/>
    <mergeCell ref="G29:G30"/>
    <mergeCell ref="H17:H18"/>
    <mergeCell ref="H19:H20"/>
    <mergeCell ref="J13:J14"/>
    <mergeCell ref="J15:J16"/>
    <mergeCell ref="J17:J18"/>
    <mergeCell ref="M13:M14"/>
    <mergeCell ref="M15:M16"/>
    <mergeCell ref="O13:O14"/>
    <mergeCell ref="B10:B12"/>
    <mergeCell ref="C10:C12"/>
    <mergeCell ref="F10:F11"/>
    <mergeCell ref="G10:G11"/>
    <mergeCell ref="H10:H11"/>
    <mergeCell ref="J10:L10"/>
    <mergeCell ref="J11:J12"/>
    <mergeCell ref="K11:K12"/>
    <mergeCell ref="L11:L12"/>
    <mergeCell ref="O15:O16"/>
    <mergeCell ref="O17:O18"/>
    <mergeCell ref="O19:O20"/>
    <mergeCell ref="O21:O22"/>
    <mergeCell ref="C8:D8"/>
    <mergeCell ref="E8:F8"/>
    <mergeCell ref="I8:J8"/>
    <mergeCell ref="G19:G20"/>
    <mergeCell ref="F19:F20"/>
    <mergeCell ref="G21:G22"/>
    <mergeCell ref="D9:F9"/>
    <mergeCell ref="H9:J9"/>
    <mergeCell ref="M21:M22"/>
    <mergeCell ref="J21:J22"/>
    <mergeCell ref="L17:L18"/>
    <mergeCell ref="J19:J20"/>
    <mergeCell ref="K19:K20"/>
    <mergeCell ref="L19:L20"/>
    <mergeCell ref="O31:O32"/>
    <mergeCell ref="O33:O34"/>
    <mergeCell ref="O35:O36"/>
    <mergeCell ref="O37:O38"/>
    <mergeCell ref="O23:O24"/>
    <mergeCell ref="O25:O26"/>
    <mergeCell ref="O27:O28"/>
    <mergeCell ref="O29:O30"/>
    <mergeCell ref="O62:O63"/>
    <mergeCell ref="O64:O65"/>
    <mergeCell ref="O66:O67"/>
    <mergeCell ref="O68:O69"/>
    <mergeCell ref="O39:O40"/>
    <mergeCell ref="O41:O42"/>
    <mergeCell ref="O58:O59"/>
    <mergeCell ref="O60:O61"/>
    <mergeCell ref="O78:O79"/>
    <mergeCell ref="O80:O81"/>
    <mergeCell ref="O82:O83"/>
    <mergeCell ref="O84:O85"/>
    <mergeCell ref="O70:O71"/>
    <mergeCell ref="O72:O73"/>
    <mergeCell ref="O74:O75"/>
    <mergeCell ref="O76:O77"/>
    <mergeCell ref="O109:O110"/>
    <mergeCell ref="O111:O112"/>
    <mergeCell ref="O113:O114"/>
    <mergeCell ref="O115:O116"/>
    <mergeCell ref="O86:O87"/>
    <mergeCell ref="O103:O104"/>
    <mergeCell ref="O105:O106"/>
    <mergeCell ref="O107:O108"/>
    <mergeCell ref="O148:O149"/>
    <mergeCell ref="O150:O151"/>
    <mergeCell ref="O152:O153"/>
    <mergeCell ref="O154:O155"/>
    <mergeCell ref="O117:O118"/>
    <mergeCell ref="O119:O120"/>
    <mergeCell ref="O121:O122"/>
    <mergeCell ref="O123:O124"/>
    <mergeCell ref="P190:T192"/>
    <mergeCell ref="O164:O165"/>
    <mergeCell ref="O166:O167"/>
    <mergeCell ref="O168:O169"/>
    <mergeCell ref="O170:O171"/>
    <mergeCell ref="O156:O157"/>
    <mergeCell ref="O158:O159"/>
    <mergeCell ref="O160:O161"/>
    <mergeCell ref="O162:O163"/>
    <mergeCell ref="O197:O198"/>
    <mergeCell ref="O199:O200"/>
    <mergeCell ref="O203:O204"/>
    <mergeCell ref="O205:O206"/>
    <mergeCell ref="O207:O208"/>
    <mergeCell ref="O209:O210"/>
    <mergeCell ref="O195:O196"/>
    <mergeCell ref="O201:O202"/>
    <mergeCell ref="O172:O173"/>
    <mergeCell ref="O174:O175"/>
    <mergeCell ref="O176:O177"/>
    <mergeCell ref="O193:O194"/>
    <mergeCell ref="B182:T182"/>
    <mergeCell ref="B183:T183"/>
    <mergeCell ref="S189:T189"/>
    <mergeCell ref="O238:O239"/>
    <mergeCell ref="O240:O241"/>
    <mergeCell ref="O211:O212"/>
    <mergeCell ref="O213:O214"/>
    <mergeCell ref="O215:O216"/>
    <mergeCell ref="O217:O218"/>
    <mergeCell ref="B227:T227"/>
    <mergeCell ref="B228:T228"/>
    <mergeCell ref="N221:N222"/>
    <mergeCell ref="B223:B224"/>
    <mergeCell ref="N172:N173"/>
    <mergeCell ref="B174:B175"/>
    <mergeCell ref="C174:C175"/>
    <mergeCell ref="D174:D175"/>
    <mergeCell ref="E174:E175"/>
    <mergeCell ref="F174:F175"/>
    <mergeCell ref="G174:G175"/>
    <mergeCell ref="H174:H175"/>
    <mergeCell ref="I174:I175"/>
    <mergeCell ref="P10:T12"/>
    <mergeCell ref="P55:T57"/>
    <mergeCell ref="P100:T102"/>
    <mergeCell ref="P145:T147"/>
    <mergeCell ref="S54:T54"/>
    <mergeCell ref="B138:T138"/>
    <mergeCell ref="O125:O126"/>
    <mergeCell ref="O127:O128"/>
    <mergeCell ref="O129:O130"/>
    <mergeCell ref="O131:O132"/>
    <mergeCell ref="O268:O269"/>
    <mergeCell ref="O223:O224"/>
    <mergeCell ref="O178:O179"/>
    <mergeCell ref="O133:O134"/>
    <mergeCell ref="O266:O267"/>
    <mergeCell ref="O258:O259"/>
    <mergeCell ref="O260:O261"/>
    <mergeCell ref="O262:O263"/>
    <mergeCell ref="O264:O265"/>
    <mergeCell ref="O250:O251"/>
    <mergeCell ref="O252:O253"/>
    <mergeCell ref="O254:O255"/>
    <mergeCell ref="O256:O257"/>
    <mergeCell ref="O242:O243"/>
    <mergeCell ref="O244:O245"/>
    <mergeCell ref="O246:O247"/>
    <mergeCell ref="O248:O249"/>
    <mergeCell ref="P235:T237"/>
    <mergeCell ref="O88:O89"/>
    <mergeCell ref="O43:O44"/>
    <mergeCell ref="O219:O220"/>
    <mergeCell ref="O221:O222"/>
  </mergeCells>
  <phoneticPr fontId="0" type="noConversion"/>
  <pageMargins left="0" right="0" top="0" bottom="0" header="0.25" footer="0.25"/>
  <pageSetup orientation="landscape" horizontalDpi="360" r:id="rId1"/>
  <headerFooter alignWithMargins="0"/>
  <rowBreaks count="5" manualBreakCount="5">
    <brk id="45" max="16383" man="1"/>
    <brk id="90" max="16383" man="1"/>
    <brk id="135" max="16383" man="1"/>
    <brk id="180" max="16383" man="1"/>
    <brk id="22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1921" r:id="rId4" name="Button 1">
              <controlPr defaultSize="0" print="0" autoFill="0" autoPict="0" macro="[0]!BACKTOMENU">
                <anchor moveWithCells="1">
                  <from>
                    <xdr:col>1</xdr:col>
                    <xdr:colOff>81643</xdr:colOff>
                    <xdr:row>1</xdr:row>
                    <xdr:rowOff>87086</xdr:rowOff>
                  </from>
                  <to>
                    <xdr:col>2</xdr:col>
                    <xdr:colOff>223157</xdr:colOff>
                    <xdr:row>2</xdr:row>
                    <xdr:rowOff>127907</xdr:rowOff>
                  </to>
                </anchor>
              </controlPr>
            </control>
          </mc:Choice>
        </mc:AlternateContent>
        <mc:AlternateContent xmlns:mc="http://schemas.openxmlformats.org/markup-compatibility/2006">
          <mc:Choice Requires="x14">
            <control shapeId="81922" r:id="rId5" name="Button 2">
              <controlPr defaultSize="0" print="0" autoFill="0" autoPict="0" macro="[0]!BACKTOMENU">
                <anchor moveWithCells="1">
                  <from>
                    <xdr:col>1</xdr:col>
                    <xdr:colOff>81643</xdr:colOff>
                    <xdr:row>46</xdr:row>
                    <xdr:rowOff>87086</xdr:rowOff>
                  </from>
                  <to>
                    <xdr:col>2</xdr:col>
                    <xdr:colOff>223157</xdr:colOff>
                    <xdr:row>47</xdr:row>
                    <xdr:rowOff>127907</xdr:rowOff>
                  </to>
                </anchor>
              </controlPr>
            </control>
          </mc:Choice>
        </mc:AlternateContent>
        <mc:AlternateContent xmlns:mc="http://schemas.openxmlformats.org/markup-compatibility/2006">
          <mc:Choice Requires="x14">
            <control shapeId="81923" r:id="rId6" name="Button 3">
              <controlPr defaultSize="0" print="0" autoFill="0" autoPict="0" macro="[0]!BACKTOMENU">
                <anchor moveWithCells="1">
                  <from>
                    <xdr:col>1</xdr:col>
                    <xdr:colOff>81643</xdr:colOff>
                    <xdr:row>91</xdr:row>
                    <xdr:rowOff>87086</xdr:rowOff>
                  </from>
                  <to>
                    <xdr:col>2</xdr:col>
                    <xdr:colOff>223157</xdr:colOff>
                    <xdr:row>92</xdr:row>
                    <xdr:rowOff>127907</xdr:rowOff>
                  </to>
                </anchor>
              </controlPr>
            </control>
          </mc:Choice>
        </mc:AlternateContent>
        <mc:AlternateContent xmlns:mc="http://schemas.openxmlformats.org/markup-compatibility/2006">
          <mc:Choice Requires="x14">
            <control shapeId="81924" r:id="rId7" name="Button 4">
              <controlPr defaultSize="0" print="0" autoFill="0" autoPict="0" macro="[0]!BACKTOMENU">
                <anchor moveWithCells="1">
                  <from>
                    <xdr:col>1</xdr:col>
                    <xdr:colOff>81643</xdr:colOff>
                    <xdr:row>136</xdr:row>
                    <xdr:rowOff>87086</xdr:rowOff>
                  </from>
                  <to>
                    <xdr:col>2</xdr:col>
                    <xdr:colOff>223157</xdr:colOff>
                    <xdr:row>137</xdr:row>
                    <xdr:rowOff>127907</xdr:rowOff>
                  </to>
                </anchor>
              </controlPr>
            </control>
          </mc:Choice>
        </mc:AlternateContent>
        <mc:AlternateContent xmlns:mc="http://schemas.openxmlformats.org/markup-compatibility/2006">
          <mc:Choice Requires="x14">
            <control shapeId="81925" r:id="rId8" name="Button 5">
              <controlPr defaultSize="0" print="0" autoFill="0" autoPict="0" macro="[0]!BACKTOMENU">
                <anchor moveWithCells="1">
                  <from>
                    <xdr:col>1</xdr:col>
                    <xdr:colOff>81643</xdr:colOff>
                    <xdr:row>181</xdr:row>
                    <xdr:rowOff>87086</xdr:rowOff>
                  </from>
                  <to>
                    <xdr:col>2</xdr:col>
                    <xdr:colOff>223157</xdr:colOff>
                    <xdr:row>182</xdr:row>
                    <xdr:rowOff>127907</xdr:rowOff>
                  </to>
                </anchor>
              </controlPr>
            </control>
          </mc:Choice>
        </mc:AlternateContent>
        <mc:AlternateContent xmlns:mc="http://schemas.openxmlformats.org/markup-compatibility/2006">
          <mc:Choice Requires="x14">
            <control shapeId="81926" r:id="rId9" name="Button 6">
              <controlPr defaultSize="0" print="0" autoFill="0" autoPict="0" macro="[0]!BACKTOMENU">
                <anchor moveWithCells="1">
                  <from>
                    <xdr:col>1</xdr:col>
                    <xdr:colOff>81643</xdr:colOff>
                    <xdr:row>226</xdr:row>
                    <xdr:rowOff>87086</xdr:rowOff>
                  </from>
                  <to>
                    <xdr:col>2</xdr:col>
                    <xdr:colOff>223157</xdr:colOff>
                    <xdr:row>227</xdr:row>
                    <xdr:rowOff>127907</xdr:rowOff>
                  </to>
                </anchor>
              </controlPr>
            </control>
          </mc:Choice>
        </mc:AlternateContent>
        <mc:AlternateContent xmlns:mc="http://schemas.openxmlformats.org/markup-compatibility/2006">
          <mc:Choice Requires="x14">
            <control shapeId="81927" r:id="rId10" name="Button 7">
              <controlPr defaultSize="0" print="0" autoFill="0" autoPict="0" macro="[0]!AddSwabSheet">
                <anchor moveWithCells="1">
                  <from>
                    <xdr:col>13</xdr:col>
                    <xdr:colOff>160564</xdr:colOff>
                    <xdr:row>1</xdr:row>
                    <xdr:rowOff>38100</xdr:rowOff>
                  </from>
                  <to>
                    <xdr:col>14</xdr:col>
                    <xdr:colOff>182336</xdr:colOff>
                    <xdr:row>5</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347A5A9A-410D-4EF4-B980-657B7F4493A0}">
          <x14:formula1>
            <xm:f>'Data Validation'!$C$1:$D$1</xm:f>
          </x14:formula1>
          <xm:sqref>C7:E7</xm:sqref>
        </x14:dataValidation>
        <x14:dataValidation type="list" allowBlank="1" showInputMessage="1" showErrorMessage="1" xr:uid="{91192E1D-93A2-49CF-805F-41805C59BBA5}">
          <x14:formula1>
            <xm:f>'Data Validation'!$C$3:$D$3</xm:f>
          </x14:formula1>
          <xm:sqref>M12</xm:sqref>
        </x14:dataValidation>
        <x14:dataValidation type="list" allowBlank="1" showInputMessage="1" showErrorMessage="1" xr:uid="{AA355F8A-114D-4A6C-8283-8F0AF5974349}">
          <x14:formula1>
            <xm:f>'Data Validation'!$C$13:$D$13</xm:f>
          </x14:formula1>
          <xm:sqref>O12</xm:sqref>
        </x14:dataValidation>
        <x14:dataValidation type="list" allowBlank="1" showInputMessage="1" showErrorMessage="1" xr:uid="{F18DA03B-7E57-4D79-BFE7-6A1789607670}">
          <x14:formula1>
            <xm:f>'Data Validation'!$C$2:$D$2</xm:f>
          </x14:formula1>
          <xm:sqref>I12</xm:sqref>
        </x14:dataValidation>
        <x14:dataValidation type="list" allowBlank="1" showInputMessage="1" showErrorMessage="1" xr:uid="{00BD268B-C5C1-4103-9C96-ACDAC5D3BD7D}">
          <x14:formula1>
            <xm:f>'Data Validation'!$C$4:$D$4</xm:f>
          </x14:formula1>
          <xm:sqref>D12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6F9DC-3B85-4DBE-8BAF-C084AB3D15D2}">
  <sheetPr codeName="Sheet47"/>
  <dimension ref="B1:T269"/>
  <sheetViews>
    <sheetView showGridLines="0" showZeros="0" view="pageBreakPreview" zoomScaleNormal="100" workbookViewId="0">
      <selection activeCell="B19" sqref="B19:B20"/>
    </sheetView>
  </sheetViews>
  <sheetFormatPr defaultColWidth="9.15234375" defaultRowHeight="13.1"/>
  <cols>
    <col min="1" max="1" width="1.57421875" style="23" customWidth="1"/>
    <col min="2" max="2" width="5.69140625" style="23" customWidth="1"/>
    <col min="3" max="5" width="6.421875" style="23" customWidth="1"/>
    <col min="6" max="9" width="6.69140625" style="23" customWidth="1"/>
    <col min="10" max="12" width="7.69140625" style="23" customWidth="1"/>
    <col min="13" max="14" width="8.265625" style="23" customWidth="1"/>
    <col min="15" max="19" width="6.69140625" style="23" customWidth="1"/>
    <col min="20" max="20" width="8.57421875" style="23" customWidth="1"/>
    <col min="21" max="21" width="3" style="23" customWidth="1"/>
    <col min="22" max="22" width="1.84375" style="23" customWidth="1"/>
    <col min="23" max="23" width="4.15234375" style="23" customWidth="1"/>
    <col min="24" max="24" width="2.265625" style="23" customWidth="1"/>
    <col min="25" max="25" width="4.265625" style="23" customWidth="1"/>
    <col min="26" max="16384" width="9.15234375" style="23"/>
  </cols>
  <sheetData>
    <row r="1" spans="2:20" ht="13.75" thickBot="1"/>
    <row r="2" spans="2:20">
      <c r="B2" s="2406">
        <f>Summary!A2</f>
        <v>0</v>
      </c>
      <c r="C2" s="2407"/>
      <c r="D2" s="2407"/>
      <c r="E2" s="2407"/>
      <c r="F2" s="2407"/>
      <c r="G2" s="2407"/>
      <c r="H2" s="2407"/>
      <c r="I2" s="2407"/>
      <c r="J2" s="2407"/>
      <c r="K2" s="2407"/>
      <c r="L2" s="2407"/>
      <c r="M2" s="2407"/>
      <c r="N2" s="2407"/>
      <c r="O2" s="2407"/>
      <c r="P2" s="2407"/>
      <c r="Q2" s="2407"/>
      <c r="R2" s="2407"/>
      <c r="S2" s="2407"/>
      <c r="T2" s="2408"/>
    </row>
    <row r="3" spans="2:20">
      <c r="B3" s="1790" t="s">
        <v>1453</v>
      </c>
      <c r="C3" s="1659"/>
      <c r="D3" s="1659"/>
      <c r="E3" s="1659"/>
      <c r="F3" s="1659"/>
      <c r="G3" s="1659"/>
      <c r="H3" s="1659"/>
      <c r="I3" s="1659"/>
      <c r="J3" s="1659"/>
      <c r="K3" s="1659"/>
      <c r="L3" s="1659"/>
      <c r="M3" s="1659"/>
      <c r="N3" s="1659"/>
      <c r="O3" s="1659"/>
      <c r="P3" s="1659"/>
      <c r="Q3" s="1659"/>
      <c r="R3" s="1659"/>
      <c r="S3" s="1659"/>
      <c r="T3" s="1778"/>
    </row>
    <row r="4" spans="2:20">
      <c r="B4" s="84"/>
      <c r="P4" s="120" t="s">
        <v>729</v>
      </c>
      <c r="Q4" s="4">
        <f>IF(B13&gt;0,1,0)</f>
        <v>0</v>
      </c>
      <c r="R4" s="4"/>
      <c r="S4" s="120" t="s">
        <v>730</v>
      </c>
      <c r="T4" s="133">
        <f>IF(T49=2,2,Q4)</f>
        <v>0</v>
      </c>
    </row>
    <row r="5" spans="2:20">
      <c r="B5" s="84"/>
      <c r="E5"/>
      <c r="T5" s="39"/>
    </row>
    <row r="6" spans="2:20">
      <c r="B6" s="947" t="s">
        <v>634</v>
      </c>
      <c r="C6" s="23">
        <f>Summary!C6</f>
        <v>0</v>
      </c>
      <c r="T6" s="39"/>
    </row>
    <row r="7" spans="2:20">
      <c r="B7" s="84"/>
      <c r="T7" s="39"/>
    </row>
    <row r="8" spans="2:20">
      <c r="B8" s="84" t="s">
        <v>221</v>
      </c>
      <c r="C8" s="2416"/>
      <c r="D8" s="2416"/>
      <c r="E8" s="2000" t="s">
        <v>736</v>
      </c>
      <c r="F8" s="2000"/>
      <c r="G8" s="23">
        <v>0</v>
      </c>
      <c r="I8" s="1659" t="s">
        <v>737</v>
      </c>
      <c r="J8" s="1659"/>
      <c r="K8" s="168">
        <f>IF(Summary!C21=0,0,CONCATENATE(Summary!C21,Summary!C16," ",Summary!D21," ",Summary!D16))</f>
        <v>0</v>
      </c>
      <c r="N8" s="23" t="s">
        <v>660</v>
      </c>
      <c r="P8" s="23">
        <f>Summary!C63</f>
        <v>0</v>
      </c>
      <c r="T8" s="39"/>
    </row>
    <row r="9" spans="2:20">
      <c r="B9" s="84"/>
      <c r="D9" s="2417" t="s">
        <v>805</v>
      </c>
      <c r="E9" s="2417"/>
      <c r="F9" s="2417"/>
      <c r="G9" s="367">
        <v>0</v>
      </c>
      <c r="H9" s="2418" t="s">
        <v>1003</v>
      </c>
      <c r="I9" s="2418"/>
      <c r="J9" s="2418"/>
      <c r="K9" s="2409">
        <f>Summary!C32</f>
        <v>0</v>
      </c>
      <c r="L9" s="2409"/>
      <c r="M9" s="2409">
        <f>Summary!C33</f>
        <v>0</v>
      </c>
      <c r="N9" s="2409"/>
      <c r="O9" s="2409">
        <f>Summary!C34</f>
        <v>0</v>
      </c>
      <c r="P9" s="2409"/>
      <c r="Q9" s="2409">
        <f>Summary!C35</f>
        <v>0</v>
      </c>
      <c r="R9" s="2409"/>
      <c r="S9" s="2409"/>
      <c r="T9" s="2410"/>
    </row>
    <row r="10" spans="2:20">
      <c r="B10" s="2437" t="s">
        <v>208</v>
      </c>
      <c r="C10" s="2440" t="s">
        <v>738</v>
      </c>
      <c r="D10" s="362" t="s">
        <v>209</v>
      </c>
      <c r="E10" s="362" t="s">
        <v>207</v>
      </c>
      <c r="F10" s="2444" t="s">
        <v>210</v>
      </c>
      <c r="G10" s="2444" t="s">
        <v>210</v>
      </c>
      <c r="H10" s="2444" t="s">
        <v>209</v>
      </c>
      <c r="I10" s="362" t="s">
        <v>801</v>
      </c>
      <c r="J10" s="2446" t="s">
        <v>802</v>
      </c>
      <c r="K10" s="2447"/>
      <c r="L10" s="2448"/>
      <c r="M10" s="362" t="s">
        <v>204</v>
      </c>
      <c r="N10" s="362" t="s">
        <v>260</v>
      </c>
      <c r="O10" s="1310" t="s">
        <v>270</v>
      </c>
      <c r="P10" s="2450" t="s">
        <v>212</v>
      </c>
      <c r="Q10" s="2450"/>
      <c r="R10" s="2450"/>
      <c r="S10" s="2450"/>
      <c r="T10" s="2451"/>
    </row>
    <row r="11" spans="2:20">
      <c r="B11" s="2438"/>
      <c r="C11" s="2441"/>
      <c r="D11" s="363" t="s">
        <v>214</v>
      </c>
      <c r="E11" s="363" t="s">
        <v>215</v>
      </c>
      <c r="F11" s="2445"/>
      <c r="G11" s="2445"/>
      <c r="H11" s="2445"/>
      <c r="I11" s="363" t="s">
        <v>209</v>
      </c>
      <c r="J11" s="2444" t="s">
        <v>803</v>
      </c>
      <c r="K11" s="2444" t="s">
        <v>804</v>
      </c>
      <c r="L11" s="2431" t="str">
        <f>CONCATENATE('Daily Load'!J532,"%")</f>
        <v>Other (1)%</v>
      </c>
      <c r="M11" s="363" t="s">
        <v>217</v>
      </c>
      <c r="N11" s="363" t="s">
        <v>217</v>
      </c>
      <c r="O11" s="1311" t="s">
        <v>481</v>
      </c>
      <c r="P11" s="2452"/>
      <c r="Q11" s="2452"/>
      <c r="R11" s="2452"/>
      <c r="S11" s="2452"/>
      <c r="T11" s="2453"/>
    </row>
    <row r="12" spans="2:20">
      <c r="B12" s="2439"/>
      <c r="C12" s="2442"/>
      <c r="D12" s="364" t="s">
        <v>1526</v>
      </c>
      <c r="E12" s="364" t="str">
        <f>D12</f>
        <v xml:space="preserve">m </v>
      </c>
      <c r="F12" s="364" t="s">
        <v>211</v>
      </c>
      <c r="G12" s="364" t="s">
        <v>739</v>
      </c>
      <c r="H12" s="742" t="s">
        <v>739</v>
      </c>
      <c r="I12" s="364" t="s">
        <v>218</v>
      </c>
      <c r="J12" s="2449"/>
      <c r="K12" s="2449"/>
      <c r="L12" s="2436"/>
      <c r="M12" s="364" t="s">
        <v>509</v>
      </c>
      <c r="N12" s="364" t="str">
        <f>M12</f>
        <v>kPa</v>
      </c>
      <c r="O12" s="1626" t="s">
        <v>1081</v>
      </c>
      <c r="P12" s="2454"/>
      <c r="Q12" s="2454"/>
      <c r="R12" s="2454"/>
      <c r="S12" s="2454"/>
      <c r="T12" s="2455"/>
    </row>
    <row r="13" spans="2:20">
      <c r="B13" s="2425">
        <v>0</v>
      </c>
      <c r="C13" s="2411"/>
      <c r="D13" s="2411"/>
      <c r="E13" s="2411"/>
      <c r="F13" s="2419">
        <f>G9</f>
        <v>0</v>
      </c>
      <c r="G13" s="2419">
        <f>F13-G9</f>
        <v>0</v>
      </c>
      <c r="H13" s="2422">
        <f>G13*G8</f>
        <v>0</v>
      </c>
      <c r="I13" s="2422">
        <f>H13</f>
        <v>0</v>
      </c>
      <c r="J13" s="2419">
        <v>0</v>
      </c>
      <c r="K13" s="2419">
        <v>0</v>
      </c>
      <c r="L13" s="2419">
        <f>IF(H13=0,0,IF((100-J13-K13)&lt;0,0,100-J13-K13))</f>
        <v>0</v>
      </c>
      <c r="M13" s="2411"/>
      <c r="N13" s="2411"/>
      <c r="O13" s="2443"/>
      <c r="P13" s="758"/>
      <c r="Q13" s="758"/>
      <c r="R13" s="758"/>
      <c r="S13" s="758"/>
      <c r="T13" s="759"/>
    </row>
    <row r="14" spans="2:20">
      <c r="B14" s="2426"/>
      <c r="C14" s="2413"/>
      <c r="D14" s="2413"/>
      <c r="E14" s="2413"/>
      <c r="F14" s="2421"/>
      <c r="G14" s="2421"/>
      <c r="H14" s="2423"/>
      <c r="I14" s="2423"/>
      <c r="J14" s="2421"/>
      <c r="K14" s="2421"/>
      <c r="L14" s="2421"/>
      <c r="M14" s="2413"/>
      <c r="N14" s="2413"/>
      <c r="O14" s="2443"/>
      <c r="P14" s="173"/>
      <c r="Q14" s="173"/>
      <c r="R14" s="173"/>
      <c r="S14" s="173"/>
      <c r="T14" s="760"/>
    </row>
    <row r="15" spans="2:20">
      <c r="B15" s="2425"/>
      <c r="C15" s="2411"/>
      <c r="D15" s="2414"/>
      <c r="E15" s="2411"/>
      <c r="F15" s="2419">
        <f>F13</f>
        <v>0</v>
      </c>
      <c r="G15" s="2419">
        <f>F15-F13</f>
        <v>0</v>
      </c>
      <c r="H15" s="2422">
        <f>G15*G8</f>
        <v>0</v>
      </c>
      <c r="I15" s="2422">
        <f>I13+H15</f>
        <v>0</v>
      </c>
      <c r="J15" s="2419">
        <v>0</v>
      </c>
      <c r="K15" s="2419"/>
      <c r="L15" s="2419">
        <f>IF(H15=0,0,IF((100-J15-K15)&lt;0,0,100-J15-K15))</f>
        <v>0</v>
      </c>
      <c r="M15" s="2411"/>
      <c r="N15" s="2411"/>
      <c r="O15" s="2443"/>
      <c r="P15" s="758"/>
      <c r="Q15" s="758"/>
      <c r="R15" s="758"/>
      <c r="S15" s="758"/>
      <c r="T15" s="759"/>
    </row>
    <row r="16" spans="2:20">
      <c r="B16" s="2426"/>
      <c r="C16" s="2413"/>
      <c r="D16" s="2427"/>
      <c r="E16" s="2413"/>
      <c r="F16" s="2421"/>
      <c r="G16" s="2421"/>
      <c r="H16" s="2423"/>
      <c r="I16" s="2424"/>
      <c r="J16" s="2421"/>
      <c r="K16" s="2421"/>
      <c r="L16" s="2421"/>
      <c r="M16" s="2413"/>
      <c r="N16" s="2413"/>
      <c r="O16" s="2443"/>
      <c r="P16" s="173"/>
      <c r="Q16" s="173"/>
      <c r="R16" s="173"/>
      <c r="S16" s="173"/>
      <c r="T16" s="760"/>
    </row>
    <row r="17" spans="2:20">
      <c r="B17" s="2425"/>
      <c r="C17" s="2411"/>
      <c r="D17" s="2414"/>
      <c r="E17" s="2411"/>
      <c r="F17" s="2419">
        <f>F15</f>
        <v>0</v>
      </c>
      <c r="G17" s="2419">
        <f>F17-F15</f>
        <v>0</v>
      </c>
      <c r="H17" s="2422">
        <f>G17*G8</f>
        <v>0</v>
      </c>
      <c r="I17" s="2422">
        <f>I15+H17</f>
        <v>0</v>
      </c>
      <c r="J17" s="2419"/>
      <c r="K17" s="2419"/>
      <c r="L17" s="2419">
        <f>IF(H17=0,0,IF((100-J17-K17)&lt;0,0,100-J17-K17))</f>
        <v>0</v>
      </c>
      <c r="M17" s="2411"/>
      <c r="N17" s="2411"/>
      <c r="O17" s="2443"/>
      <c r="P17" s="758"/>
      <c r="Q17" s="758"/>
      <c r="R17" s="758"/>
      <c r="S17" s="758"/>
      <c r="T17" s="759"/>
    </row>
    <row r="18" spans="2:20">
      <c r="B18" s="2426"/>
      <c r="C18" s="2413"/>
      <c r="D18" s="2427"/>
      <c r="E18" s="2413"/>
      <c r="F18" s="2421"/>
      <c r="G18" s="2421"/>
      <c r="H18" s="2423"/>
      <c r="I18" s="2424"/>
      <c r="J18" s="2421"/>
      <c r="K18" s="2421"/>
      <c r="L18" s="2421"/>
      <c r="M18" s="2413"/>
      <c r="N18" s="2413"/>
      <c r="O18" s="2443"/>
      <c r="P18" s="173"/>
      <c r="Q18" s="173"/>
      <c r="R18" s="173"/>
      <c r="S18" s="173"/>
      <c r="T18" s="760"/>
    </row>
    <row r="19" spans="2:20">
      <c r="B19" s="2425"/>
      <c r="C19" s="2411"/>
      <c r="D19" s="2414"/>
      <c r="E19" s="2411"/>
      <c r="F19" s="2419">
        <f>F17</f>
        <v>0</v>
      </c>
      <c r="G19" s="2419">
        <f>F19-F17</f>
        <v>0</v>
      </c>
      <c r="H19" s="2422">
        <f>G19*G8</f>
        <v>0</v>
      </c>
      <c r="I19" s="2422">
        <f>I17+H19</f>
        <v>0</v>
      </c>
      <c r="J19" s="2419"/>
      <c r="K19" s="2419"/>
      <c r="L19" s="2419">
        <f>IF(H19=0,0,IF((100-J19-K19)&lt;0,0,100-J19-K19))</f>
        <v>0</v>
      </c>
      <c r="M19" s="2411"/>
      <c r="N19" s="2411"/>
      <c r="O19" s="2443"/>
      <c r="P19" s="758"/>
      <c r="Q19" s="758"/>
      <c r="R19" s="758"/>
      <c r="S19" s="758"/>
      <c r="T19" s="759"/>
    </row>
    <row r="20" spans="2:20">
      <c r="B20" s="2426"/>
      <c r="C20" s="2413"/>
      <c r="D20" s="2427"/>
      <c r="E20" s="2413"/>
      <c r="F20" s="2421"/>
      <c r="G20" s="2421"/>
      <c r="H20" s="2423"/>
      <c r="I20" s="2424"/>
      <c r="J20" s="2421"/>
      <c r="K20" s="2421"/>
      <c r="L20" s="2421"/>
      <c r="M20" s="2413"/>
      <c r="N20" s="2413"/>
      <c r="O20" s="2443"/>
      <c r="P20" s="173"/>
      <c r="Q20" s="173"/>
      <c r="R20" s="173"/>
      <c r="S20" s="173"/>
      <c r="T20" s="760"/>
    </row>
    <row r="21" spans="2:20">
      <c r="B21" s="2425"/>
      <c r="C21" s="2411"/>
      <c r="D21" s="2414"/>
      <c r="E21" s="2411"/>
      <c r="F21" s="2419">
        <f>F19</f>
        <v>0</v>
      </c>
      <c r="G21" s="2419">
        <f>F21-F19</f>
        <v>0</v>
      </c>
      <c r="H21" s="2422">
        <f>G21*G8</f>
        <v>0</v>
      </c>
      <c r="I21" s="2422">
        <f>I19+H21</f>
        <v>0</v>
      </c>
      <c r="J21" s="2419"/>
      <c r="K21" s="2419"/>
      <c r="L21" s="2419">
        <f>IF(H21=0,0,IF((100-J21-K21)&lt;0,0,100-J21-K21))</f>
        <v>0</v>
      </c>
      <c r="M21" s="2411"/>
      <c r="N21" s="2411"/>
      <c r="O21" s="2443"/>
      <c r="P21" s="758"/>
      <c r="Q21" s="758"/>
      <c r="R21" s="758"/>
      <c r="S21" s="758"/>
      <c r="T21" s="759"/>
    </row>
    <row r="22" spans="2:20">
      <c r="B22" s="2426"/>
      <c r="C22" s="2413"/>
      <c r="D22" s="2427"/>
      <c r="E22" s="2413"/>
      <c r="F22" s="2421"/>
      <c r="G22" s="2421"/>
      <c r="H22" s="2423"/>
      <c r="I22" s="2424"/>
      <c r="J22" s="2421"/>
      <c r="K22" s="2421"/>
      <c r="L22" s="2421"/>
      <c r="M22" s="2413"/>
      <c r="N22" s="2413"/>
      <c r="O22" s="2443"/>
      <c r="P22" s="173"/>
      <c r="Q22" s="173"/>
      <c r="R22" s="173"/>
      <c r="S22" s="173"/>
      <c r="T22" s="760"/>
    </row>
    <row r="23" spans="2:20">
      <c r="B23" s="2425"/>
      <c r="C23" s="2411"/>
      <c r="D23" s="2414"/>
      <c r="E23" s="2411"/>
      <c r="F23" s="2419">
        <f>F21</f>
        <v>0</v>
      </c>
      <c r="G23" s="2419">
        <f>F23-F21</f>
        <v>0</v>
      </c>
      <c r="H23" s="2422">
        <f>G23*G8</f>
        <v>0</v>
      </c>
      <c r="I23" s="2422">
        <f>I21+H23</f>
        <v>0</v>
      </c>
      <c r="J23" s="2419"/>
      <c r="K23" s="2419"/>
      <c r="L23" s="2419">
        <f>IF(H23=0,0,IF((100-J23-K23)&lt;0,0,100-J23-K23))</f>
        <v>0</v>
      </c>
      <c r="M23" s="2411"/>
      <c r="N23" s="2411"/>
      <c r="O23" s="2443"/>
      <c r="P23" s="758"/>
      <c r="Q23" s="758"/>
      <c r="R23" s="758"/>
      <c r="S23" s="758"/>
      <c r="T23" s="759"/>
    </row>
    <row r="24" spans="2:20">
      <c r="B24" s="2426"/>
      <c r="C24" s="2413"/>
      <c r="D24" s="2427"/>
      <c r="E24" s="2413"/>
      <c r="F24" s="2421"/>
      <c r="G24" s="2421"/>
      <c r="H24" s="2423"/>
      <c r="I24" s="2424"/>
      <c r="J24" s="2421"/>
      <c r="K24" s="2421"/>
      <c r="L24" s="2421"/>
      <c r="M24" s="2413"/>
      <c r="N24" s="2413"/>
      <c r="O24" s="2443"/>
      <c r="P24" s="173"/>
      <c r="Q24" s="173"/>
      <c r="R24" s="173"/>
      <c r="S24" s="173"/>
      <c r="T24" s="760"/>
    </row>
    <row r="25" spans="2:20">
      <c r="B25" s="2425"/>
      <c r="C25" s="2411"/>
      <c r="D25" s="2414"/>
      <c r="E25" s="2411"/>
      <c r="F25" s="2419">
        <f>F23</f>
        <v>0</v>
      </c>
      <c r="G25" s="2419">
        <f>F25-F23</f>
        <v>0</v>
      </c>
      <c r="H25" s="2422">
        <f>G25*G8</f>
        <v>0</v>
      </c>
      <c r="I25" s="2422">
        <f>I23+H25</f>
        <v>0</v>
      </c>
      <c r="J25" s="2419"/>
      <c r="K25" s="2419"/>
      <c r="L25" s="2419">
        <f>IF(H25=0,0,IF((100-J25-K25)&lt;0,0,100-J25-K25))</f>
        <v>0</v>
      </c>
      <c r="M25" s="2411"/>
      <c r="N25" s="2411"/>
      <c r="O25" s="2443"/>
      <c r="P25" s="758"/>
      <c r="Q25" s="758"/>
      <c r="R25" s="758"/>
      <c r="S25" s="758"/>
      <c r="T25" s="759"/>
    </row>
    <row r="26" spans="2:20">
      <c r="B26" s="2426"/>
      <c r="C26" s="2413"/>
      <c r="D26" s="2427"/>
      <c r="E26" s="2413"/>
      <c r="F26" s="2421"/>
      <c r="G26" s="2421"/>
      <c r="H26" s="2423"/>
      <c r="I26" s="2424"/>
      <c r="J26" s="2421"/>
      <c r="K26" s="2421"/>
      <c r="L26" s="2421"/>
      <c r="M26" s="2413"/>
      <c r="N26" s="2413"/>
      <c r="O26" s="2443"/>
      <c r="P26" s="173"/>
      <c r="Q26" s="173"/>
      <c r="R26" s="173"/>
      <c r="S26" s="173"/>
      <c r="T26" s="760"/>
    </row>
    <row r="27" spans="2:20">
      <c r="B27" s="2425"/>
      <c r="C27" s="2411"/>
      <c r="D27" s="2414"/>
      <c r="E27" s="2411"/>
      <c r="F27" s="2419">
        <f>F25</f>
        <v>0</v>
      </c>
      <c r="G27" s="2419">
        <f>F27-F25</f>
        <v>0</v>
      </c>
      <c r="H27" s="2422">
        <f>G27*G8</f>
        <v>0</v>
      </c>
      <c r="I27" s="2422">
        <f>I25+H27</f>
        <v>0</v>
      </c>
      <c r="J27" s="2419"/>
      <c r="K27" s="2419"/>
      <c r="L27" s="2419">
        <f>IF(H27=0,0,IF((100-J27-K27)&lt;0,0,100-J27-K27))</f>
        <v>0</v>
      </c>
      <c r="M27" s="2411"/>
      <c r="N27" s="2411"/>
      <c r="O27" s="2443"/>
      <c r="P27" s="758"/>
      <c r="Q27" s="758"/>
      <c r="R27" s="758"/>
      <c r="S27" s="758"/>
      <c r="T27" s="759"/>
    </row>
    <row r="28" spans="2:20">
      <c r="B28" s="2426"/>
      <c r="C28" s="2413"/>
      <c r="D28" s="2427"/>
      <c r="E28" s="2413"/>
      <c r="F28" s="2421"/>
      <c r="G28" s="2421"/>
      <c r="H28" s="2423"/>
      <c r="I28" s="2424"/>
      <c r="J28" s="2421"/>
      <c r="K28" s="2421"/>
      <c r="L28" s="2421"/>
      <c r="M28" s="2413"/>
      <c r="N28" s="2413"/>
      <c r="O28" s="2443"/>
      <c r="P28" s="173"/>
      <c r="Q28" s="173"/>
      <c r="R28" s="173"/>
      <c r="S28" s="173"/>
      <c r="T28" s="760"/>
    </row>
    <row r="29" spans="2:20">
      <c r="B29" s="2425"/>
      <c r="C29" s="2411"/>
      <c r="D29" s="2414"/>
      <c r="E29" s="2411"/>
      <c r="F29" s="2419">
        <f>F27</f>
        <v>0</v>
      </c>
      <c r="G29" s="2419">
        <f>F29-F27</f>
        <v>0</v>
      </c>
      <c r="H29" s="2422">
        <f>G29*G8</f>
        <v>0</v>
      </c>
      <c r="I29" s="2422">
        <f>I27+H29</f>
        <v>0</v>
      </c>
      <c r="J29" s="2419"/>
      <c r="K29" s="2419"/>
      <c r="L29" s="2419">
        <f>IF(H29=0,0,IF((100-J29-K29)&lt;0,0,100-J29-K29))</f>
        <v>0</v>
      </c>
      <c r="M29" s="2411"/>
      <c r="N29" s="2411"/>
      <c r="O29" s="2443"/>
      <c r="P29" s="758"/>
      <c r="Q29" s="758"/>
      <c r="R29" s="758"/>
      <c r="S29" s="758"/>
      <c r="T29" s="759"/>
    </row>
    <row r="30" spans="2:20">
      <c r="B30" s="2426"/>
      <c r="C30" s="2413"/>
      <c r="D30" s="2427"/>
      <c r="E30" s="2413"/>
      <c r="F30" s="2421"/>
      <c r="G30" s="2421"/>
      <c r="H30" s="2423"/>
      <c r="I30" s="2424"/>
      <c r="J30" s="2421"/>
      <c r="K30" s="2421"/>
      <c r="L30" s="2421"/>
      <c r="M30" s="2413"/>
      <c r="N30" s="2413"/>
      <c r="O30" s="2443"/>
      <c r="P30" s="173"/>
      <c r="Q30" s="173"/>
      <c r="R30" s="173"/>
      <c r="S30" s="173"/>
      <c r="T30" s="760"/>
    </row>
    <row r="31" spans="2:20">
      <c r="B31" s="2425"/>
      <c r="C31" s="2411"/>
      <c r="D31" s="2414"/>
      <c r="E31" s="2411"/>
      <c r="F31" s="2419">
        <f>F29</f>
        <v>0</v>
      </c>
      <c r="G31" s="2419">
        <f>F31-F29</f>
        <v>0</v>
      </c>
      <c r="H31" s="2422">
        <f>G31*G8</f>
        <v>0</v>
      </c>
      <c r="I31" s="2422">
        <f>I29+H31</f>
        <v>0</v>
      </c>
      <c r="J31" s="2419"/>
      <c r="K31" s="2419"/>
      <c r="L31" s="2419">
        <f>IF(H31=0,0,IF((100-J31-K31)&lt;0,0,100-J31-K31))</f>
        <v>0</v>
      </c>
      <c r="M31" s="2411"/>
      <c r="N31" s="2411"/>
      <c r="O31" s="2443"/>
      <c r="P31" s="758"/>
      <c r="Q31" s="758"/>
      <c r="R31" s="758"/>
      <c r="S31" s="758"/>
      <c r="T31" s="759"/>
    </row>
    <row r="32" spans="2:20">
      <c r="B32" s="2426"/>
      <c r="C32" s="2413"/>
      <c r="D32" s="2427"/>
      <c r="E32" s="2413"/>
      <c r="F32" s="2421"/>
      <c r="G32" s="2421"/>
      <c r="H32" s="2423"/>
      <c r="I32" s="2424"/>
      <c r="J32" s="2421"/>
      <c r="K32" s="2421"/>
      <c r="L32" s="2421"/>
      <c r="M32" s="2413"/>
      <c r="N32" s="2413"/>
      <c r="O32" s="2443"/>
      <c r="P32" s="173"/>
      <c r="Q32" s="173"/>
      <c r="R32" s="173"/>
      <c r="S32" s="173"/>
      <c r="T32" s="760"/>
    </row>
    <row r="33" spans="2:20">
      <c r="B33" s="2425"/>
      <c r="C33" s="2411"/>
      <c r="D33" s="2414"/>
      <c r="E33" s="2411"/>
      <c r="F33" s="2419">
        <f>F31</f>
        <v>0</v>
      </c>
      <c r="G33" s="2419">
        <f>F33-F31</f>
        <v>0</v>
      </c>
      <c r="H33" s="2422">
        <f>G33*G8</f>
        <v>0</v>
      </c>
      <c r="I33" s="2422">
        <f>I31+H33</f>
        <v>0</v>
      </c>
      <c r="J33" s="2419"/>
      <c r="K33" s="2419"/>
      <c r="L33" s="2419">
        <f>IF(H33=0,0,IF((100-J33-K33)&lt;0,0,100-J33-K33))</f>
        <v>0</v>
      </c>
      <c r="M33" s="2411"/>
      <c r="N33" s="2411"/>
      <c r="O33" s="2443"/>
      <c r="P33" s="758"/>
      <c r="Q33" s="758"/>
      <c r="R33" s="758"/>
      <c r="S33" s="758"/>
      <c r="T33" s="759"/>
    </row>
    <row r="34" spans="2:20">
      <c r="B34" s="2426"/>
      <c r="C34" s="2413"/>
      <c r="D34" s="2427"/>
      <c r="E34" s="2413"/>
      <c r="F34" s="2421"/>
      <c r="G34" s="2421"/>
      <c r="H34" s="2423"/>
      <c r="I34" s="2424"/>
      <c r="J34" s="2421"/>
      <c r="K34" s="2421"/>
      <c r="L34" s="2421"/>
      <c r="M34" s="2413"/>
      <c r="N34" s="2413"/>
      <c r="O34" s="2443"/>
      <c r="P34" s="173"/>
      <c r="Q34" s="173"/>
      <c r="R34" s="173"/>
      <c r="S34" s="173"/>
      <c r="T34" s="760"/>
    </row>
    <row r="35" spans="2:20">
      <c r="B35" s="2425"/>
      <c r="C35" s="2411"/>
      <c r="D35" s="2414"/>
      <c r="E35" s="2411"/>
      <c r="F35" s="2419">
        <f>F33</f>
        <v>0</v>
      </c>
      <c r="G35" s="2419">
        <f>F35-F33</f>
        <v>0</v>
      </c>
      <c r="H35" s="2422">
        <f>G35*G8</f>
        <v>0</v>
      </c>
      <c r="I35" s="2422">
        <f>I33+H35</f>
        <v>0</v>
      </c>
      <c r="J35" s="2419"/>
      <c r="K35" s="2419"/>
      <c r="L35" s="2419">
        <f>IF(H35=0,0,IF((100-J35-K35)&lt;0,0,100-J35-K35))</f>
        <v>0</v>
      </c>
      <c r="M35" s="2411"/>
      <c r="N35" s="2411"/>
      <c r="O35" s="2443"/>
      <c r="P35" s="758"/>
      <c r="Q35" s="758"/>
      <c r="R35" s="758"/>
      <c r="S35" s="758"/>
      <c r="T35" s="759"/>
    </row>
    <row r="36" spans="2:20">
      <c r="B36" s="2426"/>
      <c r="C36" s="2413"/>
      <c r="D36" s="2427"/>
      <c r="E36" s="2413"/>
      <c r="F36" s="2421"/>
      <c r="G36" s="2421"/>
      <c r="H36" s="2423"/>
      <c r="I36" s="2424"/>
      <c r="J36" s="2421"/>
      <c r="K36" s="2421"/>
      <c r="L36" s="2421"/>
      <c r="M36" s="2413"/>
      <c r="N36" s="2413"/>
      <c r="O36" s="2443"/>
      <c r="P36" s="173"/>
      <c r="Q36" s="173"/>
      <c r="R36" s="173"/>
      <c r="S36" s="173"/>
      <c r="T36" s="760"/>
    </row>
    <row r="37" spans="2:20">
      <c r="B37" s="2425"/>
      <c r="C37" s="2411"/>
      <c r="D37" s="2414"/>
      <c r="E37" s="2411"/>
      <c r="F37" s="2419">
        <f>F35</f>
        <v>0</v>
      </c>
      <c r="G37" s="2419">
        <f>F37-F35</f>
        <v>0</v>
      </c>
      <c r="H37" s="2422">
        <f>G37*G8</f>
        <v>0</v>
      </c>
      <c r="I37" s="2422">
        <f>I35+H37</f>
        <v>0</v>
      </c>
      <c r="J37" s="2419"/>
      <c r="K37" s="2419"/>
      <c r="L37" s="2419">
        <f>IF(H37=0,0,IF((100-J37-K37)&lt;0,0,100-J37-K37))</f>
        <v>0</v>
      </c>
      <c r="M37" s="2411"/>
      <c r="N37" s="2411"/>
      <c r="O37" s="2443"/>
      <c r="P37" s="758"/>
      <c r="Q37" s="758"/>
      <c r="R37" s="758"/>
      <c r="S37" s="758"/>
      <c r="T37" s="759"/>
    </row>
    <row r="38" spans="2:20">
      <c r="B38" s="2426"/>
      <c r="C38" s="2413"/>
      <c r="D38" s="2427"/>
      <c r="E38" s="2413"/>
      <c r="F38" s="2421"/>
      <c r="G38" s="2421"/>
      <c r="H38" s="2423"/>
      <c r="I38" s="2424"/>
      <c r="J38" s="2421"/>
      <c r="K38" s="2421"/>
      <c r="L38" s="2421"/>
      <c r="M38" s="2413"/>
      <c r="N38" s="2413"/>
      <c r="O38" s="2443"/>
      <c r="P38" s="173"/>
      <c r="Q38" s="173"/>
      <c r="R38" s="173"/>
      <c r="S38" s="173"/>
      <c r="T38" s="760"/>
    </row>
    <row r="39" spans="2:20">
      <c r="B39" s="2425"/>
      <c r="C39" s="2411"/>
      <c r="D39" s="2414"/>
      <c r="E39" s="2411"/>
      <c r="F39" s="2419">
        <f>F37</f>
        <v>0</v>
      </c>
      <c r="G39" s="2419">
        <f>F39-F37</f>
        <v>0</v>
      </c>
      <c r="H39" s="2422">
        <f>G39*G8</f>
        <v>0</v>
      </c>
      <c r="I39" s="2422">
        <f>I37+H39</f>
        <v>0</v>
      </c>
      <c r="J39" s="2419"/>
      <c r="K39" s="2419"/>
      <c r="L39" s="2419">
        <f>IF(H39=0,0,IF((100-J39-K39)&lt;0,0,100-J39-K39))</f>
        <v>0</v>
      </c>
      <c r="M39" s="2411"/>
      <c r="N39" s="2411"/>
      <c r="O39" s="2443"/>
      <c r="P39" s="758"/>
      <c r="Q39" s="758"/>
      <c r="R39" s="758"/>
      <c r="S39" s="758"/>
      <c r="T39" s="759"/>
    </row>
    <row r="40" spans="2:20">
      <c r="B40" s="2426"/>
      <c r="C40" s="2413"/>
      <c r="D40" s="2427"/>
      <c r="E40" s="2413"/>
      <c r="F40" s="2421"/>
      <c r="G40" s="2421"/>
      <c r="H40" s="2423"/>
      <c r="I40" s="2424"/>
      <c r="J40" s="2421"/>
      <c r="K40" s="2421"/>
      <c r="L40" s="2421"/>
      <c r="M40" s="2413"/>
      <c r="N40" s="2413"/>
      <c r="O40" s="2443"/>
      <c r="P40" s="173"/>
      <c r="Q40" s="173"/>
      <c r="R40" s="173"/>
      <c r="S40" s="173"/>
      <c r="T40" s="760"/>
    </row>
    <row r="41" spans="2:20">
      <c r="B41" s="2425"/>
      <c r="C41" s="2411"/>
      <c r="D41" s="2414"/>
      <c r="E41" s="2411"/>
      <c r="F41" s="2419">
        <f>F39</f>
        <v>0</v>
      </c>
      <c r="G41" s="2419">
        <f>F41-F39</f>
        <v>0</v>
      </c>
      <c r="H41" s="2422">
        <f>G41*G8</f>
        <v>0</v>
      </c>
      <c r="I41" s="2422">
        <f>I39+H41</f>
        <v>0</v>
      </c>
      <c r="J41" s="2419"/>
      <c r="K41" s="2419"/>
      <c r="L41" s="2419">
        <f>IF(H41=0,0,IF((100-J41-K41)&lt;0,0,100-J41-K41))</f>
        <v>0</v>
      </c>
      <c r="M41" s="2411"/>
      <c r="N41" s="2411"/>
      <c r="O41" s="2443"/>
      <c r="P41" s="758"/>
      <c r="Q41" s="758"/>
      <c r="R41" s="758"/>
      <c r="S41" s="758"/>
      <c r="T41" s="759"/>
    </row>
    <row r="42" spans="2:20">
      <c r="B42" s="2426"/>
      <c r="C42" s="2413"/>
      <c r="D42" s="2427"/>
      <c r="E42" s="2413"/>
      <c r="F42" s="2421"/>
      <c r="G42" s="2421"/>
      <c r="H42" s="2423"/>
      <c r="I42" s="2424"/>
      <c r="J42" s="2421"/>
      <c r="K42" s="2421"/>
      <c r="L42" s="2421"/>
      <c r="M42" s="2413"/>
      <c r="N42" s="2413"/>
      <c r="O42" s="2443"/>
      <c r="P42" s="173"/>
      <c r="Q42" s="173"/>
      <c r="R42" s="173"/>
      <c r="S42" s="173"/>
      <c r="T42" s="760"/>
    </row>
    <row r="43" spans="2:20">
      <c r="B43" s="2425"/>
      <c r="C43" s="2411"/>
      <c r="D43" s="2414"/>
      <c r="E43" s="2411"/>
      <c r="F43" s="2419">
        <f>F41</f>
        <v>0</v>
      </c>
      <c r="G43" s="2419">
        <f>F43-F41</f>
        <v>0</v>
      </c>
      <c r="H43" s="2422">
        <f>G43*G8</f>
        <v>0</v>
      </c>
      <c r="I43" s="2422">
        <f>I41+H43</f>
        <v>0</v>
      </c>
      <c r="J43" s="2419"/>
      <c r="K43" s="2419"/>
      <c r="L43" s="2419">
        <f>IF(H43=0,0,IF((100-J43-K43)&lt;0,0,100-J43-K43))</f>
        <v>0</v>
      </c>
      <c r="M43" s="2411"/>
      <c r="N43" s="2411"/>
      <c r="O43" s="2457"/>
      <c r="P43" s="365"/>
      <c r="Q43" s="365"/>
      <c r="R43" s="365"/>
      <c r="S43" s="365"/>
      <c r="T43" s="1086" t="str">
        <f>CONCATENATE("Ttl"," ",'Daily Load'!J532)</f>
        <v>Ttl Other (1)</v>
      </c>
    </row>
    <row r="44" spans="2:20" ht="13.75" thickBot="1">
      <c r="B44" s="2430"/>
      <c r="C44" s="2412"/>
      <c r="D44" s="2415"/>
      <c r="E44" s="2412"/>
      <c r="F44" s="2420"/>
      <c r="G44" s="2420"/>
      <c r="H44" s="2428"/>
      <c r="I44" s="2429"/>
      <c r="J44" s="2420"/>
      <c r="K44" s="2420"/>
      <c r="L44" s="2420"/>
      <c r="M44" s="2412"/>
      <c r="N44" s="2412"/>
      <c r="O44" s="2458"/>
      <c r="P44" s="1313" t="s">
        <v>806</v>
      </c>
      <c r="Q44" s="1314">
        <f>((H13*K13)+(H15*K15)+(H17*K17)+(H19*K19)+(H21*K21)+(H23*K23)+(H25*K25)+(H27*K27)+(H29*K29)+(H31*K31)+(H33*K33)+(H35*K35)+(H37*K37)+(H39*K39)+(H41*K41)+(H43*K43))/100</f>
        <v>0</v>
      </c>
      <c r="R44" s="1313" t="s">
        <v>807</v>
      </c>
      <c r="S44" s="1314">
        <f>((J13*H13)+(J15*H15)+(J17*H17)+(J19*H19)+(J21*H21)+(J23*H23)+(J25*H25)+(J27*H27)+(J29*H29)+(J31*H31)+(J33*H33)+(J35*H35)+(J37*H37)+(J39*H39)+(J41*H41)+(J43*H43))/100</f>
        <v>0</v>
      </c>
      <c r="T44" s="1395">
        <f>I43-Q44-S44</f>
        <v>0</v>
      </c>
    </row>
    <row r="45" spans="2:20">
      <c r="B45" s="752"/>
      <c r="C45" s="753"/>
      <c r="D45" s="753"/>
      <c r="E45" s="753"/>
      <c r="F45" s="754"/>
      <c r="G45" s="754"/>
      <c r="H45" s="755"/>
      <c r="I45" s="751"/>
      <c r="J45" s="754"/>
      <c r="K45" s="754"/>
      <c r="L45" s="754"/>
      <c r="M45" s="753"/>
      <c r="N45" s="753"/>
      <c r="O45" s="41"/>
      <c r="P45" s="756"/>
      <c r="Q45" s="41"/>
      <c r="R45" s="41"/>
      <c r="S45" s="756"/>
      <c r="T45" s="511"/>
    </row>
    <row r="46" spans="2:20" ht="13.75" thickBot="1">
      <c r="B46" s="512"/>
      <c r="C46" s="513"/>
      <c r="D46" s="513"/>
      <c r="E46" s="513"/>
      <c r="F46" s="514"/>
      <c r="G46" s="514"/>
      <c r="H46" s="515"/>
      <c r="I46" s="516"/>
      <c r="J46" s="514"/>
      <c r="K46" s="514"/>
      <c r="L46" s="514"/>
      <c r="M46" s="513"/>
      <c r="N46" s="513"/>
      <c r="O46" s="366"/>
      <c r="P46" s="509"/>
      <c r="Q46" s="366"/>
      <c r="R46" s="366"/>
      <c r="S46" s="509"/>
      <c r="T46" s="517"/>
    </row>
    <row r="47" spans="2:20">
      <c r="B47" s="2406">
        <f>B2</f>
        <v>0</v>
      </c>
      <c r="C47" s="2407"/>
      <c r="D47" s="2407"/>
      <c r="E47" s="2407"/>
      <c r="F47" s="2407"/>
      <c r="G47" s="2407"/>
      <c r="H47" s="2407"/>
      <c r="I47" s="2407"/>
      <c r="J47" s="2407"/>
      <c r="K47" s="2407"/>
      <c r="L47" s="2407"/>
      <c r="M47" s="2407"/>
      <c r="N47" s="2407"/>
      <c r="O47" s="2407"/>
      <c r="P47" s="2407"/>
      <c r="Q47" s="2407"/>
      <c r="R47" s="2407"/>
      <c r="S47" s="2407"/>
      <c r="T47" s="2408"/>
    </row>
    <row r="48" spans="2:20">
      <c r="B48" s="1790" t="s">
        <v>1453</v>
      </c>
      <c r="C48" s="1659"/>
      <c r="D48" s="1659"/>
      <c r="E48" s="1659"/>
      <c r="F48" s="1659"/>
      <c r="G48" s="1659"/>
      <c r="H48" s="1659"/>
      <c r="I48" s="1659"/>
      <c r="J48" s="1659"/>
      <c r="K48" s="1659"/>
      <c r="L48" s="1659"/>
      <c r="M48" s="1659"/>
      <c r="N48" s="1659"/>
      <c r="O48" s="1659"/>
      <c r="P48" s="1659"/>
      <c r="Q48" s="1659"/>
      <c r="R48" s="1659"/>
      <c r="S48" s="1659"/>
      <c r="T48" s="1778"/>
    </row>
    <row r="49" spans="2:20">
      <c r="B49" s="84"/>
      <c r="P49" s="120" t="s">
        <v>729</v>
      </c>
      <c r="Q49" s="4">
        <f>IF(B58&gt;0,2,0)</f>
        <v>0</v>
      </c>
      <c r="R49" s="4"/>
      <c r="S49" s="120" t="s">
        <v>730</v>
      </c>
      <c r="T49" s="133">
        <f>IF(Q49=2,2,0)</f>
        <v>0</v>
      </c>
    </row>
    <row r="50" spans="2:20">
      <c r="B50" s="84"/>
      <c r="E50"/>
      <c r="T50" s="39"/>
    </row>
    <row r="51" spans="2:20">
      <c r="B51" s="947" t="s">
        <v>634</v>
      </c>
      <c r="C51" s="23">
        <f>C6</f>
        <v>0</v>
      </c>
      <c r="T51" s="39"/>
    </row>
    <row r="52" spans="2:20">
      <c r="B52" s="84"/>
      <c r="T52" s="39"/>
    </row>
    <row r="53" spans="2:20">
      <c r="B53" s="84" t="s">
        <v>221</v>
      </c>
      <c r="C53" s="2416">
        <f>IF(Q49=2,C8,0)</f>
        <v>0</v>
      </c>
      <c r="D53" s="2416"/>
      <c r="E53" s="2000" t="s">
        <v>736</v>
      </c>
      <c r="F53" s="2000"/>
      <c r="G53" s="23">
        <f>G8</f>
        <v>0</v>
      </c>
      <c r="I53" s="1659" t="s">
        <v>737</v>
      </c>
      <c r="J53" s="1659"/>
      <c r="K53" s="168">
        <f>K8</f>
        <v>0</v>
      </c>
      <c r="N53" s="23" t="s">
        <v>660</v>
      </c>
      <c r="P53" s="23">
        <f>P8</f>
        <v>0</v>
      </c>
      <c r="T53" s="39"/>
    </row>
    <row r="54" spans="2:20">
      <c r="B54" s="84"/>
      <c r="D54" s="2417" t="s">
        <v>805</v>
      </c>
      <c r="E54" s="2417"/>
      <c r="F54" s="2417"/>
      <c r="G54" s="367">
        <f>F43</f>
        <v>0</v>
      </c>
      <c r="H54" s="2418" t="s">
        <v>1003</v>
      </c>
      <c r="I54" s="2418"/>
      <c r="J54" s="2418"/>
      <c r="K54" s="2409">
        <f>K9</f>
        <v>0</v>
      </c>
      <c r="L54" s="2409"/>
      <c r="M54" s="2409">
        <f>M9</f>
        <v>0</v>
      </c>
      <c r="N54" s="2409"/>
      <c r="O54" s="2409">
        <f>O9</f>
        <v>0</v>
      </c>
      <c r="P54" s="2409"/>
      <c r="Q54" s="2409">
        <f>Q9</f>
        <v>0</v>
      </c>
      <c r="R54" s="2409"/>
      <c r="S54" s="2409"/>
      <c r="T54" s="2410"/>
    </row>
    <row r="55" spans="2:20">
      <c r="B55" s="2437" t="s">
        <v>208</v>
      </c>
      <c r="C55" s="2440" t="s">
        <v>738</v>
      </c>
      <c r="D55" s="739" t="s">
        <v>209</v>
      </c>
      <c r="E55" s="739" t="s">
        <v>207</v>
      </c>
      <c r="F55" s="2431" t="s">
        <v>210</v>
      </c>
      <c r="G55" s="2431" t="s">
        <v>210</v>
      </c>
      <c r="H55" s="2431" t="s">
        <v>209</v>
      </c>
      <c r="I55" s="739" t="s">
        <v>801</v>
      </c>
      <c r="J55" s="2433" t="s">
        <v>802</v>
      </c>
      <c r="K55" s="2434"/>
      <c r="L55" s="2435"/>
      <c r="M55" s="739" t="s">
        <v>204</v>
      </c>
      <c r="N55" s="765" t="s">
        <v>260</v>
      </c>
      <c r="O55" s="1310" t="s">
        <v>270</v>
      </c>
      <c r="P55" s="2450" t="s">
        <v>212</v>
      </c>
      <c r="Q55" s="2450"/>
      <c r="R55" s="2450"/>
      <c r="S55" s="2450"/>
      <c r="T55" s="2451"/>
    </row>
    <row r="56" spans="2:20">
      <c r="B56" s="2438"/>
      <c r="C56" s="2441"/>
      <c r="D56" s="741" t="s">
        <v>214</v>
      </c>
      <c r="E56" s="741" t="s">
        <v>215</v>
      </c>
      <c r="F56" s="2432"/>
      <c r="G56" s="2432"/>
      <c r="H56" s="2432"/>
      <c r="I56" s="741" t="s">
        <v>209</v>
      </c>
      <c r="J56" s="2431" t="s">
        <v>803</v>
      </c>
      <c r="K56" s="2431" t="s">
        <v>804</v>
      </c>
      <c r="L56" s="2431" t="str">
        <f>L11</f>
        <v>Other (1)%</v>
      </c>
      <c r="M56" s="741" t="s">
        <v>217</v>
      </c>
      <c r="N56" s="766" t="s">
        <v>217</v>
      </c>
      <c r="O56" s="1311" t="s">
        <v>481</v>
      </c>
      <c r="P56" s="2452"/>
      <c r="Q56" s="2452"/>
      <c r="R56" s="2452"/>
      <c r="S56" s="2452"/>
      <c r="T56" s="2453"/>
    </row>
    <row r="57" spans="2:20">
      <c r="B57" s="2439"/>
      <c r="C57" s="2442"/>
      <c r="D57" s="740" t="str">
        <f>D12</f>
        <v xml:space="preserve">m </v>
      </c>
      <c r="E57" s="740" t="str">
        <f>D57</f>
        <v xml:space="preserve">m </v>
      </c>
      <c r="F57" s="740" t="s">
        <v>211</v>
      </c>
      <c r="G57" s="740" t="s">
        <v>739</v>
      </c>
      <c r="H57" s="742" t="str">
        <f>H12</f>
        <v>Gain</v>
      </c>
      <c r="I57" s="740" t="str">
        <f>I12</f>
        <v>m³</v>
      </c>
      <c r="J57" s="2436"/>
      <c r="K57" s="2436"/>
      <c r="L57" s="2436"/>
      <c r="M57" s="740" t="str">
        <f>M12</f>
        <v>kPa</v>
      </c>
      <c r="N57" s="767" t="str">
        <f>N12</f>
        <v>kPa</v>
      </c>
      <c r="O57" s="1312" t="str">
        <f>O12</f>
        <v>10³m³/d</v>
      </c>
      <c r="P57" s="2454"/>
      <c r="Q57" s="2454"/>
      <c r="R57" s="2454"/>
      <c r="S57" s="2454"/>
      <c r="T57" s="2455"/>
    </row>
    <row r="58" spans="2:20">
      <c r="B58" s="2425">
        <v>0</v>
      </c>
      <c r="C58" s="2411"/>
      <c r="D58" s="2411"/>
      <c r="E58" s="2411"/>
      <c r="F58" s="2419">
        <f>G54</f>
        <v>0</v>
      </c>
      <c r="G58" s="2419">
        <f>F58-G54</f>
        <v>0</v>
      </c>
      <c r="H58" s="2422">
        <f>G58*G53</f>
        <v>0</v>
      </c>
      <c r="I58" s="2422">
        <f>I43+H58</f>
        <v>0</v>
      </c>
      <c r="J58" s="2419">
        <v>0</v>
      </c>
      <c r="K58" s="2419"/>
      <c r="L58" s="2419">
        <f>IF(H58=0,0,IF((100-J58-K58)&lt;0,0,100-J58-K58))</f>
        <v>0</v>
      </c>
      <c r="M58" s="2411"/>
      <c r="N58" s="2411"/>
      <c r="O58" s="2443"/>
      <c r="P58" s="768"/>
      <c r="Q58" s="768"/>
      <c r="R58" s="768"/>
      <c r="S58" s="768"/>
      <c r="T58" s="185"/>
    </row>
    <row r="59" spans="2:20">
      <c r="B59" s="2426"/>
      <c r="C59" s="2413"/>
      <c r="D59" s="2413"/>
      <c r="E59" s="2413"/>
      <c r="F59" s="2421"/>
      <c r="G59" s="2421"/>
      <c r="H59" s="2423"/>
      <c r="I59" s="2423"/>
      <c r="J59" s="2421"/>
      <c r="K59" s="2421"/>
      <c r="L59" s="2421"/>
      <c r="M59" s="2413"/>
      <c r="N59" s="2413"/>
      <c r="O59" s="2443"/>
      <c r="P59" s="173"/>
      <c r="Q59" s="173"/>
      <c r="R59" s="173"/>
      <c r="S59" s="173"/>
      <c r="T59" s="760"/>
    </row>
    <row r="60" spans="2:20">
      <c r="B60" s="2425"/>
      <c r="C60" s="2411"/>
      <c r="D60" s="2414"/>
      <c r="E60" s="2411"/>
      <c r="F60" s="2419">
        <f>F58</f>
        <v>0</v>
      </c>
      <c r="G60" s="2419">
        <f>F60-F58</f>
        <v>0</v>
      </c>
      <c r="H60" s="2422">
        <f>G60*G53</f>
        <v>0</v>
      </c>
      <c r="I60" s="2422">
        <f>I58+H60</f>
        <v>0</v>
      </c>
      <c r="J60" s="2419"/>
      <c r="K60" s="2419"/>
      <c r="L60" s="2419">
        <f>IF(H60=0,0,IF((100-J60-K60)&lt;0,0,100-J60-K60))</f>
        <v>0</v>
      </c>
      <c r="M60" s="2411"/>
      <c r="N60" s="2411"/>
      <c r="O60" s="2443"/>
      <c r="P60" s="758"/>
      <c r="Q60" s="758"/>
      <c r="R60" s="758"/>
      <c r="S60" s="758"/>
      <c r="T60" s="759"/>
    </row>
    <row r="61" spans="2:20">
      <c r="B61" s="2426"/>
      <c r="C61" s="2413"/>
      <c r="D61" s="2427"/>
      <c r="E61" s="2413"/>
      <c r="F61" s="2421"/>
      <c r="G61" s="2421"/>
      <c r="H61" s="2423"/>
      <c r="I61" s="2424"/>
      <c r="J61" s="2421"/>
      <c r="K61" s="2421"/>
      <c r="L61" s="2421"/>
      <c r="M61" s="2413"/>
      <c r="N61" s="2413"/>
      <c r="O61" s="2443"/>
      <c r="P61" s="173"/>
      <c r="Q61" s="173"/>
      <c r="R61" s="173"/>
      <c r="S61" s="173"/>
      <c r="T61" s="760"/>
    </row>
    <row r="62" spans="2:20">
      <c r="B62" s="2425"/>
      <c r="C62" s="2411"/>
      <c r="D62" s="2414"/>
      <c r="E62" s="2411"/>
      <c r="F62" s="2419">
        <f>F60</f>
        <v>0</v>
      </c>
      <c r="G62" s="2419">
        <f>F62-F60</f>
        <v>0</v>
      </c>
      <c r="H62" s="2422">
        <f>G62*G53</f>
        <v>0</v>
      </c>
      <c r="I62" s="2422">
        <f>I60+H62</f>
        <v>0</v>
      </c>
      <c r="J62" s="2419"/>
      <c r="K62" s="2419"/>
      <c r="L62" s="2419">
        <f>IF(H62=0,0,IF((100-J62-K62)&lt;0,0,100-J62-K62))</f>
        <v>0</v>
      </c>
      <c r="M62" s="2411"/>
      <c r="N62" s="2411"/>
      <c r="O62" s="2443"/>
      <c r="P62" s="758"/>
      <c r="Q62" s="758"/>
      <c r="R62" s="758"/>
      <c r="S62" s="758"/>
      <c r="T62" s="759"/>
    </row>
    <row r="63" spans="2:20">
      <c r="B63" s="2426"/>
      <c r="C63" s="2413"/>
      <c r="D63" s="2427"/>
      <c r="E63" s="2413"/>
      <c r="F63" s="2421"/>
      <c r="G63" s="2421"/>
      <c r="H63" s="2423"/>
      <c r="I63" s="2424"/>
      <c r="J63" s="2421"/>
      <c r="K63" s="2421"/>
      <c r="L63" s="2421"/>
      <c r="M63" s="2413"/>
      <c r="N63" s="2413"/>
      <c r="O63" s="2443"/>
      <c r="P63" s="173"/>
      <c r="Q63" s="173"/>
      <c r="R63" s="173"/>
      <c r="S63" s="173"/>
      <c r="T63" s="760"/>
    </row>
    <row r="64" spans="2:20">
      <c r="B64" s="2425"/>
      <c r="C64" s="2411"/>
      <c r="D64" s="2414"/>
      <c r="E64" s="2411"/>
      <c r="F64" s="2419">
        <f>F62</f>
        <v>0</v>
      </c>
      <c r="G64" s="2419">
        <f>F64-F62</f>
        <v>0</v>
      </c>
      <c r="H64" s="2422">
        <f>G64*G53</f>
        <v>0</v>
      </c>
      <c r="I64" s="2422">
        <f>I62+H64</f>
        <v>0</v>
      </c>
      <c r="J64" s="2419"/>
      <c r="K64" s="2419"/>
      <c r="L64" s="2419">
        <f>IF(H64=0,0,IF((100-J64-K64)&lt;0,0,100-J64-K64))</f>
        <v>0</v>
      </c>
      <c r="M64" s="2411"/>
      <c r="N64" s="2411"/>
      <c r="O64" s="2443"/>
      <c r="P64" s="758"/>
      <c r="Q64" s="758"/>
      <c r="R64" s="758"/>
      <c r="S64" s="758"/>
      <c r="T64" s="759"/>
    </row>
    <row r="65" spans="2:20">
      <c r="B65" s="2426"/>
      <c r="C65" s="2413"/>
      <c r="D65" s="2427"/>
      <c r="E65" s="2413"/>
      <c r="F65" s="2421"/>
      <c r="G65" s="2421"/>
      <c r="H65" s="2423"/>
      <c r="I65" s="2424"/>
      <c r="J65" s="2421"/>
      <c r="K65" s="2421"/>
      <c r="L65" s="2421"/>
      <c r="M65" s="2413"/>
      <c r="N65" s="2413"/>
      <c r="O65" s="2443"/>
      <c r="P65" s="173"/>
      <c r="Q65" s="173"/>
      <c r="R65" s="173"/>
      <c r="S65" s="173"/>
      <c r="T65" s="760"/>
    </row>
    <row r="66" spans="2:20">
      <c r="B66" s="2425"/>
      <c r="C66" s="2411"/>
      <c r="D66" s="2414"/>
      <c r="E66" s="2411"/>
      <c r="F66" s="2419">
        <f>F64</f>
        <v>0</v>
      </c>
      <c r="G66" s="2419">
        <f>F66-F64</f>
        <v>0</v>
      </c>
      <c r="H66" s="2422">
        <f>G66*G53</f>
        <v>0</v>
      </c>
      <c r="I66" s="2422">
        <f>I64+H66</f>
        <v>0</v>
      </c>
      <c r="J66" s="2419"/>
      <c r="K66" s="2419"/>
      <c r="L66" s="2419">
        <f>IF(H66=0,0,IF((100-J66-K66)&lt;0,0,100-J66-K66))</f>
        <v>0</v>
      </c>
      <c r="M66" s="2411"/>
      <c r="N66" s="2411"/>
      <c r="O66" s="2443"/>
      <c r="P66" s="758"/>
      <c r="Q66" s="758"/>
      <c r="R66" s="758"/>
      <c r="S66" s="758"/>
      <c r="T66" s="759"/>
    </row>
    <row r="67" spans="2:20">
      <c r="B67" s="2426"/>
      <c r="C67" s="2413"/>
      <c r="D67" s="2427"/>
      <c r="E67" s="2413"/>
      <c r="F67" s="2421"/>
      <c r="G67" s="2421"/>
      <c r="H67" s="2423"/>
      <c r="I67" s="2424"/>
      <c r="J67" s="2421"/>
      <c r="K67" s="2421"/>
      <c r="L67" s="2421"/>
      <c r="M67" s="2413"/>
      <c r="N67" s="2413"/>
      <c r="O67" s="2443"/>
      <c r="P67" s="173"/>
      <c r="Q67" s="173"/>
      <c r="R67" s="173"/>
      <c r="S67" s="173"/>
      <c r="T67" s="760"/>
    </row>
    <row r="68" spans="2:20">
      <c r="B68" s="2425"/>
      <c r="C68" s="2411"/>
      <c r="D68" s="2414"/>
      <c r="E68" s="2411"/>
      <c r="F68" s="2419">
        <f>F66</f>
        <v>0</v>
      </c>
      <c r="G68" s="2419">
        <f>F68-F66</f>
        <v>0</v>
      </c>
      <c r="H68" s="2422">
        <f>G68*G53</f>
        <v>0</v>
      </c>
      <c r="I68" s="2422">
        <f>I66+H68</f>
        <v>0</v>
      </c>
      <c r="J68" s="2419"/>
      <c r="K68" s="2419"/>
      <c r="L68" s="2419">
        <f>IF(H68=0,0,IF((100-J68-K68)&lt;0,0,100-J68-K68))</f>
        <v>0</v>
      </c>
      <c r="M68" s="2411"/>
      <c r="N68" s="2411"/>
      <c r="O68" s="2443"/>
      <c r="P68" s="758"/>
      <c r="Q68" s="758"/>
      <c r="R68" s="758"/>
      <c r="S68" s="758"/>
      <c r="T68" s="759"/>
    </row>
    <row r="69" spans="2:20">
      <c r="B69" s="2426"/>
      <c r="C69" s="2413"/>
      <c r="D69" s="2427"/>
      <c r="E69" s="2413"/>
      <c r="F69" s="2421"/>
      <c r="G69" s="2421"/>
      <c r="H69" s="2423"/>
      <c r="I69" s="2424"/>
      <c r="J69" s="2421"/>
      <c r="K69" s="2421"/>
      <c r="L69" s="2421"/>
      <c r="M69" s="2413"/>
      <c r="N69" s="2413"/>
      <c r="O69" s="2443"/>
      <c r="P69" s="173"/>
      <c r="Q69" s="173"/>
      <c r="R69" s="173"/>
      <c r="S69" s="173"/>
      <c r="T69" s="760"/>
    </row>
    <row r="70" spans="2:20">
      <c r="B70" s="2425"/>
      <c r="C70" s="2411"/>
      <c r="D70" s="2414"/>
      <c r="E70" s="2411"/>
      <c r="F70" s="2419">
        <f>F68</f>
        <v>0</v>
      </c>
      <c r="G70" s="2419">
        <f>F70-F68</f>
        <v>0</v>
      </c>
      <c r="H70" s="2422">
        <f>G70*G53</f>
        <v>0</v>
      </c>
      <c r="I70" s="2422">
        <f>I68+H70</f>
        <v>0</v>
      </c>
      <c r="J70" s="2419"/>
      <c r="K70" s="2419"/>
      <c r="L70" s="2419">
        <f>IF(H70=0,0,IF((100-J70-K70)&lt;0,0,100-J70-K70))</f>
        <v>0</v>
      </c>
      <c r="M70" s="2411"/>
      <c r="N70" s="2411"/>
      <c r="O70" s="2443"/>
      <c r="P70" s="758"/>
      <c r="Q70" s="758"/>
      <c r="R70" s="758"/>
      <c r="S70" s="758"/>
      <c r="T70" s="759"/>
    </row>
    <row r="71" spans="2:20">
      <c r="B71" s="2426"/>
      <c r="C71" s="2413"/>
      <c r="D71" s="2427"/>
      <c r="E71" s="2413"/>
      <c r="F71" s="2421"/>
      <c r="G71" s="2421"/>
      <c r="H71" s="2423"/>
      <c r="I71" s="2424"/>
      <c r="J71" s="2421"/>
      <c r="K71" s="2421"/>
      <c r="L71" s="2421"/>
      <c r="M71" s="2413"/>
      <c r="N71" s="2413"/>
      <c r="O71" s="2443"/>
      <c r="P71" s="173"/>
      <c r="Q71" s="173"/>
      <c r="R71" s="173"/>
      <c r="S71" s="173"/>
      <c r="T71" s="760"/>
    </row>
    <row r="72" spans="2:20">
      <c r="B72" s="2425"/>
      <c r="C72" s="2411"/>
      <c r="D72" s="2414"/>
      <c r="E72" s="2411"/>
      <c r="F72" s="2419">
        <f>F70</f>
        <v>0</v>
      </c>
      <c r="G72" s="2419">
        <f>F72-F70</f>
        <v>0</v>
      </c>
      <c r="H72" s="2422">
        <f>G72*G53</f>
        <v>0</v>
      </c>
      <c r="I72" s="2422">
        <f>I70+H72</f>
        <v>0</v>
      </c>
      <c r="J72" s="2419"/>
      <c r="K72" s="2419"/>
      <c r="L72" s="2419">
        <f>IF(H72=0,0,IF((100-J72-K72)&lt;0,0,100-J72-K72))</f>
        <v>0</v>
      </c>
      <c r="M72" s="2411"/>
      <c r="N72" s="2411"/>
      <c r="O72" s="2443"/>
      <c r="P72" s="758"/>
      <c r="Q72" s="758"/>
      <c r="R72" s="758"/>
      <c r="S72" s="758"/>
      <c r="T72" s="759"/>
    </row>
    <row r="73" spans="2:20">
      <c r="B73" s="2426"/>
      <c r="C73" s="2413"/>
      <c r="D73" s="2427"/>
      <c r="E73" s="2413"/>
      <c r="F73" s="2421"/>
      <c r="G73" s="2421"/>
      <c r="H73" s="2423"/>
      <c r="I73" s="2424"/>
      <c r="J73" s="2421"/>
      <c r="K73" s="2421"/>
      <c r="L73" s="2421"/>
      <c r="M73" s="2413"/>
      <c r="N73" s="2413"/>
      <c r="O73" s="2443"/>
      <c r="P73" s="173"/>
      <c r="Q73" s="173"/>
      <c r="R73" s="173"/>
      <c r="S73" s="173"/>
      <c r="T73" s="760"/>
    </row>
    <row r="74" spans="2:20">
      <c r="B74" s="2425"/>
      <c r="C74" s="2411"/>
      <c r="D74" s="2414"/>
      <c r="E74" s="2411"/>
      <c r="F74" s="2419">
        <f>F72</f>
        <v>0</v>
      </c>
      <c r="G74" s="2419">
        <f>F74-F72</f>
        <v>0</v>
      </c>
      <c r="H74" s="2422">
        <f>G74*G53</f>
        <v>0</v>
      </c>
      <c r="I74" s="2422">
        <f>I72+H74</f>
        <v>0</v>
      </c>
      <c r="J74" s="2419"/>
      <c r="K74" s="2419"/>
      <c r="L74" s="2419">
        <f>IF(H74=0,0,IF((100-J74-K74)&lt;0,0,100-J74-K74))</f>
        <v>0</v>
      </c>
      <c r="M74" s="2411"/>
      <c r="N74" s="2411"/>
      <c r="O74" s="2443"/>
      <c r="P74" s="758"/>
      <c r="Q74" s="758"/>
      <c r="R74" s="758"/>
      <c r="S74" s="758"/>
      <c r="T74" s="759"/>
    </row>
    <row r="75" spans="2:20">
      <c r="B75" s="2426"/>
      <c r="C75" s="2413"/>
      <c r="D75" s="2427"/>
      <c r="E75" s="2413"/>
      <c r="F75" s="2421"/>
      <c r="G75" s="2421"/>
      <c r="H75" s="2423"/>
      <c r="I75" s="2424"/>
      <c r="J75" s="2421"/>
      <c r="K75" s="2421"/>
      <c r="L75" s="2421"/>
      <c r="M75" s="2413"/>
      <c r="N75" s="2413"/>
      <c r="O75" s="2443"/>
      <c r="P75" s="173"/>
      <c r="Q75" s="173"/>
      <c r="R75" s="173"/>
      <c r="S75" s="173"/>
      <c r="T75" s="760"/>
    </row>
    <row r="76" spans="2:20">
      <c r="B76" s="2425"/>
      <c r="C76" s="2411"/>
      <c r="D76" s="2414"/>
      <c r="E76" s="2411"/>
      <c r="F76" s="2419">
        <f>F74</f>
        <v>0</v>
      </c>
      <c r="G76" s="2419">
        <f>F76-F74</f>
        <v>0</v>
      </c>
      <c r="H76" s="2422">
        <f>G76*G53</f>
        <v>0</v>
      </c>
      <c r="I76" s="2422">
        <f>I74+H76</f>
        <v>0</v>
      </c>
      <c r="J76" s="2419"/>
      <c r="K76" s="2419"/>
      <c r="L76" s="2419">
        <f>IF(H76=0,0,IF((100-J76-K76)&lt;0,0,100-J76-K76))</f>
        <v>0</v>
      </c>
      <c r="M76" s="2411"/>
      <c r="N76" s="2411"/>
      <c r="O76" s="2443"/>
      <c r="P76" s="758"/>
      <c r="Q76" s="758"/>
      <c r="R76" s="758"/>
      <c r="S76" s="758"/>
      <c r="T76" s="759"/>
    </row>
    <row r="77" spans="2:20">
      <c r="B77" s="2426"/>
      <c r="C77" s="2413"/>
      <c r="D77" s="2427"/>
      <c r="E77" s="2413"/>
      <c r="F77" s="2421"/>
      <c r="G77" s="2421"/>
      <c r="H77" s="2423"/>
      <c r="I77" s="2424"/>
      <c r="J77" s="2421"/>
      <c r="K77" s="2421"/>
      <c r="L77" s="2421"/>
      <c r="M77" s="2413"/>
      <c r="N77" s="2413"/>
      <c r="O77" s="2443"/>
      <c r="P77" s="173"/>
      <c r="Q77" s="173"/>
      <c r="R77" s="173"/>
      <c r="S77" s="173"/>
      <c r="T77" s="760"/>
    </row>
    <row r="78" spans="2:20">
      <c r="B78" s="2425"/>
      <c r="C78" s="2411"/>
      <c r="D78" s="2414"/>
      <c r="E78" s="2411"/>
      <c r="F78" s="2419">
        <f>F76</f>
        <v>0</v>
      </c>
      <c r="G78" s="2419">
        <f>F78-F76</f>
        <v>0</v>
      </c>
      <c r="H78" s="2422">
        <f>G78*G53</f>
        <v>0</v>
      </c>
      <c r="I78" s="2422">
        <f>I76+H78</f>
        <v>0</v>
      </c>
      <c r="J78" s="2419"/>
      <c r="K78" s="2419"/>
      <c r="L78" s="2419">
        <f>IF(H78=0,0,IF((100-J78-K78)&lt;0,0,100-J78-K78))</f>
        <v>0</v>
      </c>
      <c r="M78" s="2411"/>
      <c r="N78" s="2411"/>
      <c r="O78" s="2443"/>
      <c r="P78" s="758"/>
      <c r="Q78" s="758"/>
      <c r="R78" s="758"/>
      <c r="S78" s="758"/>
      <c r="T78" s="759"/>
    </row>
    <row r="79" spans="2:20">
      <c r="B79" s="2426"/>
      <c r="C79" s="2413"/>
      <c r="D79" s="2427"/>
      <c r="E79" s="2413"/>
      <c r="F79" s="2421"/>
      <c r="G79" s="2421"/>
      <c r="H79" s="2423"/>
      <c r="I79" s="2424"/>
      <c r="J79" s="2421"/>
      <c r="K79" s="2421"/>
      <c r="L79" s="2421"/>
      <c r="M79" s="2413"/>
      <c r="N79" s="2413"/>
      <c r="O79" s="2443"/>
      <c r="P79" s="173"/>
      <c r="Q79" s="173"/>
      <c r="R79" s="173"/>
      <c r="S79" s="173"/>
      <c r="T79" s="760"/>
    </row>
    <row r="80" spans="2:20">
      <c r="B80" s="2425"/>
      <c r="C80" s="2411"/>
      <c r="D80" s="2414"/>
      <c r="E80" s="2411"/>
      <c r="F80" s="2419">
        <f>F78</f>
        <v>0</v>
      </c>
      <c r="G80" s="2419">
        <f>F80-F78</f>
        <v>0</v>
      </c>
      <c r="H80" s="2422">
        <f>G80*G53</f>
        <v>0</v>
      </c>
      <c r="I80" s="2422">
        <f>I78+H80</f>
        <v>0</v>
      </c>
      <c r="J80" s="2419"/>
      <c r="K80" s="2419"/>
      <c r="L80" s="2419">
        <f>IF(H80=0,0,IF((100-J80-K80)&lt;0,0,100-J80-K80))</f>
        <v>0</v>
      </c>
      <c r="M80" s="2411"/>
      <c r="N80" s="2411"/>
      <c r="O80" s="2443"/>
      <c r="P80" s="758"/>
      <c r="Q80" s="758"/>
      <c r="R80" s="758"/>
      <c r="S80" s="758"/>
      <c r="T80" s="759"/>
    </row>
    <row r="81" spans="2:20">
      <c r="B81" s="2426"/>
      <c r="C81" s="2413"/>
      <c r="D81" s="2427"/>
      <c r="E81" s="2413"/>
      <c r="F81" s="2421"/>
      <c r="G81" s="2421"/>
      <c r="H81" s="2423"/>
      <c r="I81" s="2424"/>
      <c r="J81" s="2421"/>
      <c r="K81" s="2421"/>
      <c r="L81" s="2421"/>
      <c r="M81" s="2413"/>
      <c r="N81" s="2413"/>
      <c r="O81" s="2443"/>
      <c r="P81" s="173"/>
      <c r="Q81" s="173"/>
      <c r="R81" s="173"/>
      <c r="S81" s="173"/>
      <c r="T81" s="760"/>
    </row>
    <row r="82" spans="2:20">
      <c r="B82" s="2425"/>
      <c r="C82" s="2411"/>
      <c r="D82" s="2414"/>
      <c r="E82" s="2411"/>
      <c r="F82" s="2419">
        <f>F80</f>
        <v>0</v>
      </c>
      <c r="G82" s="2419">
        <f>F82-F80</f>
        <v>0</v>
      </c>
      <c r="H82" s="2422">
        <f>G82*G53</f>
        <v>0</v>
      </c>
      <c r="I82" s="2422">
        <f>I80+H82</f>
        <v>0</v>
      </c>
      <c r="J82" s="2419"/>
      <c r="K82" s="2419"/>
      <c r="L82" s="2419">
        <f>IF(H82=0,0,IF((100-J82-K82)&lt;0,0,100-J82-K82))</f>
        <v>0</v>
      </c>
      <c r="M82" s="2411"/>
      <c r="N82" s="2411"/>
      <c r="O82" s="2443"/>
      <c r="P82" s="758"/>
      <c r="Q82" s="758"/>
      <c r="R82" s="758"/>
      <c r="S82" s="758"/>
      <c r="T82" s="759"/>
    </row>
    <row r="83" spans="2:20">
      <c r="B83" s="2426"/>
      <c r="C83" s="2413"/>
      <c r="D83" s="2427"/>
      <c r="E83" s="2413"/>
      <c r="F83" s="2421"/>
      <c r="G83" s="2421"/>
      <c r="H83" s="2423"/>
      <c r="I83" s="2424"/>
      <c r="J83" s="2421"/>
      <c r="K83" s="2421"/>
      <c r="L83" s="2421"/>
      <c r="M83" s="2413"/>
      <c r="N83" s="2413"/>
      <c r="O83" s="2443"/>
      <c r="P83" s="173"/>
      <c r="Q83" s="173"/>
      <c r="R83" s="173"/>
      <c r="S83" s="173"/>
      <c r="T83" s="760"/>
    </row>
    <row r="84" spans="2:20">
      <c r="B84" s="2425"/>
      <c r="C84" s="2411"/>
      <c r="D84" s="2414"/>
      <c r="E84" s="2411"/>
      <c r="F84" s="2419">
        <f>F82</f>
        <v>0</v>
      </c>
      <c r="G84" s="2419">
        <f>F84-F82</f>
        <v>0</v>
      </c>
      <c r="H84" s="2422">
        <f>G84*G53</f>
        <v>0</v>
      </c>
      <c r="I84" s="2422">
        <f>I82+H84</f>
        <v>0</v>
      </c>
      <c r="J84" s="2419"/>
      <c r="K84" s="2419"/>
      <c r="L84" s="2419">
        <f>IF(H84=0,0,IF((100-J84-K84)&lt;0,0,100-J84-K84))</f>
        <v>0</v>
      </c>
      <c r="M84" s="2411"/>
      <c r="N84" s="2411"/>
      <c r="O84" s="2443"/>
      <c r="P84" s="758"/>
      <c r="Q84" s="758"/>
      <c r="R84" s="758"/>
      <c r="S84" s="758"/>
      <c r="T84" s="759"/>
    </row>
    <row r="85" spans="2:20">
      <c r="B85" s="2426"/>
      <c r="C85" s="2413"/>
      <c r="D85" s="2427"/>
      <c r="E85" s="2413"/>
      <c r="F85" s="2421"/>
      <c r="G85" s="2421"/>
      <c r="H85" s="2423"/>
      <c r="I85" s="2424"/>
      <c r="J85" s="2421"/>
      <c r="K85" s="2421"/>
      <c r="L85" s="2421"/>
      <c r="M85" s="2413"/>
      <c r="N85" s="2413"/>
      <c r="O85" s="2443"/>
      <c r="P85" s="173"/>
      <c r="Q85" s="173"/>
      <c r="R85" s="173"/>
      <c r="S85" s="173"/>
      <c r="T85" s="760"/>
    </row>
    <row r="86" spans="2:20">
      <c r="B86" s="2425"/>
      <c r="C86" s="2411"/>
      <c r="D86" s="2414"/>
      <c r="E86" s="2411"/>
      <c r="F86" s="2419">
        <f>F84</f>
        <v>0</v>
      </c>
      <c r="G86" s="2419">
        <f>F86-F84</f>
        <v>0</v>
      </c>
      <c r="H86" s="2422">
        <f>G86*G53</f>
        <v>0</v>
      </c>
      <c r="I86" s="2422">
        <f>I84+H86</f>
        <v>0</v>
      </c>
      <c r="J86" s="2419"/>
      <c r="K86" s="2419"/>
      <c r="L86" s="2419">
        <f>IF(H86=0,0,IF((100-J86-K86)&lt;0,0,100-J86-K86))</f>
        <v>0</v>
      </c>
      <c r="M86" s="2411"/>
      <c r="N86" s="2411"/>
      <c r="O86" s="2443"/>
      <c r="P86" s="758"/>
      <c r="Q86" s="758"/>
      <c r="R86" s="758"/>
      <c r="S86" s="758"/>
      <c r="T86" s="759"/>
    </row>
    <row r="87" spans="2:20" ht="13.75" thickBot="1">
      <c r="B87" s="2426"/>
      <c r="C87" s="2413"/>
      <c r="D87" s="2427"/>
      <c r="E87" s="2413"/>
      <c r="F87" s="2421"/>
      <c r="G87" s="2421"/>
      <c r="H87" s="2423"/>
      <c r="I87" s="2424"/>
      <c r="J87" s="2421"/>
      <c r="K87" s="2421"/>
      <c r="L87" s="2421"/>
      <c r="M87" s="2413"/>
      <c r="N87" s="2413"/>
      <c r="O87" s="2443"/>
      <c r="P87" s="173"/>
      <c r="Q87" s="173"/>
      <c r="R87" s="173"/>
      <c r="S87" s="173"/>
      <c r="T87" s="185"/>
    </row>
    <row r="88" spans="2:20">
      <c r="B88" s="2425"/>
      <c r="C88" s="2411"/>
      <c r="D88" s="2414"/>
      <c r="E88" s="2411"/>
      <c r="F88" s="2419">
        <f>F86</f>
        <v>0</v>
      </c>
      <c r="G88" s="2419">
        <f>F88-F86</f>
        <v>0</v>
      </c>
      <c r="H88" s="2422">
        <f>G88*G53</f>
        <v>0</v>
      </c>
      <c r="I88" s="2422">
        <f>I86+H88</f>
        <v>0</v>
      </c>
      <c r="J88" s="2419"/>
      <c r="K88" s="2419"/>
      <c r="L88" s="2419">
        <f>IF(H88=0,0,IF((100-J88-K88)&lt;0,0,100-J88-K88))</f>
        <v>0</v>
      </c>
      <c r="M88" s="2411"/>
      <c r="N88" s="2411"/>
      <c r="O88" s="2457"/>
      <c r="P88" s="365"/>
      <c r="Q88" s="365"/>
      <c r="R88" s="365"/>
      <c r="S88" s="365"/>
      <c r="T88" s="1087" t="str">
        <f>T43</f>
        <v>Ttl Other (1)</v>
      </c>
    </row>
    <row r="89" spans="2:20" ht="13.75" thickBot="1">
      <c r="B89" s="2430"/>
      <c r="C89" s="2412"/>
      <c r="D89" s="2415"/>
      <c r="E89" s="2412"/>
      <c r="F89" s="2420"/>
      <c r="G89" s="2420"/>
      <c r="H89" s="2428"/>
      <c r="I89" s="2429"/>
      <c r="J89" s="2420"/>
      <c r="K89" s="2420"/>
      <c r="L89" s="2420"/>
      <c r="M89" s="2412"/>
      <c r="N89" s="2412"/>
      <c r="O89" s="2458"/>
      <c r="P89" s="1313" t="s">
        <v>806</v>
      </c>
      <c r="Q89" s="1314">
        <f>((H58*K58)+(H60*K60)+(H62*K62)+(H64*K64)+(H66*K66)+(H68*K68)+(H70*K70)+(H72*K72)+(H74*K74)+(H76*K76)+(H78*K78)+(H80*K80)+(H82*K82)+(H84*K84)+(H86*K86)+(H88*K88))/100+Q44</f>
        <v>0</v>
      </c>
      <c r="R89" s="1313" t="s">
        <v>807</v>
      </c>
      <c r="S89" s="1314">
        <f>((J58*H58)+(J60*H60)+(J62*H62)+(J64*H64)+(J66*H66)+(J68*H68)+(J70*H70)+(J72*H72)+(J74*H74)+(J76*H76)+(J78*H78)+(J80*H80)+(J82*H82)+(J84*H84)+(J86*H86)+(J88*H88))/100+S44</f>
        <v>0</v>
      </c>
      <c r="T89" s="764">
        <f>I88-Q89-S89</f>
        <v>0</v>
      </c>
    </row>
    <row r="90" spans="2:20">
      <c r="B90" s="752"/>
      <c r="C90" s="753"/>
      <c r="D90" s="753"/>
      <c r="E90" s="753"/>
      <c r="F90" s="754"/>
      <c r="G90" s="754"/>
      <c r="H90" s="755"/>
      <c r="I90" s="751"/>
      <c r="J90" s="754"/>
      <c r="K90" s="754"/>
      <c r="L90" s="754"/>
      <c r="M90" s="753"/>
      <c r="N90" s="753"/>
      <c r="O90" s="41"/>
      <c r="P90" s="756"/>
      <c r="Q90" s="41"/>
      <c r="R90" s="41"/>
      <c r="S90" s="756"/>
      <c r="T90" s="761"/>
    </row>
    <row r="91" spans="2:20" ht="13.75" thickBot="1">
      <c r="B91" s="512"/>
      <c r="C91" s="757"/>
      <c r="D91" s="513"/>
      <c r="E91" s="513"/>
      <c r="F91" s="514"/>
      <c r="G91" s="514"/>
      <c r="H91" s="515"/>
      <c r="I91" s="516"/>
      <c r="J91" s="514"/>
      <c r="K91" s="514"/>
      <c r="L91" s="514"/>
      <c r="M91" s="513"/>
      <c r="N91" s="513"/>
      <c r="O91" s="366"/>
      <c r="P91" s="366"/>
      <c r="Q91" s="366"/>
      <c r="R91" s="366"/>
      <c r="S91" s="366"/>
      <c r="T91" s="762"/>
    </row>
    <row r="92" spans="2:20">
      <c r="B92" s="2406">
        <f>B47</f>
        <v>0</v>
      </c>
      <c r="C92" s="2407"/>
      <c r="D92" s="2407"/>
      <c r="E92" s="2407"/>
      <c r="F92" s="2407"/>
      <c r="G92" s="2407"/>
      <c r="H92" s="2407"/>
      <c r="I92" s="2407"/>
      <c r="J92" s="2407"/>
      <c r="K92" s="2407"/>
      <c r="L92" s="2407"/>
      <c r="M92" s="2407"/>
      <c r="N92" s="2407"/>
      <c r="O92" s="2407"/>
      <c r="P92" s="2407"/>
      <c r="Q92" s="2407"/>
      <c r="R92" s="2407"/>
      <c r="S92" s="2407"/>
      <c r="T92" s="2408"/>
    </row>
    <row r="93" spans="2:20">
      <c r="B93" s="1790" t="s">
        <v>1453</v>
      </c>
      <c r="C93" s="1659"/>
      <c r="D93" s="1659"/>
      <c r="E93" s="1659"/>
      <c r="F93" s="1659"/>
      <c r="G93" s="1659"/>
      <c r="H93" s="1659"/>
      <c r="I93" s="1659"/>
      <c r="J93" s="1659"/>
      <c r="K93" s="1659"/>
      <c r="L93" s="1659"/>
      <c r="M93" s="1659"/>
      <c r="N93" s="1659"/>
      <c r="O93" s="1659"/>
      <c r="P93" s="1659"/>
      <c r="Q93" s="1659"/>
      <c r="R93" s="1659"/>
      <c r="S93" s="1659"/>
      <c r="T93" s="1778"/>
    </row>
    <row r="94" spans="2:20">
      <c r="B94" s="84"/>
      <c r="P94" s="120" t="s">
        <v>729</v>
      </c>
      <c r="Q94" s="4">
        <f>IF(B103&gt;0,1,0)</f>
        <v>0</v>
      </c>
      <c r="R94" s="4"/>
      <c r="S94" s="120" t="s">
        <v>730</v>
      </c>
      <c r="T94" s="133">
        <f>IF(T139=2,2,Q94)</f>
        <v>0</v>
      </c>
    </row>
    <row r="95" spans="2:20">
      <c r="B95" s="84"/>
      <c r="E95"/>
      <c r="T95" s="39"/>
    </row>
    <row r="96" spans="2:20">
      <c r="B96" s="947" t="s">
        <v>634</v>
      </c>
      <c r="C96" s="23">
        <f>C51</f>
        <v>0</v>
      </c>
      <c r="T96" s="39"/>
    </row>
    <row r="97" spans="2:20">
      <c r="B97" s="84"/>
      <c r="T97" s="39"/>
    </row>
    <row r="98" spans="2:20">
      <c r="B98" s="84" t="s">
        <v>221</v>
      </c>
      <c r="C98" s="2416"/>
      <c r="D98" s="2416"/>
      <c r="E98" s="2000" t="s">
        <v>736</v>
      </c>
      <c r="F98" s="2000"/>
      <c r="G98" s="23">
        <v>0</v>
      </c>
      <c r="I98" s="1659" t="s">
        <v>737</v>
      </c>
      <c r="J98" s="1659"/>
      <c r="K98" s="168">
        <f>K53</f>
        <v>0</v>
      </c>
      <c r="N98" s="23" t="s">
        <v>660</v>
      </c>
      <c r="P98" s="23">
        <f>P53</f>
        <v>0</v>
      </c>
      <c r="T98" s="39"/>
    </row>
    <row r="99" spans="2:20">
      <c r="B99" s="84"/>
      <c r="D99" s="2417" t="s">
        <v>805</v>
      </c>
      <c r="E99" s="2417"/>
      <c r="F99" s="2417"/>
      <c r="G99" s="367">
        <v>0</v>
      </c>
      <c r="H99" s="2418" t="s">
        <v>1003</v>
      </c>
      <c r="I99" s="2418"/>
      <c r="J99" s="2418"/>
      <c r="K99" s="2409">
        <f>K54</f>
        <v>0</v>
      </c>
      <c r="L99" s="2409"/>
      <c r="M99" s="2409">
        <f>M54</f>
        <v>0</v>
      </c>
      <c r="N99" s="2409"/>
      <c r="O99" s="2409">
        <f>O54</f>
        <v>0</v>
      </c>
      <c r="P99" s="2409"/>
      <c r="Q99" s="2409">
        <f>Q54</f>
        <v>0</v>
      </c>
      <c r="R99" s="2409"/>
      <c r="S99" s="2409"/>
      <c r="T99" s="2410"/>
    </row>
    <row r="100" spans="2:20">
      <c r="B100" s="2437" t="s">
        <v>208</v>
      </c>
      <c r="C100" s="2440" t="s">
        <v>738</v>
      </c>
      <c r="D100" s="739" t="s">
        <v>209</v>
      </c>
      <c r="E100" s="739" t="s">
        <v>207</v>
      </c>
      <c r="F100" s="2431" t="s">
        <v>210</v>
      </c>
      <c r="G100" s="2431" t="s">
        <v>210</v>
      </c>
      <c r="H100" s="2431" t="s">
        <v>209</v>
      </c>
      <c r="I100" s="739" t="s">
        <v>801</v>
      </c>
      <c r="J100" s="2433" t="s">
        <v>802</v>
      </c>
      <c r="K100" s="2434"/>
      <c r="L100" s="2435"/>
      <c r="M100" s="739" t="s">
        <v>204</v>
      </c>
      <c r="N100" s="765" t="s">
        <v>260</v>
      </c>
      <c r="O100" s="1310" t="s">
        <v>270</v>
      </c>
      <c r="P100" s="2450" t="s">
        <v>212</v>
      </c>
      <c r="Q100" s="2450"/>
      <c r="R100" s="2450"/>
      <c r="S100" s="2450"/>
      <c r="T100" s="2451"/>
    </row>
    <row r="101" spans="2:20">
      <c r="B101" s="2438"/>
      <c r="C101" s="2441"/>
      <c r="D101" s="741" t="s">
        <v>214</v>
      </c>
      <c r="E101" s="741" t="s">
        <v>215</v>
      </c>
      <c r="F101" s="2432"/>
      <c r="G101" s="2432"/>
      <c r="H101" s="2432"/>
      <c r="I101" s="741" t="s">
        <v>209</v>
      </c>
      <c r="J101" s="2431" t="s">
        <v>803</v>
      </c>
      <c r="K101" s="2431" t="s">
        <v>804</v>
      </c>
      <c r="L101" s="2431" t="str">
        <f>L56</f>
        <v>Other (1)%</v>
      </c>
      <c r="M101" s="741" t="s">
        <v>217</v>
      </c>
      <c r="N101" s="766" t="s">
        <v>217</v>
      </c>
      <c r="O101" s="1311" t="s">
        <v>481</v>
      </c>
      <c r="P101" s="2452"/>
      <c r="Q101" s="2452"/>
      <c r="R101" s="2452"/>
      <c r="S101" s="2452"/>
      <c r="T101" s="2453"/>
    </row>
    <row r="102" spans="2:20">
      <c r="B102" s="2439"/>
      <c r="C102" s="2442"/>
      <c r="D102" s="740" t="str">
        <f>D57</f>
        <v xml:space="preserve">m </v>
      </c>
      <c r="E102" s="740" t="str">
        <f>D102</f>
        <v xml:space="preserve">m </v>
      </c>
      <c r="F102" s="740" t="s">
        <v>211</v>
      </c>
      <c r="G102" s="740" t="s">
        <v>739</v>
      </c>
      <c r="H102" s="742" t="str">
        <f>H57</f>
        <v>Gain</v>
      </c>
      <c r="I102" s="740" t="str">
        <f>I57</f>
        <v>m³</v>
      </c>
      <c r="J102" s="2436"/>
      <c r="K102" s="2436"/>
      <c r="L102" s="2436"/>
      <c r="M102" s="740" t="str">
        <f>M57</f>
        <v>kPa</v>
      </c>
      <c r="N102" s="767" t="str">
        <f>N57</f>
        <v>kPa</v>
      </c>
      <c r="O102" s="1312" t="str">
        <f>O57</f>
        <v>10³m³/d</v>
      </c>
      <c r="P102" s="2454"/>
      <c r="Q102" s="2454"/>
      <c r="R102" s="2454"/>
      <c r="S102" s="2454"/>
      <c r="T102" s="2455"/>
    </row>
    <row r="103" spans="2:20">
      <c r="B103" s="2425">
        <v>0</v>
      </c>
      <c r="C103" s="2411"/>
      <c r="D103" s="2411"/>
      <c r="E103" s="2411"/>
      <c r="F103" s="2419">
        <f>G99</f>
        <v>0</v>
      </c>
      <c r="G103" s="2419">
        <f>F103-G99</f>
        <v>0</v>
      </c>
      <c r="H103" s="2422">
        <f>G103*G98</f>
        <v>0</v>
      </c>
      <c r="I103" s="2422">
        <f>H103</f>
        <v>0</v>
      </c>
      <c r="J103" s="2419">
        <v>0</v>
      </c>
      <c r="K103" s="2419">
        <v>0</v>
      </c>
      <c r="L103" s="2419">
        <f>IF(H103=0,0,IF((100-J103-K103)&lt;0,0,100-J103-K103))</f>
        <v>0</v>
      </c>
      <c r="M103" s="2411"/>
      <c r="N103" s="2411"/>
      <c r="O103" s="2443"/>
      <c r="P103" s="758"/>
      <c r="Q103" s="758"/>
      <c r="R103" s="758"/>
      <c r="S103" s="758"/>
      <c r="T103" s="759"/>
    </row>
    <row r="104" spans="2:20">
      <c r="B104" s="2426"/>
      <c r="C104" s="2413"/>
      <c r="D104" s="2413"/>
      <c r="E104" s="2413"/>
      <c r="F104" s="2421"/>
      <c r="G104" s="2421"/>
      <c r="H104" s="2423"/>
      <c r="I104" s="2423"/>
      <c r="J104" s="2421"/>
      <c r="K104" s="2421"/>
      <c r="L104" s="2421"/>
      <c r="M104" s="2413"/>
      <c r="N104" s="2413"/>
      <c r="O104" s="2443"/>
      <c r="P104" s="173"/>
      <c r="Q104" s="173"/>
      <c r="R104" s="173"/>
      <c r="S104" s="173"/>
      <c r="T104" s="760"/>
    </row>
    <row r="105" spans="2:20">
      <c r="B105" s="2425"/>
      <c r="C105" s="2411"/>
      <c r="D105" s="2414"/>
      <c r="E105" s="2411"/>
      <c r="F105" s="2419">
        <f>F103</f>
        <v>0</v>
      </c>
      <c r="G105" s="2419">
        <f>F105-F103</f>
        <v>0</v>
      </c>
      <c r="H105" s="2422">
        <f>G105*G98</f>
        <v>0</v>
      </c>
      <c r="I105" s="2422">
        <f>I103+H105</f>
        <v>0</v>
      </c>
      <c r="J105" s="2419"/>
      <c r="K105" s="2419"/>
      <c r="L105" s="2419">
        <f>IF(H105=0,0,IF((100-J105-K105)&lt;0,0,100-J105-K105))</f>
        <v>0</v>
      </c>
      <c r="M105" s="2411"/>
      <c r="N105" s="2411"/>
      <c r="O105" s="2443"/>
      <c r="P105" s="758"/>
      <c r="Q105" s="758"/>
      <c r="R105" s="758"/>
      <c r="S105" s="758"/>
      <c r="T105" s="759"/>
    </row>
    <row r="106" spans="2:20">
      <c r="B106" s="2426"/>
      <c r="C106" s="2413"/>
      <c r="D106" s="2427"/>
      <c r="E106" s="2413"/>
      <c r="F106" s="2421"/>
      <c r="G106" s="2421"/>
      <c r="H106" s="2423"/>
      <c r="I106" s="2424"/>
      <c r="J106" s="2421"/>
      <c r="K106" s="2421"/>
      <c r="L106" s="2421"/>
      <c r="M106" s="2413"/>
      <c r="N106" s="2413"/>
      <c r="O106" s="2443"/>
      <c r="P106" s="173"/>
      <c r="Q106" s="173"/>
      <c r="R106" s="173"/>
      <c r="S106" s="173"/>
      <c r="T106" s="760"/>
    </row>
    <row r="107" spans="2:20">
      <c r="B107" s="2425"/>
      <c r="C107" s="2411"/>
      <c r="D107" s="2414"/>
      <c r="E107" s="2411"/>
      <c r="F107" s="2419">
        <f>F105</f>
        <v>0</v>
      </c>
      <c r="G107" s="2419">
        <f>F107-F105</f>
        <v>0</v>
      </c>
      <c r="H107" s="2422">
        <f>G107*G98</f>
        <v>0</v>
      </c>
      <c r="I107" s="2422">
        <f>I105+H107</f>
        <v>0</v>
      </c>
      <c r="J107" s="2419"/>
      <c r="K107" s="2419"/>
      <c r="L107" s="2419">
        <f>IF(H107=0,0,IF((100-J107-K107)&lt;0,0,100-J107-K107))</f>
        <v>0</v>
      </c>
      <c r="M107" s="2411"/>
      <c r="N107" s="2411"/>
      <c r="O107" s="2443"/>
      <c r="P107" s="758"/>
      <c r="Q107" s="758"/>
      <c r="R107" s="758"/>
      <c r="S107" s="758"/>
      <c r="T107" s="759"/>
    </row>
    <row r="108" spans="2:20">
      <c r="B108" s="2426"/>
      <c r="C108" s="2413"/>
      <c r="D108" s="2427"/>
      <c r="E108" s="2413"/>
      <c r="F108" s="2421"/>
      <c r="G108" s="2421"/>
      <c r="H108" s="2423"/>
      <c r="I108" s="2424"/>
      <c r="J108" s="2421"/>
      <c r="K108" s="2421"/>
      <c r="L108" s="2421"/>
      <c r="M108" s="2413"/>
      <c r="N108" s="2413"/>
      <c r="O108" s="2443"/>
      <c r="P108" s="173"/>
      <c r="Q108" s="173"/>
      <c r="R108" s="173"/>
      <c r="S108" s="173"/>
      <c r="T108" s="760"/>
    </row>
    <row r="109" spans="2:20">
      <c r="B109" s="2425"/>
      <c r="C109" s="2411"/>
      <c r="D109" s="2414"/>
      <c r="E109" s="2411"/>
      <c r="F109" s="2419">
        <f>F107</f>
        <v>0</v>
      </c>
      <c r="G109" s="2419">
        <f>F109-F107</f>
        <v>0</v>
      </c>
      <c r="H109" s="2422">
        <f>G109*G98</f>
        <v>0</v>
      </c>
      <c r="I109" s="2422">
        <f>I107+H109</f>
        <v>0</v>
      </c>
      <c r="J109" s="2419"/>
      <c r="K109" s="2419"/>
      <c r="L109" s="2419">
        <f>IF(H109=0,0,IF((100-J109-K109)&lt;0,0,100-J109-K109))</f>
        <v>0</v>
      </c>
      <c r="M109" s="2411"/>
      <c r="N109" s="2411"/>
      <c r="O109" s="2443"/>
      <c r="P109" s="758"/>
      <c r="Q109" s="758"/>
      <c r="R109" s="758"/>
      <c r="S109" s="758"/>
      <c r="T109" s="759"/>
    </row>
    <row r="110" spans="2:20">
      <c r="B110" s="2426"/>
      <c r="C110" s="2413"/>
      <c r="D110" s="2427"/>
      <c r="E110" s="2413"/>
      <c r="F110" s="2421"/>
      <c r="G110" s="2421"/>
      <c r="H110" s="2423"/>
      <c r="I110" s="2424"/>
      <c r="J110" s="2421"/>
      <c r="K110" s="2421"/>
      <c r="L110" s="2421"/>
      <c r="M110" s="2413"/>
      <c r="N110" s="2413"/>
      <c r="O110" s="2443"/>
      <c r="P110" s="173"/>
      <c r="Q110" s="173"/>
      <c r="R110" s="173"/>
      <c r="S110" s="173"/>
      <c r="T110" s="760"/>
    </row>
    <row r="111" spans="2:20">
      <c r="B111" s="2425"/>
      <c r="C111" s="2411"/>
      <c r="D111" s="2414"/>
      <c r="E111" s="2411"/>
      <c r="F111" s="2419">
        <f>F109</f>
        <v>0</v>
      </c>
      <c r="G111" s="2419">
        <f>F111-F109</f>
        <v>0</v>
      </c>
      <c r="H111" s="2422">
        <f>G111*G98</f>
        <v>0</v>
      </c>
      <c r="I111" s="2422">
        <f>I109+H111</f>
        <v>0</v>
      </c>
      <c r="J111" s="2419"/>
      <c r="K111" s="2419"/>
      <c r="L111" s="2419">
        <f>IF(H111=0,0,IF((100-J111-K111)&lt;0,0,100-J111-K111))</f>
        <v>0</v>
      </c>
      <c r="M111" s="2411"/>
      <c r="N111" s="2411"/>
      <c r="O111" s="2443"/>
      <c r="P111" s="758"/>
      <c r="Q111" s="758"/>
      <c r="R111" s="758"/>
      <c r="S111" s="758"/>
      <c r="T111" s="759"/>
    </row>
    <row r="112" spans="2:20">
      <c r="B112" s="2426"/>
      <c r="C112" s="2413"/>
      <c r="D112" s="2427"/>
      <c r="E112" s="2413"/>
      <c r="F112" s="2421"/>
      <c r="G112" s="2421"/>
      <c r="H112" s="2423"/>
      <c r="I112" s="2424"/>
      <c r="J112" s="2421"/>
      <c r="K112" s="2421"/>
      <c r="L112" s="2421"/>
      <c r="M112" s="2413"/>
      <c r="N112" s="2413"/>
      <c r="O112" s="2443"/>
      <c r="P112" s="173"/>
      <c r="Q112" s="173"/>
      <c r="R112" s="173"/>
      <c r="S112" s="173"/>
      <c r="T112" s="760"/>
    </row>
    <row r="113" spans="2:20">
      <c r="B113" s="2425"/>
      <c r="C113" s="2411"/>
      <c r="D113" s="2414"/>
      <c r="E113" s="2411"/>
      <c r="F113" s="2419">
        <f>F111</f>
        <v>0</v>
      </c>
      <c r="G113" s="2419">
        <f>F113-F111</f>
        <v>0</v>
      </c>
      <c r="H113" s="2422">
        <f>G113*G98</f>
        <v>0</v>
      </c>
      <c r="I113" s="2422">
        <f>I111+H113</f>
        <v>0</v>
      </c>
      <c r="J113" s="2419"/>
      <c r="K113" s="2419"/>
      <c r="L113" s="2419">
        <f>IF(H113=0,0,IF((100-J113-K113)&lt;0,0,100-J113-K113))</f>
        <v>0</v>
      </c>
      <c r="M113" s="2411"/>
      <c r="N113" s="2411"/>
      <c r="O113" s="2443"/>
      <c r="P113" s="758"/>
      <c r="Q113" s="758"/>
      <c r="R113" s="758"/>
      <c r="S113" s="758"/>
      <c r="T113" s="759"/>
    </row>
    <row r="114" spans="2:20">
      <c r="B114" s="2426"/>
      <c r="C114" s="2413"/>
      <c r="D114" s="2427"/>
      <c r="E114" s="2413"/>
      <c r="F114" s="2421"/>
      <c r="G114" s="2421"/>
      <c r="H114" s="2423"/>
      <c r="I114" s="2424"/>
      <c r="J114" s="2421"/>
      <c r="K114" s="2421"/>
      <c r="L114" s="2421"/>
      <c r="M114" s="2413"/>
      <c r="N114" s="2413"/>
      <c r="O114" s="2443"/>
      <c r="P114" s="173"/>
      <c r="Q114" s="173"/>
      <c r="R114" s="173"/>
      <c r="S114" s="173"/>
      <c r="T114" s="760"/>
    </row>
    <row r="115" spans="2:20">
      <c r="B115" s="2425"/>
      <c r="C115" s="2411"/>
      <c r="D115" s="2414"/>
      <c r="E115" s="2411"/>
      <c r="F115" s="2419">
        <f>F113</f>
        <v>0</v>
      </c>
      <c r="G115" s="2419">
        <f>F115-F113</f>
        <v>0</v>
      </c>
      <c r="H115" s="2422">
        <f>G115*G98</f>
        <v>0</v>
      </c>
      <c r="I115" s="2422">
        <f>I113+H115</f>
        <v>0</v>
      </c>
      <c r="J115" s="2419"/>
      <c r="K115" s="2419"/>
      <c r="L115" s="2419">
        <f>IF(H115=0,0,IF((100-J115-K115)&lt;0,0,100-J115-K115))</f>
        <v>0</v>
      </c>
      <c r="M115" s="2411"/>
      <c r="N115" s="2411"/>
      <c r="O115" s="2443"/>
      <c r="P115" s="758"/>
      <c r="Q115" s="758"/>
      <c r="R115" s="758"/>
      <c r="S115" s="758"/>
      <c r="T115" s="759"/>
    </row>
    <row r="116" spans="2:20">
      <c r="B116" s="2426"/>
      <c r="C116" s="2413"/>
      <c r="D116" s="2427"/>
      <c r="E116" s="2413"/>
      <c r="F116" s="2421"/>
      <c r="G116" s="2421"/>
      <c r="H116" s="2423"/>
      <c r="I116" s="2424"/>
      <c r="J116" s="2421"/>
      <c r="K116" s="2421"/>
      <c r="L116" s="2421"/>
      <c r="M116" s="2413"/>
      <c r="N116" s="2413"/>
      <c r="O116" s="2443"/>
      <c r="P116" s="173"/>
      <c r="Q116" s="173"/>
      <c r="R116" s="173"/>
      <c r="S116" s="173"/>
      <c r="T116" s="760"/>
    </row>
    <row r="117" spans="2:20">
      <c r="B117" s="2425"/>
      <c r="C117" s="2411"/>
      <c r="D117" s="2414"/>
      <c r="E117" s="2411"/>
      <c r="F117" s="2419">
        <f>F115</f>
        <v>0</v>
      </c>
      <c r="G117" s="2419">
        <f>F117-F115</f>
        <v>0</v>
      </c>
      <c r="H117" s="2422">
        <f>G117*G98</f>
        <v>0</v>
      </c>
      <c r="I117" s="2422">
        <f>I115+H117</f>
        <v>0</v>
      </c>
      <c r="J117" s="2419"/>
      <c r="K117" s="2419"/>
      <c r="L117" s="2419">
        <f>IF(H117=0,0,IF((100-J117-K117)&lt;0,0,100-J117-K117))</f>
        <v>0</v>
      </c>
      <c r="M117" s="2411"/>
      <c r="N117" s="2411"/>
      <c r="O117" s="2443"/>
      <c r="P117" s="758"/>
      <c r="Q117" s="758"/>
      <c r="R117" s="758"/>
      <c r="S117" s="758"/>
      <c r="T117" s="759"/>
    </row>
    <row r="118" spans="2:20">
      <c r="B118" s="2426"/>
      <c r="C118" s="2413"/>
      <c r="D118" s="2427"/>
      <c r="E118" s="2413"/>
      <c r="F118" s="2421"/>
      <c r="G118" s="2421"/>
      <c r="H118" s="2423"/>
      <c r="I118" s="2424"/>
      <c r="J118" s="2421"/>
      <c r="K118" s="2421"/>
      <c r="L118" s="2421"/>
      <c r="M118" s="2413"/>
      <c r="N118" s="2413"/>
      <c r="O118" s="2443"/>
      <c r="P118" s="173"/>
      <c r="Q118" s="173"/>
      <c r="R118" s="173"/>
      <c r="S118" s="173"/>
      <c r="T118" s="760"/>
    </row>
    <row r="119" spans="2:20">
      <c r="B119" s="2425"/>
      <c r="C119" s="2411"/>
      <c r="D119" s="2414"/>
      <c r="E119" s="2411"/>
      <c r="F119" s="2419">
        <f>F117</f>
        <v>0</v>
      </c>
      <c r="G119" s="2419">
        <f>F119-F117</f>
        <v>0</v>
      </c>
      <c r="H119" s="2422">
        <f>G119*G98</f>
        <v>0</v>
      </c>
      <c r="I119" s="2422">
        <f>I117+H119</f>
        <v>0</v>
      </c>
      <c r="J119" s="2419"/>
      <c r="K119" s="2419"/>
      <c r="L119" s="2419">
        <f>IF(H119=0,0,IF((100-J119-K119)&lt;0,0,100-J119-K119))</f>
        <v>0</v>
      </c>
      <c r="M119" s="2411"/>
      <c r="N119" s="2411"/>
      <c r="O119" s="2443"/>
      <c r="P119" s="758"/>
      <c r="Q119" s="758"/>
      <c r="R119" s="758"/>
      <c r="S119" s="758"/>
      <c r="T119" s="759"/>
    </row>
    <row r="120" spans="2:20">
      <c r="B120" s="2426"/>
      <c r="C120" s="2413"/>
      <c r="D120" s="2427"/>
      <c r="E120" s="2413"/>
      <c r="F120" s="2421"/>
      <c r="G120" s="2421"/>
      <c r="H120" s="2423"/>
      <c r="I120" s="2424"/>
      <c r="J120" s="2421"/>
      <c r="K120" s="2421"/>
      <c r="L120" s="2421"/>
      <c r="M120" s="2413"/>
      <c r="N120" s="2413"/>
      <c r="O120" s="2443"/>
      <c r="P120" s="173"/>
      <c r="Q120" s="173"/>
      <c r="R120" s="173"/>
      <c r="S120" s="173"/>
      <c r="T120" s="760"/>
    </row>
    <row r="121" spans="2:20">
      <c r="B121" s="2425"/>
      <c r="C121" s="2411"/>
      <c r="D121" s="2414"/>
      <c r="E121" s="2411"/>
      <c r="F121" s="2419">
        <f>F119</f>
        <v>0</v>
      </c>
      <c r="G121" s="2419">
        <f>F121-F119</f>
        <v>0</v>
      </c>
      <c r="H121" s="2422">
        <f>G121*G98</f>
        <v>0</v>
      </c>
      <c r="I121" s="2422">
        <f>I119+H121</f>
        <v>0</v>
      </c>
      <c r="J121" s="2419"/>
      <c r="K121" s="2419"/>
      <c r="L121" s="2419">
        <f>IF(H121=0,0,IF((100-J121-K121)&lt;0,0,100-J121-K121))</f>
        <v>0</v>
      </c>
      <c r="M121" s="2411"/>
      <c r="N121" s="2411"/>
      <c r="O121" s="2443"/>
      <c r="P121" s="758"/>
      <c r="Q121" s="758"/>
      <c r="R121" s="758"/>
      <c r="S121" s="758"/>
      <c r="T121" s="759"/>
    </row>
    <row r="122" spans="2:20">
      <c r="B122" s="2426"/>
      <c r="C122" s="2413"/>
      <c r="D122" s="2427"/>
      <c r="E122" s="2413"/>
      <c r="F122" s="2421"/>
      <c r="G122" s="2421"/>
      <c r="H122" s="2423"/>
      <c r="I122" s="2424"/>
      <c r="J122" s="2421"/>
      <c r="K122" s="2421"/>
      <c r="L122" s="2421"/>
      <c r="M122" s="2413"/>
      <c r="N122" s="2413"/>
      <c r="O122" s="2443"/>
      <c r="P122" s="173"/>
      <c r="Q122" s="173"/>
      <c r="R122" s="173"/>
      <c r="S122" s="173"/>
      <c r="T122" s="760"/>
    </row>
    <row r="123" spans="2:20">
      <c r="B123" s="2425"/>
      <c r="C123" s="2411"/>
      <c r="D123" s="2414"/>
      <c r="E123" s="2411"/>
      <c r="F123" s="2419">
        <f>F121</f>
        <v>0</v>
      </c>
      <c r="G123" s="2419">
        <f>F123-F121</f>
        <v>0</v>
      </c>
      <c r="H123" s="2422">
        <f>G123*G98</f>
        <v>0</v>
      </c>
      <c r="I123" s="2422">
        <f>I121+H123</f>
        <v>0</v>
      </c>
      <c r="J123" s="2419"/>
      <c r="K123" s="2419"/>
      <c r="L123" s="2419">
        <f>IF(H123=0,0,IF((100-J123-K123)&lt;0,0,100-J123-K123))</f>
        <v>0</v>
      </c>
      <c r="M123" s="2411"/>
      <c r="N123" s="2411"/>
      <c r="O123" s="2443"/>
      <c r="P123" s="758"/>
      <c r="Q123" s="758"/>
      <c r="R123" s="758"/>
      <c r="S123" s="758"/>
      <c r="T123" s="759"/>
    </row>
    <row r="124" spans="2:20">
      <c r="B124" s="2426"/>
      <c r="C124" s="2413"/>
      <c r="D124" s="2427"/>
      <c r="E124" s="2413"/>
      <c r="F124" s="2421"/>
      <c r="G124" s="2421"/>
      <c r="H124" s="2423"/>
      <c r="I124" s="2424"/>
      <c r="J124" s="2421"/>
      <c r="K124" s="2421"/>
      <c r="L124" s="2421"/>
      <c r="M124" s="2413"/>
      <c r="N124" s="2413"/>
      <c r="O124" s="2443"/>
      <c r="P124" s="173"/>
      <c r="Q124" s="173"/>
      <c r="R124" s="173"/>
      <c r="S124" s="173"/>
      <c r="T124" s="760"/>
    </row>
    <row r="125" spans="2:20">
      <c r="B125" s="2425"/>
      <c r="C125" s="2411"/>
      <c r="D125" s="2414"/>
      <c r="E125" s="2411"/>
      <c r="F125" s="2419">
        <f>F123</f>
        <v>0</v>
      </c>
      <c r="G125" s="2419">
        <f>F125-F123</f>
        <v>0</v>
      </c>
      <c r="H125" s="2422">
        <f>G125*G98</f>
        <v>0</v>
      </c>
      <c r="I125" s="2422">
        <f>I123+H125</f>
        <v>0</v>
      </c>
      <c r="J125" s="2419"/>
      <c r="K125" s="2419"/>
      <c r="L125" s="2419">
        <f>IF(H125=0,0,IF((100-J125-K125)&lt;0,0,100-J125-K125))</f>
        <v>0</v>
      </c>
      <c r="M125" s="2411"/>
      <c r="N125" s="2411"/>
      <c r="O125" s="2443"/>
      <c r="P125" s="758"/>
      <c r="Q125" s="758"/>
      <c r="R125" s="758"/>
      <c r="S125" s="758"/>
      <c r="T125" s="759"/>
    </row>
    <row r="126" spans="2:20">
      <c r="B126" s="2426"/>
      <c r="C126" s="2413"/>
      <c r="D126" s="2427"/>
      <c r="E126" s="2413"/>
      <c r="F126" s="2421"/>
      <c r="G126" s="2421"/>
      <c r="H126" s="2423"/>
      <c r="I126" s="2424"/>
      <c r="J126" s="2421"/>
      <c r="K126" s="2421"/>
      <c r="L126" s="2421"/>
      <c r="M126" s="2413"/>
      <c r="N126" s="2413"/>
      <c r="O126" s="2443"/>
      <c r="P126" s="173"/>
      <c r="Q126" s="173"/>
      <c r="R126" s="173"/>
      <c r="S126" s="173"/>
      <c r="T126" s="760"/>
    </row>
    <row r="127" spans="2:20">
      <c r="B127" s="2425"/>
      <c r="C127" s="2411"/>
      <c r="D127" s="2414"/>
      <c r="E127" s="2411"/>
      <c r="F127" s="2419">
        <f>F125</f>
        <v>0</v>
      </c>
      <c r="G127" s="2419">
        <f>F127-F125</f>
        <v>0</v>
      </c>
      <c r="H127" s="2422">
        <f>G127*G98</f>
        <v>0</v>
      </c>
      <c r="I127" s="2422">
        <f>I125+H127</f>
        <v>0</v>
      </c>
      <c r="J127" s="2419"/>
      <c r="K127" s="2419"/>
      <c r="L127" s="2419">
        <f>IF(H127=0,0,IF((100-J127-K127)&lt;0,0,100-J127-K127))</f>
        <v>0</v>
      </c>
      <c r="M127" s="2411"/>
      <c r="N127" s="2411"/>
      <c r="O127" s="2443"/>
      <c r="P127" s="758"/>
      <c r="Q127" s="758"/>
      <c r="R127" s="758"/>
      <c r="S127" s="758"/>
      <c r="T127" s="759"/>
    </row>
    <row r="128" spans="2:20">
      <c r="B128" s="2426"/>
      <c r="C128" s="2413"/>
      <c r="D128" s="2427"/>
      <c r="E128" s="2413"/>
      <c r="F128" s="2421"/>
      <c r="G128" s="2421"/>
      <c r="H128" s="2423"/>
      <c r="I128" s="2424"/>
      <c r="J128" s="2421"/>
      <c r="K128" s="2421"/>
      <c r="L128" s="2421"/>
      <c r="M128" s="2413"/>
      <c r="N128" s="2413"/>
      <c r="O128" s="2443"/>
      <c r="P128" s="173"/>
      <c r="Q128" s="173"/>
      <c r="R128" s="173"/>
      <c r="S128" s="173"/>
      <c r="T128" s="760"/>
    </row>
    <row r="129" spans="2:20">
      <c r="B129" s="2425"/>
      <c r="C129" s="2411"/>
      <c r="D129" s="2414"/>
      <c r="E129" s="2411"/>
      <c r="F129" s="2419">
        <f>F127</f>
        <v>0</v>
      </c>
      <c r="G129" s="2419">
        <f>F129-F127</f>
        <v>0</v>
      </c>
      <c r="H129" s="2422">
        <f>G129*G98</f>
        <v>0</v>
      </c>
      <c r="I129" s="2422">
        <f>I127+H129</f>
        <v>0</v>
      </c>
      <c r="J129" s="2419"/>
      <c r="K129" s="2419"/>
      <c r="L129" s="2419">
        <f>IF(H129=0,0,IF((100-J129-K129)&lt;0,0,100-J129-K129))</f>
        <v>0</v>
      </c>
      <c r="M129" s="2411"/>
      <c r="N129" s="2411"/>
      <c r="O129" s="2443"/>
      <c r="P129" s="758"/>
      <c r="Q129" s="758"/>
      <c r="R129" s="758"/>
      <c r="S129" s="758"/>
      <c r="T129" s="759"/>
    </row>
    <row r="130" spans="2:20">
      <c r="B130" s="2426"/>
      <c r="C130" s="2413"/>
      <c r="D130" s="2427"/>
      <c r="E130" s="2413"/>
      <c r="F130" s="2421"/>
      <c r="G130" s="2421"/>
      <c r="H130" s="2423"/>
      <c r="I130" s="2424"/>
      <c r="J130" s="2421"/>
      <c r="K130" s="2421"/>
      <c r="L130" s="2421"/>
      <c r="M130" s="2413"/>
      <c r="N130" s="2413"/>
      <c r="O130" s="2443"/>
      <c r="P130" s="173"/>
      <c r="Q130" s="173"/>
      <c r="R130" s="173"/>
      <c r="S130" s="173"/>
      <c r="T130" s="760"/>
    </row>
    <row r="131" spans="2:20">
      <c r="B131" s="2425"/>
      <c r="C131" s="2411"/>
      <c r="D131" s="2414"/>
      <c r="E131" s="2411"/>
      <c r="F131" s="2419">
        <f>F129</f>
        <v>0</v>
      </c>
      <c r="G131" s="2419">
        <f>F131-F129</f>
        <v>0</v>
      </c>
      <c r="H131" s="2422">
        <f>G131*G98</f>
        <v>0</v>
      </c>
      <c r="I131" s="2422">
        <f>I129+H131</f>
        <v>0</v>
      </c>
      <c r="J131" s="2419"/>
      <c r="K131" s="2419"/>
      <c r="L131" s="2419">
        <f>IF(H131=0,0,IF((100-J131-K131)&lt;0,0,100-J131-K131))</f>
        <v>0</v>
      </c>
      <c r="M131" s="2411"/>
      <c r="N131" s="2411"/>
      <c r="O131" s="2443"/>
      <c r="P131" s="758"/>
      <c r="Q131" s="758"/>
      <c r="R131" s="758"/>
      <c r="S131" s="758"/>
      <c r="T131" s="759"/>
    </row>
    <row r="132" spans="2:20" ht="13.75" thickBot="1">
      <c r="B132" s="2426"/>
      <c r="C132" s="2413"/>
      <c r="D132" s="2427"/>
      <c r="E132" s="2413"/>
      <c r="F132" s="2421"/>
      <c r="G132" s="2421"/>
      <c r="H132" s="2423"/>
      <c r="I132" s="2424"/>
      <c r="J132" s="2421"/>
      <c r="K132" s="2421"/>
      <c r="L132" s="2421"/>
      <c r="M132" s="2413"/>
      <c r="N132" s="2413"/>
      <c r="O132" s="2443"/>
      <c r="P132" s="173"/>
      <c r="Q132" s="173"/>
      <c r="R132" s="173"/>
      <c r="S132" s="173"/>
      <c r="T132" s="185"/>
    </row>
    <row r="133" spans="2:20">
      <c r="B133" s="2425"/>
      <c r="C133" s="2411"/>
      <c r="D133" s="2414"/>
      <c r="E133" s="2411"/>
      <c r="F133" s="2419">
        <f>F131</f>
        <v>0</v>
      </c>
      <c r="G133" s="2419">
        <f>F133-F131</f>
        <v>0</v>
      </c>
      <c r="H133" s="2422">
        <f>G133*G98</f>
        <v>0</v>
      </c>
      <c r="I133" s="2422">
        <f>I131+H133</f>
        <v>0</v>
      </c>
      <c r="J133" s="2419"/>
      <c r="K133" s="2419"/>
      <c r="L133" s="2419">
        <f>IF(H133=0,0,IF((100-J133-K133)&lt;0,0,100-J133-K133))</f>
        <v>0</v>
      </c>
      <c r="M133" s="2411"/>
      <c r="N133" s="2411"/>
      <c r="O133" s="2457"/>
      <c r="P133" s="365"/>
      <c r="Q133" s="365"/>
      <c r="R133" s="365"/>
      <c r="S133" s="365"/>
      <c r="T133" s="1087" t="str">
        <f>T88</f>
        <v>Ttl Other (1)</v>
      </c>
    </row>
    <row r="134" spans="2:20" ht="13.75" thickBot="1">
      <c r="B134" s="2430"/>
      <c r="C134" s="2412"/>
      <c r="D134" s="2415"/>
      <c r="E134" s="2412"/>
      <c r="F134" s="2420"/>
      <c r="G134" s="2420"/>
      <c r="H134" s="2428"/>
      <c r="I134" s="2429"/>
      <c r="J134" s="2420"/>
      <c r="K134" s="2420"/>
      <c r="L134" s="2420"/>
      <c r="M134" s="2412"/>
      <c r="N134" s="2412"/>
      <c r="O134" s="2458"/>
      <c r="P134" s="1313" t="s">
        <v>806</v>
      </c>
      <c r="Q134" s="1314">
        <f>((H103*K103)+(H105*K105)+(H107*K107)+(H109*K109)+(H111*K111)+(H113*K113)+(H115*K115)+(H117*K117)+(H119*K119)+(H121*K121)+(H123*K123)+(H125*K125)+(H127*K127)+(H129*K129)+(H131*K131)+(H133*K133))/100</f>
        <v>0</v>
      </c>
      <c r="R134" s="1313" t="s">
        <v>807</v>
      </c>
      <c r="S134" s="1314">
        <f>((J103*H103)+(J105*H105)+(J107*H107)+(J109*H109)+(J111*H111)+(J113*H113)+(J115*H115)+(J117*H117)+(J119*H119)+(J121*H121)+(J123*H123)+(J125*H125)+(J127*H127)+(J129*H129)+(J131*H131)+(J133*H133))/100</f>
        <v>0</v>
      </c>
      <c r="T134" s="763">
        <f>I133-Q134-S134</f>
        <v>0</v>
      </c>
    </row>
    <row r="135" spans="2:20">
      <c r="B135" s="752"/>
      <c r="C135" s="753"/>
      <c r="D135" s="753"/>
      <c r="E135" s="753"/>
      <c r="F135" s="754"/>
      <c r="G135" s="754"/>
      <c r="H135" s="755"/>
      <c r="I135" s="751"/>
      <c r="J135" s="754"/>
      <c r="K135" s="754"/>
      <c r="L135" s="754"/>
      <c r="M135" s="753"/>
      <c r="N135" s="753"/>
      <c r="O135" s="41"/>
      <c r="P135" s="756"/>
      <c r="Q135" s="41"/>
      <c r="R135" s="41"/>
      <c r="S135" s="756"/>
      <c r="T135" s="761"/>
    </row>
    <row r="136" spans="2:20" ht="13.75" thickBot="1">
      <c r="B136" s="512"/>
      <c r="C136" s="757"/>
      <c r="D136" s="513"/>
      <c r="E136" s="513"/>
      <c r="F136" s="514"/>
      <c r="G136" s="514"/>
      <c r="H136" s="515"/>
      <c r="I136" s="516"/>
      <c r="J136" s="514"/>
      <c r="K136" s="514"/>
      <c r="L136" s="514"/>
      <c r="M136" s="513"/>
      <c r="N136" s="513"/>
      <c r="O136" s="366"/>
      <c r="P136" s="366"/>
      <c r="Q136" s="366"/>
      <c r="R136" s="366"/>
      <c r="S136" s="366"/>
      <c r="T136" s="762"/>
    </row>
    <row r="137" spans="2:20">
      <c r="B137" s="2406">
        <f>Summary!A212</f>
        <v>0</v>
      </c>
      <c r="C137" s="2407"/>
      <c r="D137" s="2407"/>
      <c r="E137" s="2407"/>
      <c r="F137" s="2407"/>
      <c r="G137" s="2407"/>
      <c r="H137" s="2407"/>
      <c r="I137" s="2407"/>
      <c r="J137" s="2407"/>
      <c r="K137" s="2407"/>
      <c r="L137" s="2407"/>
      <c r="M137" s="2407"/>
      <c r="N137" s="2407"/>
      <c r="O137" s="2407"/>
      <c r="P137" s="2407"/>
      <c r="Q137" s="2407"/>
      <c r="R137" s="2407"/>
      <c r="S137" s="2407"/>
      <c r="T137" s="2408"/>
    </row>
    <row r="138" spans="2:20">
      <c r="B138" s="1790" t="s">
        <v>1453</v>
      </c>
      <c r="C138" s="1659"/>
      <c r="D138" s="1659"/>
      <c r="E138" s="1659"/>
      <c r="F138" s="1659"/>
      <c r="G138" s="1659"/>
      <c r="H138" s="1659"/>
      <c r="I138" s="1659"/>
      <c r="J138" s="1659"/>
      <c r="K138" s="1659"/>
      <c r="L138" s="1659"/>
      <c r="M138" s="1659"/>
      <c r="N138" s="1659"/>
      <c r="O138" s="1659"/>
      <c r="P138" s="1659"/>
      <c r="Q138" s="1659"/>
      <c r="R138" s="1659"/>
      <c r="S138" s="1659"/>
      <c r="T138" s="1778"/>
    </row>
    <row r="139" spans="2:20">
      <c r="B139" s="84"/>
      <c r="P139" s="120" t="s">
        <v>729</v>
      </c>
      <c r="Q139" s="4">
        <f>IF(B148&gt;0,2,0)</f>
        <v>0</v>
      </c>
      <c r="R139" s="4"/>
      <c r="S139" s="120" t="s">
        <v>730</v>
      </c>
      <c r="T139" s="133">
        <f>IF(Q139=2,2,0)</f>
        <v>0</v>
      </c>
    </row>
    <row r="140" spans="2:20">
      <c r="B140" s="84"/>
      <c r="E140"/>
      <c r="T140" s="39"/>
    </row>
    <row r="141" spans="2:20">
      <c r="B141" s="947" t="s">
        <v>634</v>
      </c>
      <c r="C141" s="23">
        <f>C96</f>
        <v>0</v>
      </c>
      <c r="T141" s="39"/>
    </row>
    <row r="142" spans="2:20">
      <c r="B142" s="84"/>
      <c r="T142" s="39"/>
    </row>
    <row r="143" spans="2:20">
      <c r="B143" s="84" t="s">
        <v>221</v>
      </c>
      <c r="C143" s="2416">
        <f>IF(Q139=2,C98,0)</f>
        <v>0</v>
      </c>
      <c r="D143" s="2416"/>
      <c r="E143" s="2000" t="s">
        <v>736</v>
      </c>
      <c r="F143" s="2000"/>
      <c r="G143" s="23">
        <f>G98</f>
        <v>0</v>
      </c>
      <c r="I143" s="1659" t="s">
        <v>737</v>
      </c>
      <c r="J143" s="1659"/>
      <c r="K143" s="168">
        <f>K98</f>
        <v>0</v>
      </c>
      <c r="N143" s="23" t="s">
        <v>660</v>
      </c>
      <c r="P143" s="23">
        <f>P98</f>
        <v>0</v>
      </c>
      <c r="T143" s="39"/>
    </row>
    <row r="144" spans="2:20">
      <c r="B144" s="84"/>
      <c r="D144" s="2417" t="s">
        <v>805</v>
      </c>
      <c r="E144" s="2417"/>
      <c r="F144" s="2417"/>
      <c r="G144" s="367">
        <f>F133</f>
        <v>0</v>
      </c>
      <c r="H144" s="2418" t="s">
        <v>1003</v>
      </c>
      <c r="I144" s="2418"/>
      <c r="J144" s="2418"/>
      <c r="K144" s="2409">
        <f>K99</f>
        <v>0</v>
      </c>
      <c r="L144" s="2409"/>
      <c r="M144" s="2409">
        <f>M99</f>
        <v>0</v>
      </c>
      <c r="N144" s="2409"/>
      <c r="O144" s="2409">
        <f>O99</f>
        <v>0</v>
      </c>
      <c r="P144" s="2409"/>
      <c r="Q144" s="2409">
        <f>Q99</f>
        <v>0</v>
      </c>
      <c r="R144" s="2409"/>
      <c r="S144" s="2409"/>
      <c r="T144" s="2410"/>
    </row>
    <row r="145" spans="2:20" ht="12.75" customHeight="1">
      <c r="B145" s="2437" t="s">
        <v>208</v>
      </c>
      <c r="C145" s="2440" t="s">
        <v>738</v>
      </c>
      <c r="D145" s="739" t="s">
        <v>209</v>
      </c>
      <c r="E145" s="739" t="s">
        <v>207</v>
      </c>
      <c r="F145" s="2431" t="s">
        <v>210</v>
      </c>
      <c r="G145" s="2431" t="s">
        <v>210</v>
      </c>
      <c r="H145" s="2431" t="s">
        <v>209</v>
      </c>
      <c r="I145" s="739" t="s">
        <v>801</v>
      </c>
      <c r="J145" s="2433" t="s">
        <v>802</v>
      </c>
      <c r="K145" s="2434"/>
      <c r="L145" s="2435"/>
      <c r="M145" s="739" t="s">
        <v>204</v>
      </c>
      <c r="N145" s="765" t="s">
        <v>260</v>
      </c>
      <c r="O145" s="1310" t="s">
        <v>270</v>
      </c>
      <c r="P145" s="2450" t="s">
        <v>212</v>
      </c>
      <c r="Q145" s="2450"/>
      <c r="R145" s="2450"/>
      <c r="S145" s="2450"/>
      <c r="T145" s="2451"/>
    </row>
    <row r="146" spans="2:20">
      <c r="B146" s="2438"/>
      <c r="C146" s="2441"/>
      <c r="D146" s="741" t="s">
        <v>214</v>
      </c>
      <c r="E146" s="741" t="s">
        <v>215</v>
      </c>
      <c r="F146" s="2432"/>
      <c r="G146" s="2432"/>
      <c r="H146" s="2432"/>
      <c r="I146" s="741" t="s">
        <v>209</v>
      </c>
      <c r="J146" s="2431" t="s">
        <v>803</v>
      </c>
      <c r="K146" s="2431" t="s">
        <v>804</v>
      </c>
      <c r="L146" s="2431" t="str">
        <f>L101</f>
        <v>Other (1)%</v>
      </c>
      <c r="M146" s="741" t="s">
        <v>217</v>
      </c>
      <c r="N146" s="766" t="s">
        <v>217</v>
      </c>
      <c r="O146" s="1311" t="s">
        <v>481</v>
      </c>
      <c r="P146" s="2452"/>
      <c r="Q146" s="2452"/>
      <c r="R146" s="2452"/>
      <c r="S146" s="2452"/>
      <c r="T146" s="2453"/>
    </row>
    <row r="147" spans="2:20">
      <c r="B147" s="2439"/>
      <c r="C147" s="2442"/>
      <c r="D147" s="740" t="str">
        <f>D102</f>
        <v xml:space="preserve">m </v>
      </c>
      <c r="E147" s="740" t="str">
        <f>D147</f>
        <v xml:space="preserve">m </v>
      </c>
      <c r="F147" s="740" t="s">
        <v>211</v>
      </c>
      <c r="G147" s="740" t="s">
        <v>739</v>
      </c>
      <c r="H147" s="742" t="str">
        <f>H102</f>
        <v>Gain</v>
      </c>
      <c r="I147" s="740" t="str">
        <f>I102</f>
        <v>m³</v>
      </c>
      <c r="J147" s="2436"/>
      <c r="K147" s="2436"/>
      <c r="L147" s="2436"/>
      <c r="M147" s="740" t="str">
        <f>M102</f>
        <v>kPa</v>
      </c>
      <c r="N147" s="767" t="str">
        <f>N102</f>
        <v>kPa</v>
      </c>
      <c r="O147" s="1312" t="str">
        <f>O102</f>
        <v>10³m³/d</v>
      </c>
      <c r="P147" s="2454"/>
      <c r="Q147" s="2454"/>
      <c r="R147" s="2454"/>
      <c r="S147" s="2454"/>
      <c r="T147" s="2455"/>
    </row>
    <row r="148" spans="2:20">
      <c r="B148" s="2425">
        <v>0</v>
      </c>
      <c r="C148" s="2411"/>
      <c r="D148" s="2411"/>
      <c r="E148" s="2411"/>
      <c r="F148" s="2419">
        <f>G144</f>
        <v>0</v>
      </c>
      <c r="G148" s="2419">
        <f>F148-G144</f>
        <v>0</v>
      </c>
      <c r="H148" s="2422">
        <f>G148*G143</f>
        <v>0</v>
      </c>
      <c r="I148" s="2422">
        <f>H148+I133</f>
        <v>0</v>
      </c>
      <c r="J148" s="2419">
        <v>0</v>
      </c>
      <c r="K148" s="2419">
        <v>0</v>
      </c>
      <c r="L148" s="2419">
        <f>IF(H148=0,0,IF((100-J148-K148)&lt;0,0,100-J148-K148))</f>
        <v>0</v>
      </c>
      <c r="M148" s="2411"/>
      <c r="N148" s="2411"/>
      <c r="O148" s="2443"/>
      <c r="P148" s="758"/>
      <c r="Q148" s="758"/>
      <c r="R148" s="758"/>
      <c r="S148" s="758"/>
      <c r="T148" s="759"/>
    </row>
    <row r="149" spans="2:20">
      <c r="B149" s="2426"/>
      <c r="C149" s="2413"/>
      <c r="D149" s="2413"/>
      <c r="E149" s="2413"/>
      <c r="F149" s="2421"/>
      <c r="G149" s="2421"/>
      <c r="H149" s="2423"/>
      <c r="I149" s="2423"/>
      <c r="J149" s="2421"/>
      <c r="K149" s="2421"/>
      <c r="L149" s="2421"/>
      <c r="M149" s="2413"/>
      <c r="N149" s="2413"/>
      <c r="O149" s="2443"/>
      <c r="P149" s="173"/>
      <c r="Q149" s="173"/>
      <c r="R149" s="173"/>
      <c r="S149" s="173"/>
      <c r="T149" s="760"/>
    </row>
    <row r="150" spans="2:20">
      <c r="B150" s="2425"/>
      <c r="C150" s="2411"/>
      <c r="D150" s="2414"/>
      <c r="E150" s="2411"/>
      <c r="F150" s="2419">
        <f>F148</f>
        <v>0</v>
      </c>
      <c r="G150" s="2419">
        <f>F150-F148</f>
        <v>0</v>
      </c>
      <c r="H150" s="2422">
        <f>G150*G143</f>
        <v>0</v>
      </c>
      <c r="I150" s="2422">
        <f>I148+H150</f>
        <v>0</v>
      </c>
      <c r="J150" s="2419"/>
      <c r="K150" s="2419"/>
      <c r="L150" s="2419">
        <f>IF(H150=0,0,IF((100-J150-K150)&lt;0,0,100-J150-K150))</f>
        <v>0</v>
      </c>
      <c r="M150" s="2411"/>
      <c r="N150" s="2411"/>
      <c r="O150" s="2443"/>
      <c r="P150" s="758"/>
      <c r="Q150" s="758"/>
      <c r="R150" s="758"/>
      <c r="S150" s="758"/>
      <c r="T150" s="759"/>
    </row>
    <row r="151" spans="2:20">
      <c r="B151" s="2426"/>
      <c r="C151" s="2413"/>
      <c r="D151" s="2427"/>
      <c r="E151" s="2413"/>
      <c r="F151" s="2421"/>
      <c r="G151" s="2421"/>
      <c r="H151" s="2423"/>
      <c r="I151" s="2424"/>
      <c r="J151" s="2421"/>
      <c r="K151" s="2421"/>
      <c r="L151" s="2421"/>
      <c r="M151" s="2413"/>
      <c r="N151" s="2413"/>
      <c r="O151" s="2443"/>
      <c r="P151" s="173"/>
      <c r="Q151" s="173"/>
      <c r="R151" s="173"/>
      <c r="S151" s="173"/>
      <c r="T151" s="760"/>
    </row>
    <row r="152" spans="2:20">
      <c r="B152" s="2425"/>
      <c r="C152" s="2411"/>
      <c r="D152" s="2414"/>
      <c r="E152" s="2411"/>
      <c r="F152" s="2419">
        <f>F150</f>
        <v>0</v>
      </c>
      <c r="G152" s="2419">
        <f>F152-F150</f>
        <v>0</v>
      </c>
      <c r="H152" s="2422">
        <f>G152*G143</f>
        <v>0</v>
      </c>
      <c r="I152" s="2422">
        <f>I150+H152</f>
        <v>0</v>
      </c>
      <c r="J152" s="2419"/>
      <c r="K152" s="2419"/>
      <c r="L152" s="2419">
        <f>IF(H152=0,0,IF((100-J152-K152)&lt;0,0,100-J152-K152))</f>
        <v>0</v>
      </c>
      <c r="M152" s="2411"/>
      <c r="N152" s="2411"/>
      <c r="O152" s="2443"/>
      <c r="P152" s="758"/>
      <c r="Q152" s="758"/>
      <c r="R152" s="758"/>
      <c r="S152" s="758"/>
      <c r="T152" s="759"/>
    </row>
    <row r="153" spans="2:20">
      <c r="B153" s="2426"/>
      <c r="C153" s="2413"/>
      <c r="D153" s="2427"/>
      <c r="E153" s="2413"/>
      <c r="F153" s="2421"/>
      <c r="G153" s="2421"/>
      <c r="H153" s="2423"/>
      <c r="I153" s="2424"/>
      <c r="J153" s="2421"/>
      <c r="K153" s="2421"/>
      <c r="L153" s="2421"/>
      <c r="M153" s="2413"/>
      <c r="N153" s="2413"/>
      <c r="O153" s="2443"/>
      <c r="P153" s="173"/>
      <c r="Q153" s="173"/>
      <c r="R153" s="173"/>
      <c r="S153" s="173"/>
      <c r="T153" s="760"/>
    </row>
    <row r="154" spans="2:20">
      <c r="B154" s="2425"/>
      <c r="C154" s="2411"/>
      <c r="D154" s="2414"/>
      <c r="E154" s="2411"/>
      <c r="F154" s="2419">
        <f>F152</f>
        <v>0</v>
      </c>
      <c r="G154" s="2419">
        <f>F154-F152</f>
        <v>0</v>
      </c>
      <c r="H154" s="2422">
        <f>G154*G143</f>
        <v>0</v>
      </c>
      <c r="I154" s="2422">
        <f>I152+H154</f>
        <v>0</v>
      </c>
      <c r="J154" s="2419"/>
      <c r="K154" s="2419"/>
      <c r="L154" s="2419">
        <f>IF(H154=0,0,IF((100-J154-K154)&lt;0,0,100-J154-K154))</f>
        <v>0</v>
      </c>
      <c r="M154" s="2411"/>
      <c r="N154" s="2411"/>
      <c r="O154" s="2443"/>
      <c r="P154" s="758"/>
      <c r="Q154" s="758"/>
      <c r="R154" s="758"/>
      <c r="S154" s="758"/>
      <c r="T154" s="759"/>
    </row>
    <row r="155" spans="2:20">
      <c r="B155" s="2426"/>
      <c r="C155" s="2413"/>
      <c r="D155" s="2427"/>
      <c r="E155" s="2413"/>
      <c r="F155" s="2421"/>
      <c r="G155" s="2421"/>
      <c r="H155" s="2423"/>
      <c r="I155" s="2424"/>
      <c r="J155" s="2421"/>
      <c r="K155" s="2421"/>
      <c r="L155" s="2421"/>
      <c r="M155" s="2413"/>
      <c r="N155" s="2413"/>
      <c r="O155" s="2443"/>
      <c r="P155" s="173"/>
      <c r="Q155" s="173"/>
      <c r="R155" s="173"/>
      <c r="S155" s="173"/>
      <c r="T155" s="760"/>
    </row>
    <row r="156" spans="2:20">
      <c r="B156" s="2425"/>
      <c r="C156" s="2411"/>
      <c r="D156" s="2414"/>
      <c r="E156" s="2411"/>
      <c r="F156" s="2419">
        <f>F154</f>
        <v>0</v>
      </c>
      <c r="G156" s="2419">
        <f>F156-F154</f>
        <v>0</v>
      </c>
      <c r="H156" s="2422">
        <f>G156*G143</f>
        <v>0</v>
      </c>
      <c r="I156" s="2422">
        <f>I154+H156</f>
        <v>0</v>
      </c>
      <c r="J156" s="2419"/>
      <c r="K156" s="2419"/>
      <c r="L156" s="2419">
        <f>IF(H156=0,0,IF((100-J156-K156)&lt;0,0,100-J156-K156))</f>
        <v>0</v>
      </c>
      <c r="M156" s="2411"/>
      <c r="N156" s="2411"/>
      <c r="O156" s="2443"/>
      <c r="P156" s="758"/>
      <c r="Q156" s="758"/>
      <c r="R156" s="758"/>
      <c r="S156" s="758"/>
      <c r="T156" s="759"/>
    </row>
    <row r="157" spans="2:20">
      <c r="B157" s="2426"/>
      <c r="C157" s="2413"/>
      <c r="D157" s="2427"/>
      <c r="E157" s="2413"/>
      <c r="F157" s="2421"/>
      <c r="G157" s="2421"/>
      <c r="H157" s="2423"/>
      <c r="I157" s="2424"/>
      <c r="J157" s="2421"/>
      <c r="K157" s="2421"/>
      <c r="L157" s="2421"/>
      <c r="M157" s="2413"/>
      <c r="N157" s="2413"/>
      <c r="O157" s="2443"/>
      <c r="P157" s="173"/>
      <c r="Q157" s="173"/>
      <c r="R157" s="173"/>
      <c r="S157" s="173"/>
      <c r="T157" s="760"/>
    </row>
    <row r="158" spans="2:20">
      <c r="B158" s="2425"/>
      <c r="C158" s="2411"/>
      <c r="D158" s="2414"/>
      <c r="E158" s="2411"/>
      <c r="F158" s="2419">
        <f>F156</f>
        <v>0</v>
      </c>
      <c r="G158" s="2419">
        <f>F158-F156</f>
        <v>0</v>
      </c>
      <c r="H158" s="2422">
        <f>G158*G143</f>
        <v>0</v>
      </c>
      <c r="I158" s="2422">
        <f>I156+H158</f>
        <v>0</v>
      </c>
      <c r="J158" s="2419"/>
      <c r="K158" s="2419"/>
      <c r="L158" s="2419">
        <f>IF(H158=0,0,IF((100-J158-K158)&lt;0,0,100-J158-K158))</f>
        <v>0</v>
      </c>
      <c r="M158" s="2411"/>
      <c r="N158" s="2411"/>
      <c r="O158" s="2443"/>
      <c r="P158" s="758"/>
      <c r="Q158" s="758"/>
      <c r="R158" s="758"/>
      <c r="S158" s="758"/>
      <c r="T158" s="759"/>
    </row>
    <row r="159" spans="2:20">
      <c r="B159" s="2426"/>
      <c r="C159" s="2413"/>
      <c r="D159" s="2427"/>
      <c r="E159" s="2413"/>
      <c r="F159" s="2421"/>
      <c r="G159" s="2421"/>
      <c r="H159" s="2423"/>
      <c r="I159" s="2424"/>
      <c r="J159" s="2421"/>
      <c r="K159" s="2421"/>
      <c r="L159" s="2421"/>
      <c r="M159" s="2413"/>
      <c r="N159" s="2413"/>
      <c r="O159" s="2443"/>
      <c r="P159" s="173"/>
      <c r="Q159" s="173"/>
      <c r="R159" s="173"/>
      <c r="S159" s="173"/>
      <c r="T159" s="760"/>
    </row>
    <row r="160" spans="2:20">
      <c r="B160" s="2425"/>
      <c r="C160" s="2411"/>
      <c r="D160" s="2414"/>
      <c r="E160" s="2411"/>
      <c r="F160" s="2419">
        <f>F158</f>
        <v>0</v>
      </c>
      <c r="G160" s="2419">
        <f>F160-F158</f>
        <v>0</v>
      </c>
      <c r="H160" s="2422">
        <f>G160*G143</f>
        <v>0</v>
      </c>
      <c r="I160" s="2422">
        <f>I158+H160</f>
        <v>0</v>
      </c>
      <c r="J160" s="2419"/>
      <c r="K160" s="2419"/>
      <c r="L160" s="2419">
        <f>IF(H160=0,0,IF((100-J160-K160)&lt;0,0,100-J160-K160))</f>
        <v>0</v>
      </c>
      <c r="M160" s="2411"/>
      <c r="N160" s="2411"/>
      <c r="O160" s="2443"/>
      <c r="P160" s="758"/>
      <c r="Q160" s="758"/>
      <c r="R160" s="758"/>
      <c r="S160" s="758"/>
      <c r="T160" s="759"/>
    </row>
    <row r="161" spans="2:20">
      <c r="B161" s="2426"/>
      <c r="C161" s="2413"/>
      <c r="D161" s="2427"/>
      <c r="E161" s="2413"/>
      <c r="F161" s="2421"/>
      <c r="G161" s="2421"/>
      <c r="H161" s="2423"/>
      <c r="I161" s="2424"/>
      <c r="J161" s="2421"/>
      <c r="K161" s="2421"/>
      <c r="L161" s="2421"/>
      <c r="M161" s="2413"/>
      <c r="N161" s="2413"/>
      <c r="O161" s="2443"/>
      <c r="P161" s="173"/>
      <c r="Q161" s="173"/>
      <c r="R161" s="173"/>
      <c r="S161" s="173"/>
      <c r="T161" s="760"/>
    </row>
    <row r="162" spans="2:20">
      <c r="B162" s="2425"/>
      <c r="C162" s="2411"/>
      <c r="D162" s="2414"/>
      <c r="E162" s="2411"/>
      <c r="F162" s="2419">
        <f>F160</f>
        <v>0</v>
      </c>
      <c r="G162" s="2419">
        <f>F162-F160</f>
        <v>0</v>
      </c>
      <c r="H162" s="2422">
        <f>G162*G143</f>
        <v>0</v>
      </c>
      <c r="I162" s="2422">
        <f>I160+H162</f>
        <v>0</v>
      </c>
      <c r="J162" s="2419"/>
      <c r="K162" s="2419"/>
      <c r="L162" s="2419">
        <f>IF(H162=0,0,IF((100-J162-K162)&lt;0,0,100-J162-K162))</f>
        <v>0</v>
      </c>
      <c r="M162" s="2411"/>
      <c r="N162" s="2411"/>
      <c r="O162" s="2443"/>
      <c r="P162" s="758"/>
      <c r="Q162" s="758"/>
      <c r="R162" s="758"/>
      <c r="S162" s="758"/>
      <c r="T162" s="759"/>
    </row>
    <row r="163" spans="2:20">
      <c r="B163" s="2426"/>
      <c r="C163" s="2413"/>
      <c r="D163" s="2427"/>
      <c r="E163" s="2413"/>
      <c r="F163" s="2421"/>
      <c r="G163" s="2421"/>
      <c r="H163" s="2423"/>
      <c r="I163" s="2424"/>
      <c r="J163" s="2421"/>
      <c r="K163" s="2421"/>
      <c r="L163" s="2421"/>
      <c r="M163" s="2413"/>
      <c r="N163" s="2413"/>
      <c r="O163" s="2443"/>
      <c r="P163" s="173"/>
      <c r="Q163" s="173"/>
      <c r="R163" s="173"/>
      <c r="S163" s="173"/>
      <c r="T163" s="760"/>
    </row>
    <row r="164" spans="2:20">
      <c r="B164" s="2425"/>
      <c r="C164" s="2411"/>
      <c r="D164" s="2414"/>
      <c r="E164" s="2411"/>
      <c r="F164" s="2419">
        <f>F162</f>
        <v>0</v>
      </c>
      <c r="G164" s="2419">
        <f>F164-F162</f>
        <v>0</v>
      </c>
      <c r="H164" s="2422">
        <f>G164*G143</f>
        <v>0</v>
      </c>
      <c r="I164" s="2422">
        <f>I162+H164</f>
        <v>0</v>
      </c>
      <c r="J164" s="2419"/>
      <c r="K164" s="2419"/>
      <c r="L164" s="2419">
        <f>IF(H164=0,0,IF((100-J164-K164)&lt;0,0,100-J164-K164))</f>
        <v>0</v>
      </c>
      <c r="M164" s="2411"/>
      <c r="N164" s="2411"/>
      <c r="O164" s="2443"/>
      <c r="P164" s="758"/>
      <c r="Q164" s="758"/>
      <c r="R164" s="758"/>
      <c r="S164" s="758"/>
      <c r="T164" s="759"/>
    </row>
    <row r="165" spans="2:20">
      <c r="B165" s="2426"/>
      <c r="C165" s="2413"/>
      <c r="D165" s="2427"/>
      <c r="E165" s="2413"/>
      <c r="F165" s="2421"/>
      <c r="G165" s="2421"/>
      <c r="H165" s="2423"/>
      <c r="I165" s="2424"/>
      <c r="J165" s="2421"/>
      <c r="K165" s="2421"/>
      <c r="L165" s="2421"/>
      <c r="M165" s="2413"/>
      <c r="N165" s="2413"/>
      <c r="O165" s="2443"/>
      <c r="P165" s="173"/>
      <c r="Q165" s="173"/>
      <c r="R165" s="173"/>
      <c r="S165" s="173"/>
      <c r="T165" s="760"/>
    </row>
    <row r="166" spans="2:20">
      <c r="B166" s="2425"/>
      <c r="C166" s="2411"/>
      <c r="D166" s="2414"/>
      <c r="E166" s="2411"/>
      <c r="F166" s="2419">
        <f>F164</f>
        <v>0</v>
      </c>
      <c r="G166" s="2419">
        <f>F166-F164</f>
        <v>0</v>
      </c>
      <c r="H166" s="2422">
        <f>G166*G143</f>
        <v>0</v>
      </c>
      <c r="I166" s="2422">
        <f>I164+H166</f>
        <v>0</v>
      </c>
      <c r="J166" s="2419"/>
      <c r="K166" s="2419"/>
      <c r="L166" s="2419">
        <f>IF(H166=0,0,IF((100-J166-K166)&lt;0,0,100-J166-K166))</f>
        <v>0</v>
      </c>
      <c r="M166" s="2411"/>
      <c r="N166" s="2411"/>
      <c r="O166" s="2443"/>
      <c r="P166" s="758"/>
      <c r="Q166" s="758"/>
      <c r="R166" s="758"/>
      <c r="S166" s="758"/>
      <c r="T166" s="759"/>
    </row>
    <row r="167" spans="2:20">
      <c r="B167" s="2426"/>
      <c r="C167" s="2413"/>
      <c r="D167" s="2427"/>
      <c r="E167" s="2413"/>
      <c r="F167" s="2421"/>
      <c r="G167" s="2421"/>
      <c r="H167" s="2423"/>
      <c r="I167" s="2424"/>
      <c r="J167" s="2421"/>
      <c r="K167" s="2421"/>
      <c r="L167" s="2421"/>
      <c r="M167" s="2413"/>
      <c r="N167" s="2413"/>
      <c r="O167" s="2443"/>
      <c r="P167" s="173"/>
      <c r="Q167" s="173"/>
      <c r="R167" s="173"/>
      <c r="S167" s="173"/>
      <c r="T167" s="760"/>
    </row>
    <row r="168" spans="2:20">
      <c r="B168" s="2425"/>
      <c r="C168" s="2411"/>
      <c r="D168" s="2414"/>
      <c r="E168" s="2411"/>
      <c r="F168" s="2419">
        <f>F166</f>
        <v>0</v>
      </c>
      <c r="G168" s="2419">
        <f>F168-F166</f>
        <v>0</v>
      </c>
      <c r="H168" s="2422">
        <f>G168*G143</f>
        <v>0</v>
      </c>
      <c r="I168" s="2422">
        <f>I166+H168</f>
        <v>0</v>
      </c>
      <c r="J168" s="2419"/>
      <c r="K168" s="2419"/>
      <c r="L168" s="2419">
        <f>IF(H168=0,0,IF((100-J168-K168)&lt;0,0,100-J168-K168))</f>
        <v>0</v>
      </c>
      <c r="M168" s="2411"/>
      <c r="N168" s="2411"/>
      <c r="O168" s="2443"/>
      <c r="P168" s="758"/>
      <c r="Q168" s="758"/>
      <c r="R168" s="758"/>
      <c r="S168" s="758"/>
      <c r="T168" s="759"/>
    </row>
    <row r="169" spans="2:20">
      <c r="B169" s="2426"/>
      <c r="C169" s="2413"/>
      <c r="D169" s="2427"/>
      <c r="E169" s="2413"/>
      <c r="F169" s="2421"/>
      <c r="G169" s="2421"/>
      <c r="H169" s="2423"/>
      <c r="I169" s="2424"/>
      <c r="J169" s="2421"/>
      <c r="K169" s="2421"/>
      <c r="L169" s="2421"/>
      <c r="M169" s="2413"/>
      <c r="N169" s="2413"/>
      <c r="O169" s="2443"/>
      <c r="P169" s="173"/>
      <c r="Q169" s="173"/>
      <c r="R169" s="173"/>
      <c r="S169" s="173"/>
      <c r="T169" s="760"/>
    </row>
    <row r="170" spans="2:20">
      <c r="B170" s="2425"/>
      <c r="C170" s="2411"/>
      <c r="D170" s="2414"/>
      <c r="E170" s="2411"/>
      <c r="F170" s="2419">
        <f>F168</f>
        <v>0</v>
      </c>
      <c r="G170" s="2419">
        <f>F170-F168</f>
        <v>0</v>
      </c>
      <c r="H170" s="2422">
        <f>G170*G143</f>
        <v>0</v>
      </c>
      <c r="I170" s="2422">
        <f>I168+H170</f>
        <v>0</v>
      </c>
      <c r="J170" s="2419"/>
      <c r="K170" s="2419"/>
      <c r="L170" s="2419">
        <f>IF(H170=0,0,IF((100-J170-K170)&lt;0,0,100-J170-K170))</f>
        <v>0</v>
      </c>
      <c r="M170" s="2411"/>
      <c r="N170" s="2411"/>
      <c r="O170" s="2443"/>
      <c r="P170" s="758"/>
      <c r="Q170" s="758"/>
      <c r="R170" s="758"/>
      <c r="S170" s="758"/>
      <c r="T170" s="759"/>
    </row>
    <row r="171" spans="2:20">
      <c r="B171" s="2426"/>
      <c r="C171" s="2413"/>
      <c r="D171" s="2427"/>
      <c r="E171" s="2413"/>
      <c r="F171" s="2421"/>
      <c r="G171" s="2421"/>
      <c r="H171" s="2423"/>
      <c r="I171" s="2424"/>
      <c r="J171" s="2421"/>
      <c r="K171" s="2421"/>
      <c r="L171" s="2421"/>
      <c r="M171" s="2413"/>
      <c r="N171" s="2413"/>
      <c r="O171" s="2443"/>
      <c r="P171" s="173"/>
      <c r="Q171" s="173"/>
      <c r="R171" s="173"/>
      <c r="S171" s="173"/>
      <c r="T171" s="760"/>
    </row>
    <row r="172" spans="2:20">
      <c r="B172" s="2425"/>
      <c r="C172" s="2411"/>
      <c r="D172" s="2414"/>
      <c r="E172" s="2411"/>
      <c r="F172" s="2419">
        <f>F170</f>
        <v>0</v>
      </c>
      <c r="G172" s="2419">
        <f>F172-F170</f>
        <v>0</v>
      </c>
      <c r="H172" s="2422">
        <f>G172*G143</f>
        <v>0</v>
      </c>
      <c r="I172" s="2422">
        <f>I170+H172</f>
        <v>0</v>
      </c>
      <c r="J172" s="2419"/>
      <c r="K172" s="2419"/>
      <c r="L172" s="2419">
        <f>IF(H172=0,0,IF((100-J172-K172)&lt;0,0,100-J172-K172))</f>
        <v>0</v>
      </c>
      <c r="M172" s="2411"/>
      <c r="N172" s="2411"/>
      <c r="O172" s="2443"/>
      <c r="P172" s="758"/>
      <c r="Q172" s="758"/>
      <c r="R172" s="758"/>
      <c r="S172" s="758"/>
      <c r="T172" s="759"/>
    </row>
    <row r="173" spans="2:20">
      <c r="B173" s="2426"/>
      <c r="C173" s="2413"/>
      <c r="D173" s="2427"/>
      <c r="E173" s="2413"/>
      <c r="F173" s="2421"/>
      <c r="G173" s="2421"/>
      <c r="H173" s="2423"/>
      <c r="I173" s="2424"/>
      <c r="J173" s="2421"/>
      <c r="K173" s="2421"/>
      <c r="L173" s="2421"/>
      <c r="M173" s="2413"/>
      <c r="N173" s="2413"/>
      <c r="O173" s="2443"/>
      <c r="P173" s="173"/>
      <c r="Q173" s="173"/>
      <c r="R173" s="173"/>
      <c r="S173" s="173"/>
      <c r="T173" s="760"/>
    </row>
    <row r="174" spans="2:20">
      <c r="B174" s="2425"/>
      <c r="C174" s="2411"/>
      <c r="D174" s="2414"/>
      <c r="E174" s="2411"/>
      <c r="F174" s="2419">
        <f>F172</f>
        <v>0</v>
      </c>
      <c r="G174" s="2419">
        <f>F174-F172</f>
        <v>0</v>
      </c>
      <c r="H174" s="2422">
        <f>G174*G143</f>
        <v>0</v>
      </c>
      <c r="I174" s="2422">
        <f>I172+H174</f>
        <v>0</v>
      </c>
      <c r="J174" s="2419"/>
      <c r="K174" s="2419"/>
      <c r="L174" s="2419">
        <f>IF(H174=0,0,IF((100-J174-K174)&lt;0,0,100-J174-K174))</f>
        <v>0</v>
      </c>
      <c r="M174" s="2411"/>
      <c r="N174" s="2411"/>
      <c r="O174" s="2443"/>
      <c r="P174" s="758"/>
      <c r="Q174" s="758"/>
      <c r="R174" s="758"/>
      <c r="S174" s="758"/>
      <c r="T174" s="759"/>
    </row>
    <row r="175" spans="2:20">
      <c r="B175" s="2426"/>
      <c r="C175" s="2413"/>
      <c r="D175" s="2427"/>
      <c r="E175" s="2413"/>
      <c r="F175" s="2421"/>
      <c r="G175" s="2421"/>
      <c r="H175" s="2423"/>
      <c r="I175" s="2424"/>
      <c r="J175" s="2421"/>
      <c r="K175" s="2421"/>
      <c r="L175" s="2421"/>
      <c r="M175" s="2413"/>
      <c r="N175" s="2413"/>
      <c r="O175" s="2443"/>
      <c r="P175" s="173"/>
      <c r="Q175" s="173"/>
      <c r="R175" s="173"/>
      <c r="S175" s="173"/>
      <c r="T175" s="760"/>
    </row>
    <row r="176" spans="2:20">
      <c r="B176" s="2425"/>
      <c r="C176" s="2411"/>
      <c r="D176" s="2414"/>
      <c r="E176" s="2411"/>
      <c r="F176" s="2419">
        <f>F174</f>
        <v>0</v>
      </c>
      <c r="G176" s="2419">
        <f>F176-F174</f>
        <v>0</v>
      </c>
      <c r="H176" s="2422">
        <f>G176*G143</f>
        <v>0</v>
      </c>
      <c r="I176" s="2422">
        <f>I174+H176</f>
        <v>0</v>
      </c>
      <c r="J176" s="2419"/>
      <c r="K176" s="2419"/>
      <c r="L176" s="2419">
        <f>IF(H176=0,0,IF((100-J176-K176)&lt;0,0,100-J176-K176))</f>
        <v>0</v>
      </c>
      <c r="M176" s="2411"/>
      <c r="N176" s="2411"/>
      <c r="O176" s="2443"/>
      <c r="P176" s="758"/>
      <c r="Q176" s="758"/>
      <c r="R176" s="758"/>
      <c r="S176" s="758"/>
      <c r="T176" s="759"/>
    </row>
    <row r="177" spans="2:20" ht="13.75" thickBot="1">
      <c r="B177" s="2426"/>
      <c r="C177" s="2413"/>
      <c r="D177" s="2427"/>
      <c r="E177" s="2413"/>
      <c r="F177" s="2421"/>
      <c r="G177" s="2421"/>
      <c r="H177" s="2423"/>
      <c r="I177" s="2424"/>
      <c r="J177" s="2421"/>
      <c r="K177" s="2421"/>
      <c r="L177" s="2421"/>
      <c r="M177" s="2413"/>
      <c r="N177" s="2413"/>
      <c r="O177" s="2443"/>
      <c r="P177" s="173"/>
      <c r="Q177" s="173"/>
      <c r="R177" s="173"/>
      <c r="S177" s="173"/>
      <c r="T177" s="185"/>
    </row>
    <row r="178" spans="2:20">
      <c r="B178" s="2425"/>
      <c r="C178" s="2411"/>
      <c r="D178" s="2414"/>
      <c r="E178" s="2411"/>
      <c r="F178" s="2419">
        <f>F176</f>
        <v>0</v>
      </c>
      <c r="G178" s="2419">
        <f>F178-F176</f>
        <v>0</v>
      </c>
      <c r="H178" s="2422">
        <f>G178*G143</f>
        <v>0</v>
      </c>
      <c r="I178" s="2422">
        <f>I176+H178</f>
        <v>0</v>
      </c>
      <c r="J178" s="2419"/>
      <c r="K178" s="2419"/>
      <c r="L178" s="2419">
        <f>IF(H178=0,0,IF((100-J178-K178)&lt;0,0,100-J178-K178))</f>
        <v>0</v>
      </c>
      <c r="M178" s="2411"/>
      <c r="N178" s="2411"/>
      <c r="O178" s="2457"/>
      <c r="P178" s="365"/>
      <c r="Q178" s="365"/>
      <c r="R178" s="365"/>
      <c r="S178" s="365"/>
      <c r="T178" s="1087" t="str">
        <f>T133</f>
        <v>Ttl Other (1)</v>
      </c>
    </row>
    <row r="179" spans="2:20" ht="13.75" thickBot="1">
      <c r="B179" s="2430"/>
      <c r="C179" s="2412"/>
      <c r="D179" s="2415"/>
      <c r="E179" s="2412"/>
      <c r="F179" s="2420"/>
      <c r="G179" s="2420"/>
      <c r="H179" s="2428"/>
      <c r="I179" s="2429"/>
      <c r="J179" s="2420"/>
      <c r="K179" s="2420"/>
      <c r="L179" s="2420"/>
      <c r="M179" s="2412"/>
      <c r="N179" s="2412"/>
      <c r="O179" s="2458"/>
      <c r="P179" s="1313" t="s">
        <v>806</v>
      </c>
      <c r="Q179" s="1314">
        <f>((H148*K148)+(H150*K150)+(H152*K152)+(H154*K154)+(H156*K156)+(H158*K158)+(H160*K160)+(H162*K162)+(H164*K164)+(H166*K166)+(H168*K168)+(H170*K170)+(H172*K172)+(H174*K174)+(H176*K176)+(H178*K178))/100+Q134</f>
        <v>0</v>
      </c>
      <c r="R179" s="1313" t="s">
        <v>807</v>
      </c>
      <c r="S179" s="1314">
        <f>((J148*H148)+(J150*H150)+(J152*H152)+(J154*H154)+(J156*H156)+(J158*H158)+(J160*H160)+(J162*H162)+(J164*H164)+(J166*H166)+(J168*H168)+(J170*H170)+(J172*H172)+(J174*H174)+(J176*H176)+(J178*H178))/100+S134</f>
        <v>0</v>
      </c>
      <c r="T179" s="763">
        <f>IF(I178=0,T134,I178-Q179-S179)</f>
        <v>0</v>
      </c>
    </row>
    <row r="180" spans="2:20">
      <c r="B180" s="752"/>
      <c r="C180" s="753"/>
      <c r="D180" s="753"/>
      <c r="E180" s="753"/>
      <c r="F180" s="754"/>
      <c r="G180" s="754"/>
      <c r="H180" s="755"/>
      <c r="I180" s="751"/>
      <c r="J180" s="754"/>
      <c r="K180" s="754"/>
      <c r="L180" s="754"/>
      <c r="M180" s="753"/>
      <c r="N180" s="753"/>
      <c r="O180" s="41"/>
      <c r="P180" s="756"/>
      <c r="Q180" s="41"/>
      <c r="R180" s="41"/>
      <c r="S180" s="756"/>
      <c r="T180" s="761"/>
    </row>
    <row r="181" spans="2:20" ht="13.75" thickBot="1">
      <c r="B181" s="512"/>
      <c r="C181" s="757"/>
      <c r="D181" s="513"/>
      <c r="E181" s="513"/>
      <c r="F181" s="514"/>
      <c r="G181" s="514"/>
      <c r="H181" s="515"/>
      <c r="I181" s="516"/>
      <c r="J181" s="514"/>
      <c r="K181" s="514"/>
      <c r="L181" s="514"/>
      <c r="M181" s="513"/>
      <c r="N181" s="513"/>
      <c r="O181" s="366"/>
      <c r="P181" s="366"/>
      <c r="Q181" s="366"/>
      <c r="R181" s="366"/>
      <c r="S181" s="366"/>
      <c r="T181" s="762"/>
    </row>
    <row r="182" spans="2:20">
      <c r="B182" s="2406">
        <f>B137</f>
        <v>0</v>
      </c>
      <c r="C182" s="2407"/>
      <c r="D182" s="2407"/>
      <c r="E182" s="2407"/>
      <c r="F182" s="2407"/>
      <c r="G182" s="2407"/>
      <c r="H182" s="2407"/>
      <c r="I182" s="2407"/>
      <c r="J182" s="2407"/>
      <c r="K182" s="2407"/>
      <c r="L182" s="2407"/>
      <c r="M182" s="2407"/>
      <c r="N182" s="2407"/>
      <c r="O182" s="2407"/>
      <c r="P182" s="2407"/>
      <c r="Q182" s="2407"/>
      <c r="R182" s="2407"/>
      <c r="S182" s="2407"/>
      <c r="T182" s="2408"/>
    </row>
    <row r="183" spans="2:20">
      <c r="B183" s="1790" t="s">
        <v>1453</v>
      </c>
      <c r="C183" s="1659"/>
      <c r="D183" s="1659"/>
      <c r="E183" s="1659"/>
      <c r="F183" s="1659"/>
      <c r="G183" s="1659"/>
      <c r="H183" s="1659"/>
      <c r="I183" s="1659"/>
      <c r="J183" s="1659"/>
      <c r="K183" s="1659"/>
      <c r="L183" s="1659"/>
      <c r="M183" s="1659"/>
      <c r="N183" s="1659"/>
      <c r="O183" s="1659"/>
      <c r="P183" s="1659"/>
      <c r="Q183" s="1659"/>
      <c r="R183" s="1659"/>
      <c r="S183" s="1659"/>
      <c r="T183" s="1778"/>
    </row>
    <row r="184" spans="2:20">
      <c r="B184" s="84"/>
      <c r="P184" s="120" t="s">
        <v>729</v>
      </c>
      <c r="Q184" s="4">
        <f>IF(B193&gt;0,1,0)</f>
        <v>0</v>
      </c>
      <c r="R184" s="4"/>
      <c r="S184" s="120" t="s">
        <v>730</v>
      </c>
      <c r="T184" s="133">
        <f>IF(T229=2,2,Q184)</f>
        <v>0</v>
      </c>
    </row>
    <row r="185" spans="2:20">
      <c r="B185" s="84"/>
      <c r="E185"/>
      <c r="T185" s="39"/>
    </row>
    <row r="186" spans="2:20">
      <c r="B186" s="947" t="s">
        <v>634</v>
      </c>
      <c r="C186" s="23">
        <f>C141</f>
        <v>0</v>
      </c>
      <c r="T186" s="39"/>
    </row>
    <row r="187" spans="2:20">
      <c r="B187" s="84"/>
      <c r="T187" s="39"/>
    </row>
    <row r="188" spans="2:20">
      <c r="B188" s="84" t="s">
        <v>221</v>
      </c>
      <c r="C188" s="2416"/>
      <c r="D188" s="2416"/>
      <c r="E188" s="2000" t="s">
        <v>736</v>
      </c>
      <c r="F188" s="2000"/>
      <c r="G188" s="23">
        <v>0</v>
      </c>
      <c r="I188" s="1659" t="s">
        <v>737</v>
      </c>
      <c r="J188" s="1659"/>
      <c r="K188" s="168">
        <f>K143</f>
        <v>0</v>
      </c>
      <c r="N188" s="23" t="s">
        <v>660</v>
      </c>
      <c r="P188" s="23">
        <f>P143</f>
        <v>0</v>
      </c>
      <c r="T188" s="39"/>
    </row>
    <row r="189" spans="2:20">
      <c r="B189" s="84"/>
      <c r="D189" s="2417" t="s">
        <v>805</v>
      </c>
      <c r="E189" s="2417"/>
      <c r="F189" s="2417"/>
      <c r="G189" s="367">
        <v>0</v>
      </c>
      <c r="H189" s="2418" t="s">
        <v>1003</v>
      </c>
      <c r="I189" s="2418"/>
      <c r="J189" s="2418"/>
      <c r="K189" s="2409">
        <f>K144</f>
        <v>0</v>
      </c>
      <c r="L189" s="2409"/>
      <c r="M189" s="2409">
        <f>M144</f>
        <v>0</v>
      </c>
      <c r="N189" s="2409"/>
      <c r="O189" s="2409">
        <f>O144</f>
        <v>0</v>
      </c>
      <c r="P189" s="2409"/>
      <c r="Q189" s="2409">
        <f>Q144</f>
        <v>0</v>
      </c>
      <c r="R189" s="2409"/>
      <c r="S189" s="2409"/>
      <c r="T189" s="2410"/>
    </row>
    <row r="190" spans="2:20" ht="12.75" customHeight="1">
      <c r="B190" s="2437" t="s">
        <v>208</v>
      </c>
      <c r="C190" s="2440" t="s">
        <v>738</v>
      </c>
      <c r="D190" s="739" t="s">
        <v>209</v>
      </c>
      <c r="E190" s="739" t="s">
        <v>207</v>
      </c>
      <c r="F190" s="2431" t="s">
        <v>210</v>
      </c>
      <c r="G190" s="2431" t="s">
        <v>210</v>
      </c>
      <c r="H190" s="2431" t="s">
        <v>209</v>
      </c>
      <c r="I190" s="739" t="s">
        <v>801</v>
      </c>
      <c r="J190" s="2433" t="s">
        <v>802</v>
      </c>
      <c r="K190" s="2434"/>
      <c r="L190" s="2435"/>
      <c r="M190" s="739" t="s">
        <v>204</v>
      </c>
      <c r="N190" s="765" t="s">
        <v>260</v>
      </c>
      <c r="O190" s="1310" t="s">
        <v>270</v>
      </c>
      <c r="P190" s="2450" t="s">
        <v>212</v>
      </c>
      <c r="Q190" s="2450"/>
      <c r="R190" s="2450"/>
      <c r="S190" s="2450"/>
      <c r="T190" s="2451"/>
    </row>
    <row r="191" spans="2:20">
      <c r="B191" s="2438"/>
      <c r="C191" s="2441"/>
      <c r="D191" s="741" t="s">
        <v>214</v>
      </c>
      <c r="E191" s="741" t="s">
        <v>215</v>
      </c>
      <c r="F191" s="2432"/>
      <c r="G191" s="2432"/>
      <c r="H191" s="2432"/>
      <c r="I191" s="741" t="s">
        <v>209</v>
      </c>
      <c r="J191" s="2431" t="s">
        <v>803</v>
      </c>
      <c r="K191" s="2431" t="s">
        <v>804</v>
      </c>
      <c r="L191" s="2431" t="str">
        <f>L146</f>
        <v>Other (1)%</v>
      </c>
      <c r="M191" s="741" t="s">
        <v>217</v>
      </c>
      <c r="N191" s="766" t="s">
        <v>217</v>
      </c>
      <c r="O191" s="1311" t="s">
        <v>481</v>
      </c>
      <c r="P191" s="2452"/>
      <c r="Q191" s="2452"/>
      <c r="R191" s="2452"/>
      <c r="S191" s="2452"/>
      <c r="T191" s="2453"/>
    </row>
    <row r="192" spans="2:20">
      <c r="B192" s="2439"/>
      <c r="C192" s="2442"/>
      <c r="D192" s="740" t="str">
        <f>D147</f>
        <v xml:space="preserve">m </v>
      </c>
      <c r="E192" s="740" t="str">
        <f>D192</f>
        <v xml:space="preserve">m </v>
      </c>
      <c r="F192" s="740" t="s">
        <v>211</v>
      </c>
      <c r="G192" s="740" t="s">
        <v>739</v>
      </c>
      <c r="H192" s="742" t="str">
        <f>H147</f>
        <v>Gain</v>
      </c>
      <c r="I192" s="740" t="str">
        <f>I147</f>
        <v>m³</v>
      </c>
      <c r="J192" s="2436"/>
      <c r="K192" s="2436"/>
      <c r="L192" s="2436"/>
      <c r="M192" s="740" t="str">
        <f>M147</f>
        <v>kPa</v>
      </c>
      <c r="N192" s="767" t="str">
        <f>N147</f>
        <v>kPa</v>
      </c>
      <c r="O192" s="1312" t="str">
        <f>O147</f>
        <v>10³m³/d</v>
      </c>
      <c r="P192" s="2454"/>
      <c r="Q192" s="2454"/>
      <c r="R192" s="2454"/>
      <c r="S192" s="2454"/>
      <c r="T192" s="2455"/>
    </row>
    <row r="193" spans="2:20">
      <c r="B193" s="2425">
        <v>0</v>
      </c>
      <c r="C193" s="2411"/>
      <c r="D193" s="2411"/>
      <c r="E193" s="2411"/>
      <c r="F193" s="2419">
        <f>G189</f>
        <v>0</v>
      </c>
      <c r="G193" s="2419">
        <f>F193-G189</f>
        <v>0</v>
      </c>
      <c r="H193" s="2422">
        <f>G193*G188</f>
        <v>0</v>
      </c>
      <c r="I193" s="2422">
        <f>H193</f>
        <v>0</v>
      </c>
      <c r="J193" s="2419"/>
      <c r="K193" s="2419"/>
      <c r="L193" s="2419">
        <f>IF(H193=0,0,IF((100-J193-K193)&lt;0,0,100-J193-K193))</f>
        <v>0</v>
      </c>
      <c r="M193" s="2411"/>
      <c r="N193" s="2411"/>
      <c r="O193" s="2443"/>
      <c r="P193" s="758"/>
      <c r="Q193" s="758"/>
      <c r="R193" s="758"/>
      <c r="S193" s="758"/>
      <c r="T193" s="759"/>
    </row>
    <row r="194" spans="2:20">
      <c r="B194" s="2426"/>
      <c r="C194" s="2413"/>
      <c r="D194" s="2413"/>
      <c r="E194" s="2413"/>
      <c r="F194" s="2421"/>
      <c r="G194" s="2421"/>
      <c r="H194" s="2423"/>
      <c r="I194" s="2423"/>
      <c r="J194" s="2421"/>
      <c r="K194" s="2421"/>
      <c r="L194" s="2421"/>
      <c r="M194" s="2413"/>
      <c r="N194" s="2413"/>
      <c r="O194" s="2443"/>
      <c r="P194" s="173"/>
      <c r="Q194" s="173"/>
      <c r="R194" s="173"/>
      <c r="S194" s="173"/>
      <c r="T194" s="760"/>
    </row>
    <row r="195" spans="2:20">
      <c r="B195" s="2425"/>
      <c r="C195" s="2411"/>
      <c r="D195" s="2414"/>
      <c r="E195" s="2411"/>
      <c r="F195" s="2419">
        <f>F193</f>
        <v>0</v>
      </c>
      <c r="G195" s="2419">
        <f>F195-F193</f>
        <v>0</v>
      </c>
      <c r="H195" s="2422">
        <f>G195*G188</f>
        <v>0</v>
      </c>
      <c r="I195" s="2422">
        <f>I193+H195</f>
        <v>0</v>
      </c>
      <c r="J195" s="2419"/>
      <c r="K195" s="2419"/>
      <c r="L195" s="2419">
        <f>IF(H195=0,0,IF((100-J195-K195)&lt;0,0,100-J195-K195))</f>
        <v>0</v>
      </c>
      <c r="M195" s="2411"/>
      <c r="N195" s="2411"/>
      <c r="O195" s="2443"/>
      <c r="P195" s="758"/>
      <c r="Q195" s="758"/>
      <c r="R195" s="758"/>
      <c r="S195" s="758"/>
      <c r="T195" s="759"/>
    </row>
    <row r="196" spans="2:20">
      <c r="B196" s="2426"/>
      <c r="C196" s="2413"/>
      <c r="D196" s="2427"/>
      <c r="E196" s="2413"/>
      <c r="F196" s="2421"/>
      <c r="G196" s="2421"/>
      <c r="H196" s="2423"/>
      <c r="I196" s="2424"/>
      <c r="J196" s="2421"/>
      <c r="K196" s="2421"/>
      <c r="L196" s="2421"/>
      <c r="M196" s="2413"/>
      <c r="N196" s="2413"/>
      <c r="O196" s="2443"/>
      <c r="P196" s="173"/>
      <c r="Q196" s="173"/>
      <c r="R196" s="173"/>
      <c r="S196" s="173"/>
      <c r="T196" s="760"/>
    </row>
    <row r="197" spans="2:20">
      <c r="B197" s="2425"/>
      <c r="C197" s="2411"/>
      <c r="D197" s="2414"/>
      <c r="E197" s="2411"/>
      <c r="F197" s="2419">
        <f>F195</f>
        <v>0</v>
      </c>
      <c r="G197" s="2419">
        <f>F197-F195</f>
        <v>0</v>
      </c>
      <c r="H197" s="2422">
        <f>G197*G188</f>
        <v>0</v>
      </c>
      <c r="I197" s="2422">
        <f>I195+H197</f>
        <v>0</v>
      </c>
      <c r="J197" s="2419"/>
      <c r="K197" s="2419"/>
      <c r="L197" s="2419">
        <f>IF(H197=0,0,IF((100-J197-K197)&lt;0,0,100-J197-K197))</f>
        <v>0</v>
      </c>
      <c r="M197" s="2411"/>
      <c r="N197" s="2411"/>
      <c r="O197" s="2443"/>
      <c r="P197" s="758"/>
      <c r="Q197" s="758"/>
      <c r="R197" s="758"/>
      <c r="S197" s="758"/>
      <c r="T197" s="759"/>
    </row>
    <row r="198" spans="2:20">
      <c r="B198" s="2426"/>
      <c r="C198" s="2413"/>
      <c r="D198" s="2427"/>
      <c r="E198" s="2413"/>
      <c r="F198" s="2421"/>
      <c r="G198" s="2421"/>
      <c r="H198" s="2423"/>
      <c r="I198" s="2424"/>
      <c r="J198" s="2421"/>
      <c r="K198" s="2421"/>
      <c r="L198" s="2421"/>
      <c r="M198" s="2413"/>
      <c r="N198" s="2413"/>
      <c r="O198" s="2443"/>
      <c r="P198" s="173"/>
      <c r="Q198" s="173"/>
      <c r="R198" s="173"/>
      <c r="S198" s="173"/>
      <c r="T198" s="760"/>
    </row>
    <row r="199" spans="2:20">
      <c r="B199" s="2425"/>
      <c r="C199" s="2411"/>
      <c r="D199" s="2414"/>
      <c r="E199" s="2411"/>
      <c r="F199" s="2419">
        <f>F197</f>
        <v>0</v>
      </c>
      <c r="G199" s="2419">
        <f>F199-F197</f>
        <v>0</v>
      </c>
      <c r="H199" s="2422">
        <f>G199*G188</f>
        <v>0</v>
      </c>
      <c r="I199" s="2422">
        <f>I197+H199</f>
        <v>0</v>
      </c>
      <c r="J199" s="2419"/>
      <c r="K199" s="2419"/>
      <c r="L199" s="2419">
        <f>IF(H199=0,0,IF((100-J199-K199)&lt;0,0,100-J199-K199))</f>
        <v>0</v>
      </c>
      <c r="M199" s="2411"/>
      <c r="N199" s="2411"/>
      <c r="O199" s="2443"/>
      <c r="P199" s="758"/>
      <c r="Q199" s="758"/>
      <c r="R199" s="758"/>
      <c r="S199" s="758"/>
      <c r="T199" s="759"/>
    </row>
    <row r="200" spans="2:20">
      <c r="B200" s="2426"/>
      <c r="C200" s="2413"/>
      <c r="D200" s="2427"/>
      <c r="E200" s="2413"/>
      <c r="F200" s="2421"/>
      <c r="G200" s="2421"/>
      <c r="H200" s="2423"/>
      <c r="I200" s="2424"/>
      <c r="J200" s="2421"/>
      <c r="K200" s="2421"/>
      <c r="L200" s="2421"/>
      <c r="M200" s="2413"/>
      <c r="N200" s="2413"/>
      <c r="O200" s="2443"/>
      <c r="P200" s="173"/>
      <c r="Q200" s="173"/>
      <c r="R200" s="173"/>
      <c r="S200" s="173"/>
      <c r="T200" s="760"/>
    </row>
    <row r="201" spans="2:20">
      <c r="B201" s="2425"/>
      <c r="C201" s="2411"/>
      <c r="D201" s="2414"/>
      <c r="E201" s="2411"/>
      <c r="F201" s="2419">
        <f>F199</f>
        <v>0</v>
      </c>
      <c r="G201" s="2419">
        <f>F201-F199</f>
        <v>0</v>
      </c>
      <c r="H201" s="2422">
        <f>G201*G188</f>
        <v>0</v>
      </c>
      <c r="I201" s="2422">
        <f>I199+H201</f>
        <v>0</v>
      </c>
      <c r="J201" s="2419"/>
      <c r="K201" s="2419"/>
      <c r="L201" s="2419">
        <f>IF(H201=0,0,IF((100-J201-K201)&lt;0,0,100-J201-K201))</f>
        <v>0</v>
      </c>
      <c r="M201" s="2411"/>
      <c r="N201" s="2411"/>
      <c r="O201" s="2443"/>
      <c r="P201" s="758"/>
      <c r="Q201" s="758"/>
      <c r="R201" s="758"/>
      <c r="S201" s="758"/>
      <c r="T201" s="759"/>
    </row>
    <row r="202" spans="2:20">
      <c r="B202" s="2426"/>
      <c r="C202" s="2413"/>
      <c r="D202" s="2427"/>
      <c r="E202" s="2413"/>
      <c r="F202" s="2421"/>
      <c r="G202" s="2421"/>
      <c r="H202" s="2423"/>
      <c r="I202" s="2424"/>
      <c r="J202" s="2421"/>
      <c r="K202" s="2421"/>
      <c r="L202" s="2421"/>
      <c r="M202" s="2413"/>
      <c r="N202" s="2413"/>
      <c r="O202" s="2443"/>
      <c r="P202" s="173"/>
      <c r="Q202" s="173"/>
      <c r="R202" s="173"/>
      <c r="S202" s="173"/>
      <c r="T202" s="760"/>
    </row>
    <row r="203" spans="2:20">
      <c r="B203" s="2425"/>
      <c r="C203" s="2411"/>
      <c r="D203" s="2414"/>
      <c r="E203" s="2411"/>
      <c r="F203" s="2419">
        <f>F201</f>
        <v>0</v>
      </c>
      <c r="G203" s="2419">
        <f>F203-F201</f>
        <v>0</v>
      </c>
      <c r="H203" s="2422">
        <f>G203*G188</f>
        <v>0</v>
      </c>
      <c r="I203" s="2422">
        <f>I201+H203</f>
        <v>0</v>
      </c>
      <c r="J203" s="2419"/>
      <c r="K203" s="2419"/>
      <c r="L203" s="2419">
        <f>IF(H203=0,0,IF((100-J203-K203)&lt;0,0,100-J203-K203))</f>
        <v>0</v>
      </c>
      <c r="M203" s="2411"/>
      <c r="N203" s="2411"/>
      <c r="O203" s="2443"/>
      <c r="P203" s="758"/>
      <c r="Q203" s="758"/>
      <c r="R203" s="758"/>
      <c r="S203" s="758"/>
      <c r="T203" s="759"/>
    </row>
    <row r="204" spans="2:20">
      <c r="B204" s="2426"/>
      <c r="C204" s="2413"/>
      <c r="D204" s="2427"/>
      <c r="E204" s="2413"/>
      <c r="F204" s="2421"/>
      <c r="G204" s="2421"/>
      <c r="H204" s="2423"/>
      <c r="I204" s="2424"/>
      <c r="J204" s="2421"/>
      <c r="K204" s="2421"/>
      <c r="L204" s="2421"/>
      <c r="M204" s="2413"/>
      <c r="N204" s="2413"/>
      <c r="O204" s="2443"/>
      <c r="P204" s="173"/>
      <c r="Q204" s="173"/>
      <c r="R204" s="173"/>
      <c r="S204" s="173"/>
      <c r="T204" s="760"/>
    </row>
    <row r="205" spans="2:20">
      <c r="B205" s="2425"/>
      <c r="C205" s="2411"/>
      <c r="D205" s="2414"/>
      <c r="E205" s="2411"/>
      <c r="F205" s="2419">
        <f>F203</f>
        <v>0</v>
      </c>
      <c r="G205" s="2419">
        <f>F205-F203</f>
        <v>0</v>
      </c>
      <c r="H205" s="2422">
        <f>G205*G188</f>
        <v>0</v>
      </c>
      <c r="I205" s="2422">
        <f>I203+H205</f>
        <v>0</v>
      </c>
      <c r="J205" s="2419"/>
      <c r="K205" s="2419"/>
      <c r="L205" s="2419">
        <f>IF(H205=0,0,IF((100-J205-K205)&lt;0,0,100-J205-K205))</f>
        <v>0</v>
      </c>
      <c r="M205" s="2411"/>
      <c r="N205" s="2411"/>
      <c r="O205" s="2443"/>
      <c r="P205" s="758"/>
      <c r="Q205" s="758"/>
      <c r="R205" s="758"/>
      <c r="S205" s="758"/>
      <c r="T205" s="759"/>
    </row>
    <row r="206" spans="2:20">
      <c r="B206" s="2426"/>
      <c r="C206" s="2413"/>
      <c r="D206" s="2427"/>
      <c r="E206" s="2413"/>
      <c r="F206" s="2421"/>
      <c r="G206" s="2421"/>
      <c r="H206" s="2423"/>
      <c r="I206" s="2424"/>
      <c r="J206" s="2421"/>
      <c r="K206" s="2421"/>
      <c r="L206" s="2421"/>
      <c r="M206" s="2413"/>
      <c r="N206" s="2413"/>
      <c r="O206" s="2443"/>
      <c r="P206" s="173"/>
      <c r="Q206" s="173"/>
      <c r="R206" s="173"/>
      <c r="S206" s="173"/>
      <c r="T206" s="760"/>
    </row>
    <row r="207" spans="2:20">
      <c r="B207" s="2425"/>
      <c r="C207" s="2411"/>
      <c r="D207" s="2414"/>
      <c r="E207" s="2411"/>
      <c r="F207" s="2419">
        <f>F205</f>
        <v>0</v>
      </c>
      <c r="G207" s="2419">
        <f>F207-F205</f>
        <v>0</v>
      </c>
      <c r="H207" s="2422">
        <f>G207*G188</f>
        <v>0</v>
      </c>
      <c r="I207" s="2422">
        <f>I205+H207</f>
        <v>0</v>
      </c>
      <c r="J207" s="2419"/>
      <c r="K207" s="2419"/>
      <c r="L207" s="2419">
        <f>IF(H207=0,0,IF((100-J207-K207)&lt;0,0,100-J207-K207))</f>
        <v>0</v>
      </c>
      <c r="M207" s="2411"/>
      <c r="N207" s="2411"/>
      <c r="O207" s="2443"/>
      <c r="P207" s="758"/>
      <c r="Q207" s="758"/>
      <c r="R207" s="758"/>
      <c r="S207" s="758"/>
      <c r="T207" s="759"/>
    </row>
    <row r="208" spans="2:20">
      <c r="B208" s="2426"/>
      <c r="C208" s="2413"/>
      <c r="D208" s="2427"/>
      <c r="E208" s="2413"/>
      <c r="F208" s="2421"/>
      <c r="G208" s="2421"/>
      <c r="H208" s="2423"/>
      <c r="I208" s="2424"/>
      <c r="J208" s="2421"/>
      <c r="K208" s="2421"/>
      <c r="L208" s="2421"/>
      <c r="M208" s="2413"/>
      <c r="N208" s="2413"/>
      <c r="O208" s="2443"/>
      <c r="P208" s="173"/>
      <c r="Q208" s="173"/>
      <c r="R208" s="173"/>
      <c r="S208" s="173"/>
      <c r="T208" s="760"/>
    </row>
    <row r="209" spans="2:20">
      <c r="B209" s="2425"/>
      <c r="C209" s="2411"/>
      <c r="D209" s="2414"/>
      <c r="E209" s="2411"/>
      <c r="F209" s="2419">
        <f>F207</f>
        <v>0</v>
      </c>
      <c r="G209" s="2419">
        <f>F209-F207</f>
        <v>0</v>
      </c>
      <c r="H209" s="2422">
        <f>G209*G188</f>
        <v>0</v>
      </c>
      <c r="I209" s="2422">
        <f>I207+H209</f>
        <v>0</v>
      </c>
      <c r="J209" s="2419"/>
      <c r="K209" s="2419"/>
      <c r="L209" s="2419">
        <f>IF(H209=0,0,IF((100-J209-K209)&lt;0,0,100-J209-K209))</f>
        <v>0</v>
      </c>
      <c r="M209" s="2411"/>
      <c r="N209" s="2411"/>
      <c r="O209" s="2443"/>
      <c r="P209" s="758"/>
      <c r="Q209" s="758"/>
      <c r="R209" s="758"/>
      <c r="S209" s="758"/>
      <c r="T209" s="759"/>
    </row>
    <row r="210" spans="2:20">
      <c r="B210" s="2426"/>
      <c r="C210" s="2413"/>
      <c r="D210" s="2427"/>
      <c r="E210" s="2413"/>
      <c r="F210" s="2421"/>
      <c r="G210" s="2421"/>
      <c r="H210" s="2423"/>
      <c r="I210" s="2424"/>
      <c r="J210" s="2421"/>
      <c r="K210" s="2421"/>
      <c r="L210" s="2421"/>
      <c r="M210" s="2413"/>
      <c r="N210" s="2413"/>
      <c r="O210" s="2443"/>
      <c r="P210" s="173"/>
      <c r="Q210" s="173"/>
      <c r="R210" s="173"/>
      <c r="S210" s="173"/>
      <c r="T210" s="760"/>
    </row>
    <row r="211" spans="2:20">
      <c r="B211" s="2425"/>
      <c r="C211" s="2411"/>
      <c r="D211" s="2414"/>
      <c r="E211" s="2411"/>
      <c r="F211" s="2419">
        <f>F209</f>
        <v>0</v>
      </c>
      <c r="G211" s="2419">
        <f>F211-F209</f>
        <v>0</v>
      </c>
      <c r="H211" s="2422">
        <f>G211*G188</f>
        <v>0</v>
      </c>
      <c r="I211" s="2422">
        <f>I209+H211</f>
        <v>0</v>
      </c>
      <c r="J211" s="2419"/>
      <c r="K211" s="2419"/>
      <c r="L211" s="2419">
        <f>IF(H211=0,0,IF((100-J211-K211)&lt;0,0,100-J211-K211))</f>
        <v>0</v>
      </c>
      <c r="M211" s="2411"/>
      <c r="N211" s="2411"/>
      <c r="O211" s="2443"/>
      <c r="P211" s="758"/>
      <c r="Q211" s="758"/>
      <c r="R211" s="758"/>
      <c r="S211" s="758"/>
      <c r="T211" s="759"/>
    </row>
    <row r="212" spans="2:20">
      <c r="B212" s="2426"/>
      <c r="C212" s="2413"/>
      <c r="D212" s="2427"/>
      <c r="E212" s="2413"/>
      <c r="F212" s="2421"/>
      <c r="G212" s="2421"/>
      <c r="H212" s="2423"/>
      <c r="I212" s="2424"/>
      <c r="J212" s="2421"/>
      <c r="K212" s="2421"/>
      <c r="L212" s="2421"/>
      <c r="M212" s="2413"/>
      <c r="N212" s="2413"/>
      <c r="O212" s="2443"/>
      <c r="P212" s="173"/>
      <c r="Q212" s="173"/>
      <c r="R212" s="173"/>
      <c r="S212" s="173"/>
      <c r="T212" s="760"/>
    </row>
    <row r="213" spans="2:20">
      <c r="B213" s="2425"/>
      <c r="C213" s="2411"/>
      <c r="D213" s="2414"/>
      <c r="E213" s="2411"/>
      <c r="F213" s="2419">
        <f>F211</f>
        <v>0</v>
      </c>
      <c r="G213" s="2419">
        <f>F213-F211</f>
        <v>0</v>
      </c>
      <c r="H213" s="2422">
        <f>G213*G188</f>
        <v>0</v>
      </c>
      <c r="I213" s="2422">
        <f>I211+H213</f>
        <v>0</v>
      </c>
      <c r="J213" s="2419"/>
      <c r="K213" s="2419"/>
      <c r="L213" s="2419">
        <f>IF(H213=0,0,IF((100-J213-K213)&lt;0,0,100-J213-K213))</f>
        <v>0</v>
      </c>
      <c r="M213" s="2411"/>
      <c r="N213" s="2411"/>
      <c r="O213" s="2443"/>
      <c r="P213" s="758"/>
      <c r="Q213" s="758"/>
      <c r="R213" s="758"/>
      <c r="S213" s="758"/>
      <c r="T213" s="759"/>
    </row>
    <row r="214" spans="2:20">
      <c r="B214" s="2426"/>
      <c r="C214" s="2413"/>
      <c r="D214" s="2427"/>
      <c r="E214" s="2413"/>
      <c r="F214" s="2421"/>
      <c r="G214" s="2421"/>
      <c r="H214" s="2423"/>
      <c r="I214" s="2424"/>
      <c r="J214" s="2421"/>
      <c r="K214" s="2421"/>
      <c r="L214" s="2421"/>
      <c r="M214" s="2413"/>
      <c r="N214" s="2413"/>
      <c r="O214" s="2443"/>
      <c r="P214" s="173"/>
      <c r="Q214" s="173"/>
      <c r="R214" s="173"/>
      <c r="S214" s="173"/>
      <c r="T214" s="760"/>
    </row>
    <row r="215" spans="2:20">
      <c r="B215" s="2425"/>
      <c r="C215" s="2411"/>
      <c r="D215" s="2414"/>
      <c r="E215" s="2411"/>
      <c r="F215" s="2419">
        <f>F213</f>
        <v>0</v>
      </c>
      <c r="G215" s="2419">
        <f>F215-F213</f>
        <v>0</v>
      </c>
      <c r="H215" s="2422">
        <f>G215*G188</f>
        <v>0</v>
      </c>
      <c r="I215" s="2422">
        <f>I213+H215</f>
        <v>0</v>
      </c>
      <c r="J215" s="2419"/>
      <c r="K215" s="2419"/>
      <c r="L215" s="2419">
        <f>IF(H215=0,0,IF((100-J215-K215)&lt;0,0,100-J215-K215))</f>
        <v>0</v>
      </c>
      <c r="M215" s="2411"/>
      <c r="N215" s="2411"/>
      <c r="O215" s="2443"/>
      <c r="P215" s="758"/>
      <c r="Q215" s="758"/>
      <c r="R215" s="758"/>
      <c r="S215" s="758"/>
      <c r="T215" s="759"/>
    </row>
    <row r="216" spans="2:20">
      <c r="B216" s="2426"/>
      <c r="C216" s="2413"/>
      <c r="D216" s="2427"/>
      <c r="E216" s="2413"/>
      <c r="F216" s="2421"/>
      <c r="G216" s="2421"/>
      <c r="H216" s="2423"/>
      <c r="I216" s="2424"/>
      <c r="J216" s="2421"/>
      <c r="K216" s="2421"/>
      <c r="L216" s="2421"/>
      <c r="M216" s="2413"/>
      <c r="N216" s="2413"/>
      <c r="O216" s="2443"/>
      <c r="P216" s="173"/>
      <c r="Q216" s="173"/>
      <c r="R216" s="173"/>
      <c r="S216" s="173"/>
      <c r="T216" s="760"/>
    </row>
    <row r="217" spans="2:20">
      <c r="B217" s="2425"/>
      <c r="C217" s="2411"/>
      <c r="D217" s="2414"/>
      <c r="E217" s="2411"/>
      <c r="F217" s="2419">
        <f>F215</f>
        <v>0</v>
      </c>
      <c r="G217" s="2419">
        <f>F217-F215</f>
        <v>0</v>
      </c>
      <c r="H217" s="2422">
        <f>G217*G188</f>
        <v>0</v>
      </c>
      <c r="I217" s="2422">
        <f>I215+H217</f>
        <v>0</v>
      </c>
      <c r="J217" s="2419"/>
      <c r="K217" s="2419"/>
      <c r="L217" s="2419">
        <f>IF(H217=0,0,IF((100-J217-K217)&lt;0,0,100-J217-K217))</f>
        <v>0</v>
      </c>
      <c r="M217" s="2411"/>
      <c r="N217" s="2411"/>
      <c r="O217" s="2443"/>
      <c r="P217" s="758"/>
      <c r="Q217" s="758"/>
      <c r="R217" s="758"/>
      <c r="S217" s="758"/>
      <c r="T217" s="759"/>
    </row>
    <row r="218" spans="2:20">
      <c r="B218" s="2426"/>
      <c r="C218" s="2413"/>
      <c r="D218" s="2427"/>
      <c r="E218" s="2413"/>
      <c r="F218" s="2421"/>
      <c r="G218" s="2421"/>
      <c r="H218" s="2423"/>
      <c r="I218" s="2424"/>
      <c r="J218" s="2421"/>
      <c r="K218" s="2421"/>
      <c r="L218" s="2421"/>
      <c r="M218" s="2413"/>
      <c r="N218" s="2413"/>
      <c r="O218" s="2443"/>
      <c r="P218" s="173"/>
      <c r="Q218" s="173"/>
      <c r="R218" s="173"/>
      <c r="S218" s="173"/>
      <c r="T218" s="760"/>
    </row>
    <row r="219" spans="2:20">
      <c r="B219" s="2425"/>
      <c r="C219" s="2411"/>
      <c r="D219" s="2414"/>
      <c r="E219" s="2411"/>
      <c r="F219" s="2419">
        <f>F217</f>
        <v>0</v>
      </c>
      <c r="G219" s="2419">
        <f>F219-F217</f>
        <v>0</v>
      </c>
      <c r="H219" s="2422">
        <f>G219*G188</f>
        <v>0</v>
      </c>
      <c r="I219" s="2422">
        <f>I217+H219</f>
        <v>0</v>
      </c>
      <c r="J219" s="2419"/>
      <c r="K219" s="2419"/>
      <c r="L219" s="2419">
        <f>IF(H219=0,0,IF((100-J219-K219)&lt;0,0,100-J219-K219))</f>
        <v>0</v>
      </c>
      <c r="M219" s="2411"/>
      <c r="N219" s="2411"/>
      <c r="O219" s="2443"/>
      <c r="P219" s="758"/>
      <c r="Q219" s="758"/>
      <c r="R219" s="758"/>
      <c r="S219" s="758"/>
      <c r="T219" s="759"/>
    </row>
    <row r="220" spans="2:20">
      <c r="B220" s="2426"/>
      <c r="C220" s="2413"/>
      <c r="D220" s="2427"/>
      <c r="E220" s="2413"/>
      <c r="F220" s="2421"/>
      <c r="G220" s="2421"/>
      <c r="H220" s="2423"/>
      <c r="I220" s="2424"/>
      <c r="J220" s="2421"/>
      <c r="K220" s="2421"/>
      <c r="L220" s="2421"/>
      <c r="M220" s="2413"/>
      <c r="N220" s="2413"/>
      <c r="O220" s="2443"/>
      <c r="P220" s="173"/>
      <c r="Q220" s="173"/>
      <c r="R220" s="173"/>
      <c r="S220" s="173"/>
      <c r="T220" s="760"/>
    </row>
    <row r="221" spans="2:20">
      <c r="B221" s="2425"/>
      <c r="C221" s="2411"/>
      <c r="D221" s="2414"/>
      <c r="E221" s="2411"/>
      <c r="F221" s="2419">
        <f>F219</f>
        <v>0</v>
      </c>
      <c r="G221" s="2419">
        <f>F221-F219</f>
        <v>0</v>
      </c>
      <c r="H221" s="2422">
        <f>G221*G188</f>
        <v>0</v>
      </c>
      <c r="I221" s="2422">
        <f>I219+H221</f>
        <v>0</v>
      </c>
      <c r="J221" s="2419"/>
      <c r="K221" s="2419"/>
      <c r="L221" s="2419">
        <f>IF(H221=0,0,IF((100-J221-K221)&lt;0,0,100-J221-K221))</f>
        <v>0</v>
      </c>
      <c r="M221" s="2411"/>
      <c r="N221" s="2411"/>
      <c r="O221" s="2443"/>
      <c r="P221" s="758"/>
      <c r="Q221" s="758"/>
      <c r="R221" s="758"/>
      <c r="S221" s="758"/>
      <c r="T221" s="759"/>
    </row>
    <row r="222" spans="2:20" ht="13.75" thickBot="1">
      <c r="B222" s="2426"/>
      <c r="C222" s="2413"/>
      <c r="D222" s="2427"/>
      <c r="E222" s="2413"/>
      <c r="F222" s="2421"/>
      <c r="G222" s="2421"/>
      <c r="H222" s="2423"/>
      <c r="I222" s="2424"/>
      <c r="J222" s="2421"/>
      <c r="K222" s="2421"/>
      <c r="L222" s="2421"/>
      <c r="M222" s="2413"/>
      <c r="N222" s="2413"/>
      <c r="O222" s="2443"/>
      <c r="P222" s="173"/>
      <c r="Q222" s="173"/>
      <c r="R222" s="173"/>
      <c r="S222" s="173"/>
      <c r="T222" s="185"/>
    </row>
    <row r="223" spans="2:20">
      <c r="B223" s="2425"/>
      <c r="C223" s="2411"/>
      <c r="D223" s="2414"/>
      <c r="E223" s="2411"/>
      <c r="F223" s="2419">
        <f>F221</f>
        <v>0</v>
      </c>
      <c r="G223" s="2419">
        <f>F223-F221</f>
        <v>0</v>
      </c>
      <c r="H223" s="2422">
        <f>G223*G188</f>
        <v>0</v>
      </c>
      <c r="I223" s="2422">
        <f>I221+H223</f>
        <v>0</v>
      </c>
      <c r="J223" s="2419"/>
      <c r="K223" s="2419"/>
      <c r="L223" s="2419">
        <f>IF(H223=0,0,IF((100-J223-K223)&lt;0,0,100-J223-K223))</f>
        <v>0</v>
      </c>
      <c r="M223" s="2411"/>
      <c r="N223" s="2411"/>
      <c r="O223" s="2457"/>
      <c r="P223" s="365"/>
      <c r="Q223" s="365"/>
      <c r="R223" s="365"/>
      <c r="S223" s="365"/>
      <c r="T223" s="1087" t="str">
        <f>T178</f>
        <v>Ttl Other (1)</v>
      </c>
    </row>
    <row r="224" spans="2:20" ht="15" customHeight="1" thickBot="1">
      <c r="B224" s="2430"/>
      <c r="C224" s="2412"/>
      <c r="D224" s="2415"/>
      <c r="E224" s="2412"/>
      <c r="F224" s="2420"/>
      <c r="G224" s="2420"/>
      <c r="H224" s="2428"/>
      <c r="I224" s="2429"/>
      <c r="J224" s="2420"/>
      <c r="K224" s="2420"/>
      <c r="L224" s="2420"/>
      <c r="M224" s="2412"/>
      <c r="N224" s="2412"/>
      <c r="O224" s="2458"/>
      <c r="P224" s="1313" t="s">
        <v>806</v>
      </c>
      <c r="Q224" s="1314">
        <f>((H193*K193)+(H195*K195)+(H197*K197)+(H199*K199)+(H201*K201)+(H203*K203)+(H205*K205)+(H207*K207)+(H209*K209)+(H211*K211)+(H213*K213)+(H215*K215)+(H217*K217)+(H219*K219)+(H221*K221)+(H223*K223))/100</f>
        <v>0</v>
      </c>
      <c r="R224" s="1313" t="s">
        <v>807</v>
      </c>
      <c r="S224" s="1314">
        <f>((J193*H193)+(J195*H195)+(J197*H197)+(J199*H199)+(J201*H201)+(J203*H203)+(J205*H205)+(J207*H207)+(J209*H209)+(J211*H211)+(J213*H213)+(J215*H215)+(J217*H217)+(J219*H219)+(J221*H221)+(J223*H223))/100</f>
        <v>0</v>
      </c>
      <c r="T224" s="763">
        <f>I223-Q224-S224</f>
        <v>0</v>
      </c>
    </row>
    <row r="225" spans="2:20">
      <c r="B225" s="752"/>
      <c r="C225" s="753"/>
      <c r="D225" s="753"/>
      <c r="E225" s="753"/>
      <c r="F225" s="754"/>
      <c r="G225" s="754"/>
      <c r="H225" s="755"/>
      <c r="I225" s="751"/>
      <c r="J225" s="754"/>
      <c r="K225" s="754"/>
      <c r="L225" s="754"/>
      <c r="M225" s="753"/>
      <c r="N225" s="753"/>
      <c r="O225" s="41"/>
      <c r="P225" s="756"/>
      <c r="Q225" s="41"/>
      <c r="R225" s="41"/>
      <c r="S225" s="756"/>
      <c r="T225" s="761"/>
    </row>
    <row r="226" spans="2:20" ht="13.75" thickBot="1">
      <c r="B226" s="512"/>
      <c r="C226" s="757"/>
      <c r="D226" s="513"/>
      <c r="E226" s="513"/>
      <c r="F226" s="514"/>
      <c r="G226" s="514"/>
      <c r="H226" s="515"/>
      <c r="I226" s="516"/>
      <c r="J226" s="514"/>
      <c r="K226" s="514"/>
      <c r="L226" s="514"/>
      <c r="M226" s="513"/>
      <c r="N226" s="513"/>
      <c r="O226" s="366"/>
      <c r="P226" s="366"/>
      <c r="Q226" s="366"/>
      <c r="R226" s="366"/>
      <c r="S226" s="366"/>
      <c r="T226" s="762"/>
    </row>
    <row r="227" spans="2:20">
      <c r="B227" s="2406">
        <f>B182</f>
        <v>0</v>
      </c>
      <c r="C227" s="2407"/>
      <c r="D227" s="2407"/>
      <c r="E227" s="2407"/>
      <c r="F227" s="2407"/>
      <c r="G227" s="2407"/>
      <c r="H227" s="2407"/>
      <c r="I227" s="2407"/>
      <c r="J227" s="2407"/>
      <c r="K227" s="2407"/>
      <c r="L227" s="2407"/>
      <c r="M227" s="2407"/>
      <c r="N227" s="2407"/>
      <c r="O227" s="2407"/>
      <c r="P227" s="2407"/>
      <c r="Q227" s="2407"/>
      <c r="R227" s="2407"/>
      <c r="S227" s="2407"/>
      <c r="T227" s="2408"/>
    </row>
    <row r="228" spans="2:20">
      <c r="B228" s="1790" t="s">
        <v>1453</v>
      </c>
      <c r="C228" s="1659"/>
      <c r="D228" s="1659"/>
      <c r="E228" s="1659"/>
      <c r="F228" s="1659"/>
      <c r="G228" s="1659"/>
      <c r="H228" s="1659"/>
      <c r="I228" s="1659"/>
      <c r="J228" s="1659"/>
      <c r="K228" s="1659"/>
      <c r="L228" s="1659"/>
      <c r="M228" s="1659"/>
      <c r="N228" s="1659"/>
      <c r="O228" s="1659"/>
      <c r="P228" s="1659"/>
      <c r="Q228" s="1659"/>
      <c r="R228" s="1659"/>
      <c r="S228" s="1659"/>
      <c r="T228" s="1778"/>
    </row>
    <row r="229" spans="2:20">
      <c r="B229" s="84"/>
      <c r="P229" s="120" t="s">
        <v>729</v>
      </c>
      <c r="Q229" s="4">
        <f>IF(B238&gt;0,2,0)</f>
        <v>0</v>
      </c>
      <c r="R229" s="4"/>
      <c r="S229" s="120" t="s">
        <v>730</v>
      </c>
      <c r="T229" s="133">
        <f>IF(Q229=2,2,0)</f>
        <v>0</v>
      </c>
    </row>
    <row r="230" spans="2:20">
      <c r="B230" s="84"/>
      <c r="E230"/>
      <c r="T230" s="39"/>
    </row>
    <row r="231" spans="2:20">
      <c r="B231" s="947" t="s">
        <v>634</v>
      </c>
      <c r="C231" s="23">
        <f>C186</f>
        <v>0</v>
      </c>
      <c r="T231" s="39"/>
    </row>
    <row r="232" spans="2:20">
      <c r="B232" s="84"/>
      <c r="T232" s="39"/>
    </row>
    <row r="233" spans="2:20">
      <c r="B233" s="84" t="s">
        <v>221</v>
      </c>
      <c r="C233" s="2416">
        <f>IF(Q229=2,C188,0)</f>
        <v>0</v>
      </c>
      <c r="D233" s="2416"/>
      <c r="E233" s="2000" t="s">
        <v>736</v>
      </c>
      <c r="F233" s="2000"/>
      <c r="G233" s="23">
        <f>G188</f>
        <v>0</v>
      </c>
      <c r="I233" s="1659" t="s">
        <v>737</v>
      </c>
      <c r="J233" s="1659"/>
      <c r="K233" s="168">
        <f>K188</f>
        <v>0</v>
      </c>
      <c r="N233" s="23" t="s">
        <v>660</v>
      </c>
      <c r="P233" s="23">
        <f>P188</f>
        <v>0</v>
      </c>
      <c r="T233" s="39"/>
    </row>
    <row r="234" spans="2:20">
      <c r="B234" s="84"/>
      <c r="D234" s="2417" t="s">
        <v>805</v>
      </c>
      <c r="E234" s="2417"/>
      <c r="F234" s="2417"/>
      <c r="G234" s="367">
        <f>F223</f>
        <v>0</v>
      </c>
      <c r="H234" s="2418" t="s">
        <v>1003</v>
      </c>
      <c r="I234" s="2418"/>
      <c r="J234" s="2418"/>
      <c r="K234" s="2409">
        <f>K189</f>
        <v>0</v>
      </c>
      <c r="L234" s="2409"/>
      <c r="M234" s="2409">
        <f>M189</f>
        <v>0</v>
      </c>
      <c r="N234" s="2409"/>
      <c r="O234" s="2409">
        <f>O189</f>
        <v>0</v>
      </c>
      <c r="P234" s="2409"/>
      <c r="Q234" s="2409">
        <f>Q189</f>
        <v>0</v>
      </c>
      <c r="R234" s="2409"/>
      <c r="S234" s="2409"/>
      <c r="T234" s="2410"/>
    </row>
    <row r="235" spans="2:20" ht="12.75" customHeight="1">
      <c r="B235" s="2437" t="s">
        <v>208</v>
      </c>
      <c r="C235" s="2440" t="s">
        <v>738</v>
      </c>
      <c r="D235" s="739" t="s">
        <v>209</v>
      </c>
      <c r="E235" s="739" t="s">
        <v>207</v>
      </c>
      <c r="F235" s="2431" t="s">
        <v>210</v>
      </c>
      <c r="G235" s="2431" t="s">
        <v>210</v>
      </c>
      <c r="H235" s="2431" t="s">
        <v>209</v>
      </c>
      <c r="I235" s="739" t="s">
        <v>801</v>
      </c>
      <c r="J235" s="2433" t="s">
        <v>802</v>
      </c>
      <c r="K235" s="2434"/>
      <c r="L235" s="2435"/>
      <c r="M235" s="739" t="s">
        <v>204</v>
      </c>
      <c r="N235" s="765" t="s">
        <v>260</v>
      </c>
      <c r="O235" s="1310" t="s">
        <v>270</v>
      </c>
      <c r="P235" s="2450" t="s">
        <v>212</v>
      </c>
      <c r="Q235" s="2450"/>
      <c r="R235" s="2450"/>
      <c r="S235" s="2450"/>
      <c r="T235" s="2451"/>
    </row>
    <row r="236" spans="2:20">
      <c r="B236" s="2438"/>
      <c r="C236" s="2441"/>
      <c r="D236" s="741" t="s">
        <v>214</v>
      </c>
      <c r="E236" s="741" t="s">
        <v>215</v>
      </c>
      <c r="F236" s="2432"/>
      <c r="G236" s="2432"/>
      <c r="H236" s="2432"/>
      <c r="I236" s="741" t="s">
        <v>209</v>
      </c>
      <c r="J236" s="2431" t="s">
        <v>803</v>
      </c>
      <c r="K236" s="2431" t="s">
        <v>804</v>
      </c>
      <c r="L236" s="2431" t="str">
        <f>L191</f>
        <v>Other (1)%</v>
      </c>
      <c r="M236" s="741" t="s">
        <v>217</v>
      </c>
      <c r="N236" s="766" t="s">
        <v>217</v>
      </c>
      <c r="O236" s="1311" t="s">
        <v>481</v>
      </c>
      <c r="P236" s="2452"/>
      <c r="Q236" s="2452"/>
      <c r="R236" s="2452"/>
      <c r="S236" s="2452"/>
      <c r="T236" s="2453"/>
    </row>
    <row r="237" spans="2:20">
      <c r="B237" s="2439"/>
      <c r="C237" s="2442"/>
      <c r="D237" s="740" t="str">
        <f>D192</f>
        <v xml:space="preserve">m </v>
      </c>
      <c r="E237" s="740" t="str">
        <f>D237</f>
        <v xml:space="preserve">m </v>
      </c>
      <c r="F237" s="740" t="s">
        <v>211</v>
      </c>
      <c r="G237" s="740" t="s">
        <v>739</v>
      </c>
      <c r="H237" s="742" t="str">
        <f>H192</f>
        <v>Gain</v>
      </c>
      <c r="I237" s="740" t="str">
        <f>I192</f>
        <v>m³</v>
      </c>
      <c r="J237" s="2436"/>
      <c r="K237" s="2436"/>
      <c r="L237" s="2436"/>
      <c r="M237" s="740" t="str">
        <f>M192</f>
        <v>kPa</v>
      </c>
      <c r="N237" s="767" t="str">
        <f>N192</f>
        <v>kPa</v>
      </c>
      <c r="O237" s="1312" t="str">
        <f>O192</f>
        <v>10³m³/d</v>
      </c>
      <c r="P237" s="2454"/>
      <c r="Q237" s="2454"/>
      <c r="R237" s="2454"/>
      <c r="S237" s="2454"/>
      <c r="T237" s="2455"/>
    </row>
    <row r="238" spans="2:20">
      <c r="B238" s="2425">
        <v>0</v>
      </c>
      <c r="C238" s="2411"/>
      <c r="D238" s="2411"/>
      <c r="E238" s="2411"/>
      <c r="F238" s="2419">
        <f>G234</f>
        <v>0</v>
      </c>
      <c r="G238" s="2419">
        <f>F238-G234</f>
        <v>0</v>
      </c>
      <c r="H238" s="2422">
        <f>G238*G233</f>
        <v>0</v>
      </c>
      <c r="I238" s="2422">
        <f>H238+I223</f>
        <v>0</v>
      </c>
      <c r="J238" s="2419"/>
      <c r="K238" s="2419"/>
      <c r="L238" s="2419">
        <f>IF(H238=0,0,IF((100-J238-K238)&lt;0,0,100-J238-K238))</f>
        <v>0</v>
      </c>
      <c r="M238" s="2411"/>
      <c r="N238" s="2411"/>
      <c r="O238" s="2443"/>
      <c r="P238" s="758"/>
      <c r="Q238" s="758"/>
      <c r="R238" s="758"/>
      <c r="S238" s="758"/>
      <c r="T238" s="759"/>
    </row>
    <row r="239" spans="2:20">
      <c r="B239" s="2426"/>
      <c r="C239" s="2413"/>
      <c r="D239" s="2413"/>
      <c r="E239" s="2413"/>
      <c r="F239" s="2421"/>
      <c r="G239" s="2421"/>
      <c r="H239" s="2423"/>
      <c r="I239" s="2423"/>
      <c r="J239" s="2421"/>
      <c r="K239" s="2421"/>
      <c r="L239" s="2421"/>
      <c r="M239" s="2413"/>
      <c r="N239" s="2413"/>
      <c r="O239" s="2443"/>
      <c r="P239" s="173"/>
      <c r="Q239" s="173"/>
      <c r="R239" s="173"/>
      <c r="S239" s="173"/>
      <c r="T239" s="760"/>
    </row>
    <row r="240" spans="2:20">
      <c r="B240" s="2425"/>
      <c r="C240" s="2411"/>
      <c r="D240" s="2414"/>
      <c r="E240" s="2411"/>
      <c r="F240" s="2419">
        <f>F238</f>
        <v>0</v>
      </c>
      <c r="G240" s="2419">
        <f>F240-F238</f>
        <v>0</v>
      </c>
      <c r="H240" s="2422">
        <f>G240*G233</f>
        <v>0</v>
      </c>
      <c r="I240" s="2422">
        <f>I238+H240</f>
        <v>0</v>
      </c>
      <c r="J240" s="2419"/>
      <c r="K240" s="2419"/>
      <c r="L240" s="2419">
        <f>IF(H240=0,0,IF((100-J240-K240)&lt;0,0,100-J240-K240))</f>
        <v>0</v>
      </c>
      <c r="M240" s="2411"/>
      <c r="N240" s="2411"/>
      <c r="O240" s="2443"/>
      <c r="P240" s="758"/>
      <c r="Q240" s="758"/>
      <c r="R240" s="758"/>
      <c r="S240" s="758"/>
      <c r="T240" s="759"/>
    </row>
    <row r="241" spans="2:20">
      <c r="B241" s="2426"/>
      <c r="C241" s="2413"/>
      <c r="D241" s="2427"/>
      <c r="E241" s="2413"/>
      <c r="F241" s="2421"/>
      <c r="G241" s="2421"/>
      <c r="H241" s="2423"/>
      <c r="I241" s="2424"/>
      <c r="J241" s="2421"/>
      <c r="K241" s="2421"/>
      <c r="L241" s="2421"/>
      <c r="M241" s="2413"/>
      <c r="N241" s="2413"/>
      <c r="O241" s="2443"/>
      <c r="P241" s="173"/>
      <c r="Q241" s="173"/>
      <c r="R241" s="173"/>
      <c r="S241" s="173"/>
      <c r="T241" s="760"/>
    </row>
    <row r="242" spans="2:20">
      <c r="B242" s="2425"/>
      <c r="C242" s="2411"/>
      <c r="D242" s="2414"/>
      <c r="E242" s="2411"/>
      <c r="F242" s="2419">
        <f>F240</f>
        <v>0</v>
      </c>
      <c r="G242" s="2419">
        <f>F242-F240</f>
        <v>0</v>
      </c>
      <c r="H242" s="2422">
        <f>G242*G233</f>
        <v>0</v>
      </c>
      <c r="I242" s="2422">
        <f>I240+H242</f>
        <v>0</v>
      </c>
      <c r="J242" s="2419"/>
      <c r="K242" s="2419"/>
      <c r="L242" s="2419">
        <f>IF(H242=0,0,IF((100-J242-K242)&lt;0,0,100-J242-K242))</f>
        <v>0</v>
      </c>
      <c r="M242" s="2411"/>
      <c r="N242" s="2411"/>
      <c r="O242" s="2443"/>
      <c r="P242" s="758"/>
      <c r="Q242" s="758"/>
      <c r="R242" s="758"/>
      <c r="S242" s="758"/>
      <c r="T242" s="759"/>
    </row>
    <row r="243" spans="2:20">
      <c r="B243" s="2426"/>
      <c r="C243" s="2413"/>
      <c r="D243" s="2427"/>
      <c r="E243" s="2413"/>
      <c r="F243" s="2421"/>
      <c r="G243" s="2421"/>
      <c r="H243" s="2423"/>
      <c r="I243" s="2424"/>
      <c r="J243" s="2421"/>
      <c r="K243" s="2421"/>
      <c r="L243" s="2421"/>
      <c r="M243" s="2413"/>
      <c r="N243" s="2413"/>
      <c r="O243" s="2443"/>
      <c r="P243" s="173"/>
      <c r="Q243" s="173"/>
      <c r="R243" s="173"/>
      <c r="S243" s="173"/>
      <c r="T243" s="760"/>
    </row>
    <row r="244" spans="2:20">
      <c r="B244" s="2425"/>
      <c r="C244" s="2411"/>
      <c r="D244" s="2414"/>
      <c r="E244" s="2411"/>
      <c r="F244" s="2419">
        <f>F242</f>
        <v>0</v>
      </c>
      <c r="G244" s="2419">
        <f>F244-F242</f>
        <v>0</v>
      </c>
      <c r="H244" s="2422">
        <f>G244*G233</f>
        <v>0</v>
      </c>
      <c r="I244" s="2422">
        <f>I242+H244</f>
        <v>0</v>
      </c>
      <c r="J244" s="2419"/>
      <c r="K244" s="2419"/>
      <c r="L244" s="2419">
        <f>IF(H244=0,0,IF((100-J244-K244)&lt;0,0,100-J244-K244))</f>
        <v>0</v>
      </c>
      <c r="M244" s="2411"/>
      <c r="N244" s="2411"/>
      <c r="O244" s="2443"/>
      <c r="P244" s="758"/>
      <c r="Q244" s="758"/>
      <c r="R244" s="758"/>
      <c r="S244" s="758"/>
      <c r="T244" s="759"/>
    </row>
    <row r="245" spans="2:20">
      <c r="B245" s="2426"/>
      <c r="C245" s="2413"/>
      <c r="D245" s="2427"/>
      <c r="E245" s="2413"/>
      <c r="F245" s="2421"/>
      <c r="G245" s="2421"/>
      <c r="H245" s="2423"/>
      <c r="I245" s="2424"/>
      <c r="J245" s="2421"/>
      <c r="K245" s="2421"/>
      <c r="L245" s="2421"/>
      <c r="M245" s="2413"/>
      <c r="N245" s="2413"/>
      <c r="O245" s="2443"/>
      <c r="P245" s="173"/>
      <c r="Q245" s="173"/>
      <c r="R245" s="173"/>
      <c r="S245" s="173"/>
      <c r="T245" s="760"/>
    </row>
    <row r="246" spans="2:20">
      <c r="B246" s="2425"/>
      <c r="C246" s="2411"/>
      <c r="D246" s="2414"/>
      <c r="E246" s="2411"/>
      <c r="F246" s="2419">
        <f>F244</f>
        <v>0</v>
      </c>
      <c r="G246" s="2419">
        <f>F246-F244</f>
        <v>0</v>
      </c>
      <c r="H246" s="2422">
        <f>G246*G233</f>
        <v>0</v>
      </c>
      <c r="I246" s="2422">
        <f>I244+H246</f>
        <v>0</v>
      </c>
      <c r="J246" s="2419"/>
      <c r="K246" s="2419"/>
      <c r="L246" s="2419">
        <f>IF(H246=0,0,IF((100-J246-K246)&lt;0,0,100-J246-K246))</f>
        <v>0</v>
      </c>
      <c r="M246" s="2411"/>
      <c r="N246" s="2411"/>
      <c r="O246" s="2443"/>
      <c r="P246" s="758"/>
      <c r="Q246" s="758"/>
      <c r="R246" s="758"/>
      <c r="S246" s="758"/>
      <c r="T246" s="759"/>
    </row>
    <row r="247" spans="2:20">
      <c r="B247" s="2426"/>
      <c r="C247" s="2413"/>
      <c r="D247" s="2427"/>
      <c r="E247" s="2413"/>
      <c r="F247" s="2421"/>
      <c r="G247" s="2421"/>
      <c r="H247" s="2423"/>
      <c r="I247" s="2424"/>
      <c r="J247" s="2421"/>
      <c r="K247" s="2421"/>
      <c r="L247" s="2421"/>
      <c r="M247" s="2413"/>
      <c r="N247" s="2413"/>
      <c r="O247" s="2443"/>
      <c r="P247" s="173"/>
      <c r="Q247" s="173"/>
      <c r="R247" s="173"/>
      <c r="S247" s="173"/>
      <c r="T247" s="760"/>
    </row>
    <row r="248" spans="2:20">
      <c r="B248" s="2425"/>
      <c r="C248" s="2411"/>
      <c r="D248" s="2414"/>
      <c r="E248" s="2411"/>
      <c r="F248" s="2419">
        <f>F246</f>
        <v>0</v>
      </c>
      <c r="G248" s="2419">
        <f>F248-F246</f>
        <v>0</v>
      </c>
      <c r="H248" s="2422">
        <f>G248*G233</f>
        <v>0</v>
      </c>
      <c r="I248" s="2422">
        <f>I246+H248</f>
        <v>0</v>
      </c>
      <c r="J248" s="2419"/>
      <c r="K248" s="2419"/>
      <c r="L248" s="2419">
        <f>IF(H248=0,0,IF((100-J248-K248)&lt;0,0,100-J248-K248))</f>
        <v>0</v>
      </c>
      <c r="M248" s="2411"/>
      <c r="N248" s="2411"/>
      <c r="O248" s="2443"/>
      <c r="P248" s="758"/>
      <c r="Q248" s="758"/>
      <c r="R248" s="758"/>
      <c r="S248" s="758"/>
      <c r="T248" s="759"/>
    </row>
    <row r="249" spans="2:20">
      <c r="B249" s="2426"/>
      <c r="C249" s="2413"/>
      <c r="D249" s="2427"/>
      <c r="E249" s="2413"/>
      <c r="F249" s="2421"/>
      <c r="G249" s="2421"/>
      <c r="H249" s="2423"/>
      <c r="I249" s="2424"/>
      <c r="J249" s="2421"/>
      <c r="K249" s="2421"/>
      <c r="L249" s="2421"/>
      <c r="M249" s="2413"/>
      <c r="N249" s="2413"/>
      <c r="O249" s="2443"/>
      <c r="P249" s="173"/>
      <c r="Q249" s="173"/>
      <c r="R249" s="173"/>
      <c r="S249" s="173"/>
      <c r="T249" s="760"/>
    </row>
    <row r="250" spans="2:20">
      <c r="B250" s="2425"/>
      <c r="C250" s="2411"/>
      <c r="D250" s="2414"/>
      <c r="E250" s="2411"/>
      <c r="F250" s="2419">
        <f>F248</f>
        <v>0</v>
      </c>
      <c r="G250" s="2419">
        <f>F250-F248</f>
        <v>0</v>
      </c>
      <c r="H250" s="2422">
        <f>G250*G233</f>
        <v>0</v>
      </c>
      <c r="I250" s="2422">
        <f>I248+H250</f>
        <v>0</v>
      </c>
      <c r="J250" s="2419"/>
      <c r="K250" s="2419"/>
      <c r="L250" s="2419">
        <f>IF(H250=0,0,IF((100-J250-K250)&lt;0,0,100-J250-K250))</f>
        <v>0</v>
      </c>
      <c r="M250" s="2411"/>
      <c r="N250" s="2411"/>
      <c r="O250" s="2443"/>
      <c r="P250" s="758"/>
      <c r="Q250" s="758"/>
      <c r="R250" s="758"/>
      <c r="S250" s="758"/>
      <c r="T250" s="759"/>
    </row>
    <row r="251" spans="2:20">
      <c r="B251" s="2426"/>
      <c r="C251" s="2413"/>
      <c r="D251" s="2427"/>
      <c r="E251" s="2413"/>
      <c r="F251" s="2421"/>
      <c r="G251" s="2421"/>
      <c r="H251" s="2423"/>
      <c r="I251" s="2424"/>
      <c r="J251" s="2421"/>
      <c r="K251" s="2421"/>
      <c r="L251" s="2421"/>
      <c r="M251" s="2413"/>
      <c r="N251" s="2413"/>
      <c r="O251" s="2443"/>
      <c r="P251" s="173"/>
      <c r="Q251" s="173"/>
      <c r="R251" s="173"/>
      <c r="S251" s="173"/>
      <c r="T251" s="760"/>
    </row>
    <row r="252" spans="2:20">
      <c r="B252" s="2425"/>
      <c r="C252" s="2411"/>
      <c r="D252" s="2414"/>
      <c r="E252" s="2411"/>
      <c r="F252" s="2419">
        <f>F250</f>
        <v>0</v>
      </c>
      <c r="G252" s="2419">
        <f>F252-F250</f>
        <v>0</v>
      </c>
      <c r="H252" s="2422">
        <f>G252*G233</f>
        <v>0</v>
      </c>
      <c r="I252" s="2422">
        <f>I250+H252</f>
        <v>0</v>
      </c>
      <c r="J252" s="2419"/>
      <c r="K252" s="2419"/>
      <c r="L252" s="2419">
        <f>IF(H252=0,0,IF((100-J252-K252)&lt;0,0,100-J252-K252))</f>
        <v>0</v>
      </c>
      <c r="M252" s="2411"/>
      <c r="N252" s="2411"/>
      <c r="O252" s="2443"/>
      <c r="P252" s="758"/>
      <c r="Q252" s="758"/>
      <c r="R252" s="758"/>
      <c r="S252" s="758"/>
      <c r="T252" s="759"/>
    </row>
    <row r="253" spans="2:20">
      <c r="B253" s="2426"/>
      <c r="C253" s="2413"/>
      <c r="D253" s="2427"/>
      <c r="E253" s="2413"/>
      <c r="F253" s="2421"/>
      <c r="G253" s="2421"/>
      <c r="H253" s="2423"/>
      <c r="I253" s="2424"/>
      <c r="J253" s="2421"/>
      <c r="K253" s="2421"/>
      <c r="L253" s="2421"/>
      <c r="M253" s="2413"/>
      <c r="N253" s="2413"/>
      <c r="O253" s="2443"/>
      <c r="P253" s="173"/>
      <c r="Q253" s="173"/>
      <c r="R253" s="173"/>
      <c r="S253" s="173"/>
      <c r="T253" s="760"/>
    </row>
    <row r="254" spans="2:20">
      <c r="B254" s="2425"/>
      <c r="C254" s="2411"/>
      <c r="D254" s="2414"/>
      <c r="E254" s="2411"/>
      <c r="F254" s="2419">
        <f>F252</f>
        <v>0</v>
      </c>
      <c r="G254" s="2419">
        <f>F254-F252</f>
        <v>0</v>
      </c>
      <c r="H254" s="2422">
        <f>G254*G233</f>
        <v>0</v>
      </c>
      <c r="I254" s="2422">
        <f>I252+H254</f>
        <v>0</v>
      </c>
      <c r="J254" s="2419"/>
      <c r="K254" s="2419"/>
      <c r="L254" s="2419">
        <f>IF(H254=0,0,IF((100-J254-K254)&lt;0,0,100-J254-K254))</f>
        <v>0</v>
      </c>
      <c r="M254" s="2411"/>
      <c r="N254" s="2411"/>
      <c r="O254" s="2443"/>
      <c r="P254" s="758"/>
      <c r="Q254" s="758"/>
      <c r="R254" s="758"/>
      <c r="S254" s="758"/>
      <c r="T254" s="759"/>
    </row>
    <row r="255" spans="2:20">
      <c r="B255" s="2426"/>
      <c r="C255" s="2413"/>
      <c r="D255" s="2427"/>
      <c r="E255" s="2413"/>
      <c r="F255" s="2421"/>
      <c r="G255" s="2421"/>
      <c r="H255" s="2423"/>
      <c r="I255" s="2424"/>
      <c r="J255" s="2421"/>
      <c r="K255" s="2421"/>
      <c r="L255" s="2421"/>
      <c r="M255" s="2413"/>
      <c r="N255" s="2413"/>
      <c r="O255" s="2443"/>
      <c r="P255" s="173"/>
      <c r="Q255" s="173"/>
      <c r="R255" s="173"/>
      <c r="S255" s="173"/>
      <c r="T255" s="760"/>
    </row>
    <row r="256" spans="2:20">
      <c r="B256" s="2425"/>
      <c r="C256" s="2411"/>
      <c r="D256" s="2414"/>
      <c r="E256" s="2411"/>
      <c r="F256" s="2419">
        <f>F254</f>
        <v>0</v>
      </c>
      <c r="G256" s="2419">
        <f>F256-F254</f>
        <v>0</v>
      </c>
      <c r="H256" s="2422">
        <f>G256*G233</f>
        <v>0</v>
      </c>
      <c r="I256" s="2422">
        <f>I254+H256</f>
        <v>0</v>
      </c>
      <c r="J256" s="2419"/>
      <c r="K256" s="2419"/>
      <c r="L256" s="2419">
        <f>IF(H256=0,0,IF((100-J256-K256)&lt;0,0,100-J256-K256))</f>
        <v>0</v>
      </c>
      <c r="M256" s="2411"/>
      <c r="N256" s="2411"/>
      <c r="O256" s="2443"/>
      <c r="P256" s="758"/>
      <c r="Q256" s="758"/>
      <c r="R256" s="758"/>
      <c r="S256" s="758"/>
      <c r="T256" s="759"/>
    </row>
    <row r="257" spans="2:20">
      <c r="B257" s="2426"/>
      <c r="C257" s="2413"/>
      <c r="D257" s="2427"/>
      <c r="E257" s="2413"/>
      <c r="F257" s="2421"/>
      <c r="G257" s="2421"/>
      <c r="H257" s="2423"/>
      <c r="I257" s="2424"/>
      <c r="J257" s="2421"/>
      <c r="K257" s="2421"/>
      <c r="L257" s="2421"/>
      <c r="M257" s="2413"/>
      <c r="N257" s="2413"/>
      <c r="O257" s="2443"/>
      <c r="P257" s="173"/>
      <c r="Q257" s="173"/>
      <c r="R257" s="173"/>
      <c r="S257" s="173"/>
      <c r="T257" s="760"/>
    </row>
    <row r="258" spans="2:20">
      <c r="B258" s="2425"/>
      <c r="C258" s="2411"/>
      <c r="D258" s="2414"/>
      <c r="E258" s="2411"/>
      <c r="F258" s="2419">
        <f>F256</f>
        <v>0</v>
      </c>
      <c r="G258" s="2419">
        <f>F258-F256</f>
        <v>0</v>
      </c>
      <c r="H258" s="2422">
        <f>G258*G233</f>
        <v>0</v>
      </c>
      <c r="I258" s="2422">
        <f>I256+H258</f>
        <v>0</v>
      </c>
      <c r="J258" s="2419"/>
      <c r="K258" s="2419"/>
      <c r="L258" s="2419">
        <f>IF(H258=0,0,IF((100-J258-K258)&lt;0,0,100-J258-K258))</f>
        <v>0</v>
      </c>
      <c r="M258" s="2411"/>
      <c r="N258" s="2411"/>
      <c r="O258" s="2443"/>
      <c r="P258" s="758"/>
      <c r="Q258" s="758"/>
      <c r="R258" s="758"/>
      <c r="S258" s="758"/>
      <c r="T258" s="759"/>
    </row>
    <row r="259" spans="2:20">
      <c r="B259" s="2426"/>
      <c r="C259" s="2413"/>
      <c r="D259" s="2427"/>
      <c r="E259" s="2413"/>
      <c r="F259" s="2421"/>
      <c r="G259" s="2421"/>
      <c r="H259" s="2423"/>
      <c r="I259" s="2424"/>
      <c r="J259" s="2421"/>
      <c r="K259" s="2421"/>
      <c r="L259" s="2421"/>
      <c r="M259" s="2413"/>
      <c r="N259" s="2413"/>
      <c r="O259" s="2443"/>
      <c r="P259" s="173"/>
      <c r="Q259" s="173"/>
      <c r="R259" s="173"/>
      <c r="S259" s="173"/>
      <c r="T259" s="760"/>
    </row>
    <row r="260" spans="2:20">
      <c r="B260" s="2425"/>
      <c r="C260" s="2411"/>
      <c r="D260" s="2414"/>
      <c r="E260" s="2411"/>
      <c r="F260" s="2419">
        <f>F258</f>
        <v>0</v>
      </c>
      <c r="G260" s="2419">
        <f>F260-F258</f>
        <v>0</v>
      </c>
      <c r="H260" s="2422">
        <f>G260*G233</f>
        <v>0</v>
      </c>
      <c r="I260" s="2422">
        <f>I258+H260</f>
        <v>0</v>
      </c>
      <c r="J260" s="2419"/>
      <c r="K260" s="2419"/>
      <c r="L260" s="2419">
        <f>IF(H260=0,0,IF((100-J260-K260)&lt;0,0,100-J260-K260))</f>
        <v>0</v>
      </c>
      <c r="M260" s="2411"/>
      <c r="N260" s="2411"/>
      <c r="O260" s="2443"/>
      <c r="P260" s="758"/>
      <c r="Q260" s="758"/>
      <c r="R260" s="758"/>
      <c r="S260" s="758"/>
      <c r="T260" s="759"/>
    </row>
    <row r="261" spans="2:20">
      <c r="B261" s="2426"/>
      <c r="C261" s="2413"/>
      <c r="D261" s="2427"/>
      <c r="E261" s="2413"/>
      <c r="F261" s="2421"/>
      <c r="G261" s="2421"/>
      <c r="H261" s="2423"/>
      <c r="I261" s="2424"/>
      <c r="J261" s="2421"/>
      <c r="K261" s="2421"/>
      <c r="L261" s="2421"/>
      <c r="M261" s="2413"/>
      <c r="N261" s="2413"/>
      <c r="O261" s="2443"/>
      <c r="P261" s="173"/>
      <c r="Q261" s="173"/>
      <c r="R261" s="173"/>
      <c r="S261" s="173"/>
      <c r="T261" s="760"/>
    </row>
    <row r="262" spans="2:20">
      <c r="B262" s="2425"/>
      <c r="C262" s="2411"/>
      <c r="D262" s="2414"/>
      <c r="E262" s="2411"/>
      <c r="F262" s="2419">
        <f>F260</f>
        <v>0</v>
      </c>
      <c r="G262" s="2419">
        <f>F262-F260</f>
        <v>0</v>
      </c>
      <c r="H262" s="2422">
        <f>G262*G233</f>
        <v>0</v>
      </c>
      <c r="I262" s="2422">
        <f>I260+H262</f>
        <v>0</v>
      </c>
      <c r="J262" s="2419"/>
      <c r="K262" s="2419"/>
      <c r="L262" s="2419">
        <f>IF(H262=0,0,IF((100-J262-K262)&lt;0,0,100-J262-K262))</f>
        <v>0</v>
      </c>
      <c r="M262" s="2411"/>
      <c r="N262" s="2411"/>
      <c r="O262" s="2443"/>
      <c r="P262" s="758"/>
      <c r="Q262" s="758"/>
      <c r="R262" s="758"/>
      <c r="S262" s="758"/>
      <c r="T262" s="759"/>
    </row>
    <row r="263" spans="2:20">
      <c r="B263" s="2426"/>
      <c r="C263" s="2413"/>
      <c r="D263" s="2427"/>
      <c r="E263" s="2413"/>
      <c r="F263" s="2421"/>
      <c r="G263" s="2421"/>
      <c r="H263" s="2423"/>
      <c r="I263" s="2424"/>
      <c r="J263" s="2421"/>
      <c r="K263" s="2421"/>
      <c r="L263" s="2421"/>
      <c r="M263" s="2413"/>
      <c r="N263" s="2413"/>
      <c r="O263" s="2443"/>
      <c r="P263" s="173"/>
      <c r="Q263" s="173"/>
      <c r="R263" s="173"/>
      <c r="S263" s="173"/>
      <c r="T263" s="760"/>
    </row>
    <row r="264" spans="2:20">
      <c r="B264" s="2425"/>
      <c r="C264" s="2411"/>
      <c r="D264" s="2414"/>
      <c r="E264" s="2411"/>
      <c r="F264" s="2419">
        <f>F262</f>
        <v>0</v>
      </c>
      <c r="G264" s="2419">
        <f>F264-F262</f>
        <v>0</v>
      </c>
      <c r="H264" s="2422">
        <f>G264*G233</f>
        <v>0</v>
      </c>
      <c r="I264" s="2422">
        <f>I262+H264</f>
        <v>0</v>
      </c>
      <c r="J264" s="2419"/>
      <c r="K264" s="2419"/>
      <c r="L264" s="2419">
        <f>IF(H264=0,0,IF((100-J264-K264)&lt;0,0,100-J264-K264))</f>
        <v>0</v>
      </c>
      <c r="M264" s="2411"/>
      <c r="N264" s="2411"/>
      <c r="O264" s="2443"/>
      <c r="P264" s="758"/>
      <c r="Q264" s="758"/>
      <c r="R264" s="758"/>
      <c r="S264" s="758"/>
      <c r="T264" s="759"/>
    </row>
    <row r="265" spans="2:20">
      <c r="B265" s="2426"/>
      <c r="C265" s="2413"/>
      <c r="D265" s="2427"/>
      <c r="E265" s="2413"/>
      <c r="F265" s="2421"/>
      <c r="G265" s="2421"/>
      <c r="H265" s="2423"/>
      <c r="I265" s="2424"/>
      <c r="J265" s="2421"/>
      <c r="K265" s="2421"/>
      <c r="L265" s="2421"/>
      <c r="M265" s="2413"/>
      <c r="N265" s="2413"/>
      <c r="O265" s="2443"/>
      <c r="P265" s="173"/>
      <c r="Q265" s="173"/>
      <c r="R265" s="173"/>
      <c r="S265" s="173"/>
      <c r="T265" s="760"/>
    </row>
    <row r="266" spans="2:20">
      <c r="B266" s="2425"/>
      <c r="C266" s="2411"/>
      <c r="D266" s="2414"/>
      <c r="E266" s="2411"/>
      <c r="F266" s="2419">
        <f>F264</f>
        <v>0</v>
      </c>
      <c r="G266" s="2419">
        <f>F266-F264</f>
        <v>0</v>
      </c>
      <c r="H266" s="2422">
        <f>G266*G233</f>
        <v>0</v>
      </c>
      <c r="I266" s="2422">
        <f>I264+H266</f>
        <v>0</v>
      </c>
      <c r="J266" s="2419"/>
      <c r="K266" s="2419"/>
      <c r="L266" s="2419">
        <f>IF(H266=0,0,IF((100-J266-K266)&lt;0,0,100-J266-K266))</f>
        <v>0</v>
      </c>
      <c r="M266" s="2411"/>
      <c r="N266" s="2411"/>
      <c r="O266" s="2443"/>
      <c r="P266" s="758"/>
      <c r="Q266" s="758"/>
      <c r="R266" s="758"/>
      <c r="S266" s="758"/>
      <c r="T266" s="759"/>
    </row>
    <row r="267" spans="2:20" ht="13.75" thickBot="1">
      <c r="B267" s="2426"/>
      <c r="C267" s="2413"/>
      <c r="D267" s="2427"/>
      <c r="E267" s="2413"/>
      <c r="F267" s="2421"/>
      <c r="G267" s="2421"/>
      <c r="H267" s="2423"/>
      <c r="I267" s="2424"/>
      <c r="J267" s="2421"/>
      <c r="K267" s="2421"/>
      <c r="L267" s="2421"/>
      <c r="M267" s="2413"/>
      <c r="N267" s="2413"/>
      <c r="O267" s="2443"/>
      <c r="P267" s="173"/>
      <c r="Q267" s="173"/>
      <c r="R267" s="173"/>
      <c r="S267" s="173"/>
      <c r="T267" s="760"/>
    </row>
    <row r="268" spans="2:20">
      <c r="B268" s="2425"/>
      <c r="C268" s="2411"/>
      <c r="D268" s="2414"/>
      <c r="E268" s="2411"/>
      <c r="F268" s="2419">
        <f>F266</f>
        <v>0</v>
      </c>
      <c r="G268" s="2419">
        <f>F268-F266</f>
        <v>0</v>
      </c>
      <c r="H268" s="2422">
        <f>G268*G233</f>
        <v>0</v>
      </c>
      <c r="I268" s="2422">
        <f>I266+H268</f>
        <v>0</v>
      </c>
      <c r="J268" s="2419"/>
      <c r="K268" s="2419"/>
      <c r="L268" s="2419">
        <f>IF(H268=0,0,IF((100-J268-K268)&lt;0,0,100-J268-K268))</f>
        <v>0</v>
      </c>
      <c r="M268" s="2411"/>
      <c r="N268" s="2411"/>
      <c r="O268" s="2457"/>
      <c r="P268" s="365"/>
      <c r="Q268" s="365"/>
      <c r="R268" s="365"/>
      <c r="S268" s="365"/>
      <c r="T268" s="1087" t="str">
        <f>T223</f>
        <v>Ttl Other (1)</v>
      </c>
    </row>
    <row r="269" spans="2:20" ht="13.75" thickBot="1">
      <c r="B269" s="2430"/>
      <c r="C269" s="2412"/>
      <c r="D269" s="2415"/>
      <c r="E269" s="2412"/>
      <c r="F269" s="2420"/>
      <c r="G269" s="2420"/>
      <c r="H269" s="2428"/>
      <c r="I269" s="2429"/>
      <c r="J269" s="2420"/>
      <c r="K269" s="2420"/>
      <c r="L269" s="2420"/>
      <c r="M269" s="2412"/>
      <c r="N269" s="2412"/>
      <c r="O269" s="2458"/>
      <c r="P269" s="1313" t="s">
        <v>806</v>
      </c>
      <c r="Q269" s="1314">
        <f>((H238*K238)+(H240*K240)+(H242*K242)+(H244*K244)+(H246*K246)+(H248*K248)+(H250*K250)+(H252*K252)+(H254*K254)+(H256*K256)+(H258*K258)+(H260*K260)+(H262*K262)+(H264*K264)+(H266*K266)+(H268*K268))/100+Q224</f>
        <v>0</v>
      </c>
      <c r="R269" s="1313" t="s">
        <v>807</v>
      </c>
      <c r="S269" s="1314">
        <f>((J238*H238)+(J240*H240)+(J242*H242)+(J244*H244)+(J246*H246)+(J248*H248)+(J250*H250)+(J252*H252)+(J254*H254)+(J256*H256)+(J258*H258)+(J260*H260)+(J262*H262)+(J264*H264)+(J266*H266)+(J268*H268))/100+S224</f>
        <v>0</v>
      </c>
      <c r="T269" s="510">
        <f>I268-Q269-S269</f>
        <v>0</v>
      </c>
    </row>
  </sheetData>
  <mergeCells count="1476">
    <mergeCell ref="E223:E224"/>
    <mergeCell ref="M35:M36"/>
    <mergeCell ref="B92:T92"/>
    <mergeCell ref="B93:T93"/>
    <mergeCell ref="B137:T137"/>
    <mergeCell ref="S99:T99"/>
    <mergeCell ref="N131:N132"/>
    <mergeCell ref="B133:B134"/>
    <mergeCell ref="C133:C134"/>
    <mergeCell ref="D133:D134"/>
    <mergeCell ref="E133:E134"/>
    <mergeCell ref="K234:L234"/>
    <mergeCell ref="C233:D233"/>
    <mergeCell ref="E233:F233"/>
    <mergeCell ref="I233:J233"/>
    <mergeCell ref="D234:F234"/>
    <mergeCell ref="H234:J234"/>
    <mergeCell ref="F223:F224"/>
    <mergeCell ref="M234:N234"/>
    <mergeCell ref="O234:P234"/>
    <mergeCell ref="N39:N40"/>
    <mergeCell ref="M41:M42"/>
    <mergeCell ref="N41:N42"/>
    <mergeCell ref="B219:B220"/>
    <mergeCell ref="C219:C220"/>
    <mergeCell ref="D219:D220"/>
    <mergeCell ref="E219:E220"/>
    <mergeCell ref="M219:M220"/>
    <mergeCell ref="N219:N220"/>
    <mergeCell ref="K219:K220"/>
    <mergeCell ref="B2:T2"/>
    <mergeCell ref="B3:T3"/>
    <mergeCell ref="B47:T47"/>
    <mergeCell ref="B48:T48"/>
    <mergeCell ref="S9:T9"/>
    <mergeCell ref="N43:N44"/>
    <mergeCell ref="N33:N34"/>
    <mergeCell ref="K144:L144"/>
    <mergeCell ref="N133:N134"/>
    <mergeCell ref="S234:T234"/>
    <mergeCell ref="K189:L189"/>
    <mergeCell ref="M189:N189"/>
    <mergeCell ref="O189:P189"/>
    <mergeCell ref="Q189:R189"/>
    <mergeCell ref="K223:K224"/>
    <mergeCell ref="L223:L224"/>
    <mergeCell ref="M223:M224"/>
    <mergeCell ref="N223:N224"/>
    <mergeCell ref="M43:M44"/>
    <mergeCell ref="K54:L54"/>
    <mergeCell ref="S144:T144"/>
    <mergeCell ref="K99:L99"/>
    <mergeCell ref="M99:N99"/>
    <mergeCell ref="O99:P99"/>
    <mergeCell ref="Q99:R99"/>
    <mergeCell ref="K133:K134"/>
    <mergeCell ref="L133:L134"/>
    <mergeCell ref="M133:M134"/>
    <mergeCell ref="K9:L9"/>
    <mergeCell ref="M9:N9"/>
    <mergeCell ref="O9:P9"/>
    <mergeCell ref="Q9:R9"/>
    <mergeCell ref="L268:L269"/>
    <mergeCell ref="M268:M269"/>
    <mergeCell ref="N268:N269"/>
    <mergeCell ref="Q54:R54"/>
    <mergeCell ref="M54:N54"/>
    <mergeCell ref="O54:P54"/>
    <mergeCell ref="Q144:R144"/>
    <mergeCell ref="M144:N144"/>
    <mergeCell ref="O144:P144"/>
    <mergeCell ref="Q234:R234"/>
    <mergeCell ref="K266:K267"/>
    <mergeCell ref="K268:K269"/>
    <mergeCell ref="N266:N267"/>
    <mergeCell ref="M266:M267"/>
    <mergeCell ref="K264:K265"/>
    <mergeCell ref="K256:K257"/>
    <mergeCell ref="L256:L257"/>
    <mergeCell ref="M256:M257"/>
    <mergeCell ref="N256:N257"/>
    <mergeCell ref="K252:K253"/>
    <mergeCell ref="L252:L253"/>
    <mergeCell ref="M252:M253"/>
    <mergeCell ref="N252:N253"/>
    <mergeCell ref="N250:N251"/>
    <mergeCell ref="N248:N249"/>
    <mergeCell ref="N246:N247"/>
    <mergeCell ref="N242:N243"/>
    <mergeCell ref="M221:M222"/>
    <mergeCell ref="M217:M218"/>
    <mergeCell ref="B268:B269"/>
    <mergeCell ref="C268:C269"/>
    <mergeCell ref="D268:D269"/>
    <mergeCell ref="E268:E269"/>
    <mergeCell ref="F268:F269"/>
    <mergeCell ref="G266:G267"/>
    <mergeCell ref="H266:H267"/>
    <mergeCell ref="I266:I267"/>
    <mergeCell ref="I268:I269"/>
    <mergeCell ref="J268:J269"/>
    <mergeCell ref="J266:J267"/>
    <mergeCell ref="G268:G269"/>
    <mergeCell ref="H268:H269"/>
    <mergeCell ref="M264:M265"/>
    <mergeCell ref="N264:N265"/>
    <mergeCell ref="N262:N263"/>
    <mergeCell ref="M262:M263"/>
    <mergeCell ref="B266:B267"/>
    <mergeCell ref="C266:C267"/>
    <mergeCell ref="D266:D267"/>
    <mergeCell ref="E266:E267"/>
    <mergeCell ref="L266:L267"/>
    <mergeCell ref="F266:F267"/>
    <mergeCell ref="F264:F265"/>
    <mergeCell ref="G264:G265"/>
    <mergeCell ref="H264:H265"/>
    <mergeCell ref="I264:I265"/>
    <mergeCell ref="B264:B265"/>
    <mergeCell ref="C264:C265"/>
    <mergeCell ref="D264:D265"/>
    <mergeCell ref="E264:E265"/>
    <mergeCell ref="H262:H263"/>
    <mergeCell ref="I262:I263"/>
    <mergeCell ref="J264:J265"/>
    <mergeCell ref="J262:J263"/>
    <mergeCell ref="K262:K263"/>
    <mergeCell ref="L262:L263"/>
    <mergeCell ref="L264:L265"/>
    <mergeCell ref="K260:K261"/>
    <mergeCell ref="L260:L261"/>
    <mergeCell ref="M260:M261"/>
    <mergeCell ref="N260:N261"/>
    <mergeCell ref="B262:B263"/>
    <mergeCell ref="C262:C263"/>
    <mergeCell ref="D262:D263"/>
    <mergeCell ref="E262:E263"/>
    <mergeCell ref="F262:F263"/>
    <mergeCell ref="G262:G263"/>
    <mergeCell ref="N258:N259"/>
    <mergeCell ref="B260:B261"/>
    <mergeCell ref="C260:C261"/>
    <mergeCell ref="D260:D261"/>
    <mergeCell ref="E260:E261"/>
    <mergeCell ref="F260:F261"/>
    <mergeCell ref="G260:G261"/>
    <mergeCell ref="H260:H261"/>
    <mergeCell ref="I260:I261"/>
    <mergeCell ref="J260:J261"/>
    <mergeCell ref="H258:H259"/>
    <mergeCell ref="I258:I259"/>
    <mergeCell ref="J258:J259"/>
    <mergeCell ref="K258:K259"/>
    <mergeCell ref="L258:L259"/>
    <mergeCell ref="M258:M259"/>
    <mergeCell ref="B258:B259"/>
    <mergeCell ref="C258:C259"/>
    <mergeCell ref="D258:D259"/>
    <mergeCell ref="E258:E259"/>
    <mergeCell ref="F258:F259"/>
    <mergeCell ref="G258:G259"/>
    <mergeCell ref="N254:N255"/>
    <mergeCell ref="B256:B257"/>
    <mergeCell ref="C256:C257"/>
    <mergeCell ref="D256:D257"/>
    <mergeCell ref="E256:E257"/>
    <mergeCell ref="F256:F257"/>
    <mergeCell ref="G256:G257"/>
    <mergeCell ref="H256:H257"/>
    <mergeCell ref="I256:I257"/>
    <mergeCell ref="J256:J257"/>
    <mergeCell ref="H254:H255"/>
    <mergeCell ref="I254:I255"/>
    <mergeCell ref="J254:J255"/>
    <mergeCell ref="K254:K255"/>
    <mergeCell ref="L254:L255"/>
    <mergeCell ref="M254:M255"/>
    <mergeCell ref="B254:B255"/>
    <mergeCell ref="C254:C255"/>
    <mergeCell ref="D254:D255"/>
    <mergeCell ref="E254:E255"/>
    <mergeCell ref="F254:F255"/>
    <mergeCell ref="G254:G255"/>
    <mergeCell ref="B252:B253"/>
    <mergeCell ref="C252:C253"/>
    <mergeCell ref="D252:D253"/>
    <mergeCell ref="E252:E253"/>
    <mergeCell ref="F252:F253"/>
    <mergeCell ref="G252:G253"/>
    <mergeCell ref="H252:H253"/>
    <mergeCell ref="I252:I253"/>
    <mergeCell ref="J252:J253"/>
    <mergeCell ref="H250:H251"/>
    <mergeCell ref="I250:I251"/>
    <mergeCell ref="J250:J251"/>
    <mergeCell ref="K250:K251"/>
    <mergeCell ref="L250:L251"/>
    <mergeCell ref="M250:M251"/>
    <mergeCell ref="K248:K249"/>
    <mergeCell ref="L248:L249"/>
    <mergeCell ref="M248:M249"/>
    <mergeCell ref="B250:B251"/>
    <mergeCell ref="C250:C251"/>
    <mergeCell ref="D250:D251"/>
    <mergeCell ref="E250:E251"/>
    <mergeCell ref="F250:F251"/>
    <mergeCell ref="G250:G251"/>
    <mergeCell ref="B248:B249"/>
    <mergeCell ref="C248:C249"/>
    <mergeCell ref="D248:D249"/>
    <mergeCell ref="E248:E249"/>
    <mergeCell ref="F248:F249"/>
    <mergeCell ref="G248:G249"/>
    <mergeCell ref="H248:H249"/>
    <mergeCell ref="I248:I249"/>
    <mergeCell ref="J248:J249"/>
    <mergeCell ref="H246:H247"/>
    <mergeCell ref="I246:I247"/>
    <mergeCell ref="J246:J247"/>
    <mergeCell ref="K246:K247"/>
    <mergeCell ref="L246:L247"/>
    <mergeCell ref="M246:M247"/>
    <mergeCell ref="K244:K245"/>
    <mergeCell ref="L244:L245"/>
    <mergeCell ref="M244:M245"/>
    <mergeCell ref="N244:N245"/>
    <mergeCell ref="B246:B247"/>
    <mergeCell ref="C246:C247"/>
    <mergeCell ref="D246:D247"/>
    <mergeCell ref="E246:E247"/>
    <mergeCell ref="F246:F247"/>
    <mergeCell ref="G246:G247"/>
    <mergeCell ref="B244:B245"/>
    <mergeCell ref="C244:C245"/>
    <mergeCell ref="D244:D245"/>
    <mergeCell ref="E244:E245"/>
    <mergeCell ref="F244:F245"/>
    <mergeCell ref="G244:G245"/>
    <mergeCell ref="H244:H245"/>
    <mergeCell ref="I244:I245"/>
    <mergeCell ref="J244:J245"/>
    <mergeCell ref="H242:H243"/>
    <mergeCell ref="I242:I243"/>
    <mergeCell ref="J242:J243"/>
    <mergeCell ref="K242:K243"/>
    <mergeCell ref="L242:L243"/>
    <mergeCell ref="M242:M243"/>
    <mergeCell ref="K240:K241"/>
    <mergeCell ref="L240:L241"/>
    <mergeCell ref="M240:M241"/>
    <mergeCell ref="N240:N241"/>
    <mergeCell ref="B242:B243"/>
    <mergeCell ref="C242:C243"/>
    <mergeCell ref="D242:D243"/>
    <mergeCell ref="E242:E243"/>
    <mergeCell ref="F242:F243"/>
    <mergeCell ref="G242:G243"/>
    <mergeCell ref="N238:N239"/>
    <mergeCell ref="B240:B241"/>
    <mergeCell ref="C240:C241"/>
    <mergeCell ref="D240:D241"/>
    <mergeCell ref="E240:E241"/>
    <mergeCell ref="F240:F241"/>
    <mergeCell ref="G240:G241"/>
    <mergeCell ref="H240:H241"/>
    <mergeCell ref="I240:I241"/>
    <mergeCell ref="J240:J241"/>
    <mergeCell ref="H238:H239"/>
    <mergeCell ref="I238:I239"/>
    <mergeCell ref="J238:J239"/>
    <mergeCell ref="K238:K239"/>
    <mergeCell ref="L238:L239"/>
    <mergeCell ref="M238:M239"/>
    <mergeCell ref="B238:B239"/>
    <mergeCell ref="C238:C239"/>
    <mergeCell ref="D238:D239"/>
    <mergeCell ref="E238:E239"/>
    <mergeCell ref="F238:F239"/>
    <mergeCell ref="G238:G239"/>
    <mergeCell ref="B235:B237"/>
    <mergeCell ref="C235:C237"/>
    <mergeCell ref="F235:F236"/>
    <mergeCell ref="G235:G236"/>
    <mergeCell ref="H235:H236"/>
    <mergeCell ref="J235:L235"/>
    <mergeCell ref="J236:J237"/>
    <mergeCell ref="K236:K237"/>
    <mergeCell ref="L236:L237"/>
    <mergeCell ref="K221:K222"/>
    <mergeCell ref="L221:L222"/>
    <mergeCell ref="G223:G224"/>
    <mergeCell ref="H223:H224"/>
    <mergeCell ref="I223:I224"/>
    <mergeCell ref="J223:J224"/>
    <mergeCell ref="B221:B222"/>
    <mergeCell ref="C221:C222"/>
    <mergeCell ref="D221:D222"/>
    <mergeCell ref="E221:E222"/>
    <mergeCell ref="F221:F222"/>
    <mergeCell ref="G221:G222"/>
    <mergeCell ref="H221:H222"/>
    <mergeCell ref="I221:I222"/>
    <mergeCell ref="J221:J222"/>
    <mergeCell ref="C223:C224"/>
    <mergeCell ref="D223:D224"/>
    <mergeCell ref="J219:J220"/>
    <mergeCell ref="J217:J218"/>
    <mergeCell ref="K217:K218"/>
    <mergeCell ref="L217:L218"/>
    <mergeCell ref="L219:L220"/>
    <mergeCell ref="F219:F220"/>
    <mergeCell ref="G219:G220"/>
    <mergeCell ref="H219:H220"/>
    <mergeCell ref="I219:I220"/>
    <mergeCell ref="N215:N216"/>
    <mergeCell ref="B217:B218"/>
    <mergeCell ref="C217:C218"/>
    <mergeCell ref="D217:D218"/>
    <mergeCell ref="E217:E218"/>
    <mergeCell ref="F217:F218"/>
    <mergeCell ref="G217:G218"/>
    <mergeCell ref="H217:H218"/>
    <mergeCell ref="I217:I218"/>
    <mergeCell ref="N217:N218"/>
    <mergeCell ref="H215:H216"/>
    <mergeCell ref="I215:I216"/>
    <mergeCell ref="J215:J216"/>
    <mergeCell ref="K215:K216"/>
    <mergeCell ref="L215:L216"/>
    <mergeCell ref="M215:M216"/>
    <mergeCell ref="K213:K214"/>
    <mergeCell ref="L213:L214"/>
    <mergeCell ref="M213:M214"/>
    <mergeCell ref="N213:N214"/>
    <mergeCell ref="B215:B216"/>
    <mergeCell ref="C215:C216"/>
    <mergeCell ref="D215:D216"/>
    <mergeCell ref="E215:E216"/>
    <mergeCell ref="F215:F216"/>
    <mergeCell ref="G215:G216"/>
    <mergeCell ref="N211:N212"/>
    <mergeCell ref="B213:B214"/>
    <mergeCell ref="C213:C214"/>
    <mergeCell ref="D213:D214"/>
    <mergeCell ref="E213:E214"/>
    <mergeCell ref="F213:F214"/>
    <mergeCell ref="G213:G214"/>
    <mergeCell ref="H213:H214"/>
    <mergeCell ref="I213:I214"/>
    <mergeCell ref="J213:J214"/>
    <mergeCell ref="H211:H212"/>
    <mergeCell ref="I211:I212"/>
    <mergeCell ref="J211:J212"/>
    <mergeCell ref="K211:K212"/>
    <mergeCell ref="L211:L212"/>
    <mergeCell ref="M211:M212"/>
    <mergeCell ref="K209:K210"/>
    <mergeCell ref="L209:L210"/>
    <mergeCell ref="M209:M210"/>
    <mergeCell ref="N209:N210"/>
    <mergeCell ref="B211:B212"/>
    <mergeCell ref="C211:C212"/>
    <mergeCell ref="D211:D212"/>
    <mergeCell ref="E211:E212"/>
    <mergeCell ref="F211:F212"/>
    <mergeCell ref="G211:G212"/>
    <mergeCell ref="N207:N208"/>
    <mergeCell ref="B209:B210"/>
    <mergeCell ref="C209:C210"/>
    <mergeCell ref="D209:D210"/>
    <mergeCell ref="E209:E210"/>
    <mergeCell ref="F209:F210"/>
    <mergeCell ref="G209:G210"/>
    <mergeCell ref="H209:H210"/>
    <mergeCell ref="I209:I210"/>
    <mergeCell ref="J209:J210"/>
    <mergeCell ref="H207:H208"/>
    <mergeCell ref="I207:I208"/>
    <mergeCell ref="J207:J208"/>
    <mergeCell ref="K207:K208"/>
    <mergeCell ref="L207:L208"/>
    <mergeCell ref="M207:M208"/>
    <mergeCell ref="K205:K206"/>
    <mergeCell ref="L205:L206"/>
    <mergeCell ref="M205:M206"/>
    <mergeCell ref="N205:N206"/>
    <mergeCell ref="B207:B208"/>
    <mergeCell ref="C207:C208"/>
    <mergeCell ref="D207:D208"/>
    <mergeCell ref="E207:E208"/>
    <mergeCell ref="F207:F208"/>
    <mergeCell ref="G207:G208"/>
    <mergeCell ref="N203:N204"/>
    <mergeCell ref="B205:B206"/>
    <mergeCell ref="C205:C206"/>
    <mergeCell ref="D205:D206"/>
    <mergeCell ref="E205:E206"/>
    <mergeCell ref="F205:F206"/>
    <mergeCell ref="G205:G206"/>
    <mergeCell ref="H205:H206"/>
    <mergeCell ref="I205:I206"/>
    <mergeCell ref="J205:J206"/>
    <mergeCell ref="H203:H204"/>
    <mergeCell ref="I203:I204"/>
    <mergeCell ref="J203:J204"/>
    <mergeCell ref="K203:K204"/>
    <mergeCell ref="L203:L204"/>
    <mergeCell ref="M203:M204"/>
    <mergeCell ref="K201:K202"/>
    <mergeCell ref="L201:L202"/>
    <mergeCell ref="M201:M202"/>
    <mergeCell ref="N201:N202"/>
    <mergeCell ref="B203:B204"/>
    <mergeCell ref="C203:C204"/>
    <mergeCell ref="D203:D204"/>
    <mergeCell ref="E203:E204"/>
    <mergeCell ref="F203:F204"/>
    <mergeCell ref="G203:G204"/>
    <mergeCell ref="N199:N200"/>
    <mergeCell ref="B201:B202"/>
    <mergeCell ref="C201:C202"/>
    <mergeCell ref="D201:D202"/>
    <mergeCell ref="E201:E202"/>
    <mergeCell ref="F201:F202"/>
    <mergeCell ref="G201:G202"/>
    <mergeCell ref="H201:H202"/>
    <mergeCell ref="I201:I202"/>
    <mergeCell ref="J201:J202"/>
    <mergeCell ref="H199:H200"/>
    <mergeCell ref="I199:I200"/>
    <mergeCell ref="J199:J200"/>
    <mergeCell ref="K199:K200"/>
    <mergeCell ref="L199:L200"/>
    <mergeCell ref="M199:M200"/>
    <mergeCell ref="K197:K198"/>
    <mergeCell ref="L197:L198"/>
    <mergeCell ref="M197:M198"/>
    <mergeCell ref="N197:N198"/>
    <mergeCell ref="B199:B200"/>
    <mergeCell ref="C199:C200"/>
    <mergeCell ref="D199:D200"/>
    <mergeCell ref="E199:E200"/>
    <mergeCell ref="F199:F200"/>
    <mergeCell ref="G199:G200"/>
    <mergeCell ref="N195:N196"/>
    <mergeCell ref="B197:B198"/>
    <mergeCell ref="C197:C198"/>
    <mergeCell ref="D197:D198"/>
    <mergeCell ref="E197:E198"/>
    <mergeCell ref="F197:F198"/>
    <mergeCell ref="G197:G198"/>
    <mergeCell ref="H197:H198"/>
    <mergeCell ref="I197:I198"/>
    <mergeCell ref="J197:J198"/>
    <mergeCell ref="H195:H196"/>
    <mergeCell ref="I195:I196"/>
    <mergeCell ref="J195:J196"/>
    <mergeCell ref="K195:K196"/>
    <mergeCell ref="L195:L196"/>
    <mergeCell ref="M195:M196"/>
    <mergeCell ref="K193:K194"/>
    <mergeCell ref="L193:L194"/>
    <mergeCell ref="M193:M194"/>
    <mergeCell ref="N193:N194"/>
    <mergeCell ref="B195:B196"/>
    <mergeCell ref="C195:C196"/>
    <mergeCell ref="D195:D196"/>
    <mergeCell ref="E195:E196"/>
    <mergeCell ref="F195:F196"/>
    <mergeCell ref="G195:G196"/>
    <mergeCell ref="L191:L192"/>
    <mergeCell ref="B193:B194"/>
    <mergeCell ref="C193:C194"/>
    <mergeCell ref="D193:D194"/>
    <mergeCell ref="E193:E194"/>
    <mergeCell ref="F193:F194"/>
    <mergeCell ref="G193:G194"/>
    <mergeCell ref="H193:H194"/>
    <mergeCell ref="I193:I194"/>
    <mergeCell ref="J193:J194"/>
    <mergeCell ref="D189:F189"/>
    <mergeCell ref="H189:J189"/>
    <mergeCell ref="B190:B192"/>
    <mergeCell ref="C190:C192"/>
    <mergeCell ref="F190:F191"/>
    <mergeCell ref="G190:G191"/>
    <mergeCell ref="H190:H191"/>
    <mergeCell ref="J190:L190"/>
    <mergeCell ref="J191:J192"/>
    <mergeCell ref="K191:K192"/>
    <mergeCell ref="K178:K179"/>
    <mergeCell ref="L178:L179"/>
    <mergeCell ref="M178:M179"/>
    <mergeCell ref="N178:N179"/>
    <mergeCell ref="C188:D188"/>
    <mergeCell ref="E188:F188"/>
    <mergeCell ref="I188:J188"/>
    <mergeCell ref="N176:N177"/>
    <mergeCell ref="B178:B179"/>
    <mergeCell ref="C178:C179"/>
    <mergeCell ref="D178:D179"/>
    <mergeCell ref="E178:E179"/>
    <mergeCell ref="F178:F179"/>
    <mergeCell ref="G178:G179"/>
    <mergeCell ref="H178:H179"/>
    <mergeCell ref="I178:I179"/>
    <mergeCell ref="J178:J179"/>
    <mergeCell ref="H176:H177"/>
    <mergeCell ref="I176:I177"/>
    <mergeCell ref="J176:J177"/>
    <mergeCell ref="K176:K177"/>
    <mergeCell ref="L176:L177"/>
    <mergeCell ref="M176:M177"/>
    <mergeCell ref="K174:K175"/>
    <mergeCell ref="L174:L175"/>
    <mergeCell ref="M174:M175"/>
    <mergeCell ref="N174:N175"/>
    <mergeCell ref="B176:B177"/>
    <mergeCell ref="C176:C177"/>
    <mergeCell ref="D176:D177"/>
    <mergeCell ref="E176:E177"/>
    <mergeCell ref="F176:F177"/>
    <mergeCell ref="G176:G177"/>
    <mergeCell ref="J174:J175"/>
    <mergeCell ref="H172:H173"/>
    <mergeCell ref="I172:I173"/>
    <mergeCell ref="J172:J173"/>
    <mergeCell ref="K172:K173"/>
    <mergeCell ref="L172:L173"/>
    <mergeCell ref="M172:M173"/>
    <mergeCell ref="K170:K171"/>
    <mergeCell ref="L170:L171"/>
    <mergeCell ref="M170:M171"/>
    <mergeCell ref="N170:N171"/>
    <mergeCell ref="B172:B173"/>
    <mergeCell ref="C172:C173"/>
    <mergeCell ref="D172:D173"/>
    <mergeCell ref="E172:E173"/>
    <mergeCell ref="F172:F173"/>
    <mergeCell ref="G172:G173"/>
    <mergeCell ref="N168:N169"/>
    <mergeCell ref="B170:B171"/>
    <mergeCell ref="C170:C171"/>
    <mergeCell ref="D170:D171"/>
    <mergeCell ref="E170:E171"/>
    <mergeCell ref="F170:F171"/>
    <mergeCell ref="G170:G171"/>
    <mergeCell ref="H170:H171"/>
    <mergeCell ref="I170:I171"/>
    <mergeCell ref="J170:J171"/>
    <mergeCell ref="H168:H169"/>
    <mergeCell ref="I168:I169"/>
    <mergeCell ref="J168:J169"/>
    <mergeCell ref="K168:K169"/>
    <mergeCell ref="L168:L169"/>
    <mergeCell ref="M168:M169"/>
    <mergeCell ref="K166:K167"/>
    <mergeCell ref="L166:L167"/>
    <mergeCell ref="M166:M167"/>
    <mergeCell ref="N166:N167"/>
    <mergeCell ref="B168:B169"/>
    <mergeCell ref="C168:C169"/>
    <mergeCell ref="D168:D169"/>
    <mergeCell ref="E168:E169"/>
    <mergeCell ref="F168:F169"/>
    <mergeCell ref="G168:G169"/>
    <mergeCell ref="N164:N165"/>
    <mergeCell ref="B166:B167"/>
    <mergeCell ref="C166:C167"/>
    <mergeCell ref="D166:D167"/>
    <mergeCell ref="E166:E167"/>
    <mergeCell ref="F166:F167"/>
    <mergeCell ref="G166:G167"/>
    <mergeCell ref="H166:H167"/>
    <mergeCell ref="I166:I167"/>
    <mergeCell ref="J166:J167"/>
    <mergeCell ref="H164:H165"/>
    <mergeCell ref="I164:I165"/>
    <mergeCell ref="J164:J165"/>
    <mergeCell ref="K164:K165"/>
    <mergeCell ref="L164:L165"/>
    <mergeCell ref="M164:M165"/>
    <mergeCell ref="K162:K163"/>
    <mergeCell ref="L162:L163"/>
    <mergeCell ref="M162:M163"/>
    <mergeCell ref="N162:N163"/>
    <mergeCell ref="B164:B165"/>
    <mergeCell ref="C164:C165"/>
    <mergeCell ref="D164:D165"/>
    <mergeCell ref="E164:E165"/>
    <mergeCell ref="F164:F165"/>
    <mergeCell ref="G164:G165"/>
    <mergeCell ref="N160:N161"/>
    <mergeCell ref="B162:B163"/>
    <mergeCell ref="C162:C163"/>
    <mergeCell ref="D162:D163"/>
    <mergeCell ref="E162:E163"/>
    <mergeCell ref="F162:F163"/>
    <mergeCell ref="G162:G163"/>
    <mergeCell ref="H162:H163"/>
    <mergeCell ref="I162:I163"/>
    <mergeCell ref="J162:J163"/>
    <mergeCell ref="H160:H161"/>
    <mergeCell ref="I160:I161"/>
    <mergeCell ref="J160:J161"/>
    <mergeCell ref="K160:K161"/>
    <mergeCell ref="L160:L161"/>
    <mergeCell ref="M160:M161"/>
    <mergeCell ref="K158:K159"/>
    <mergeCell ref="L158:L159"/>
    <mergeCell ref="M158:M159"/>
    <mergeCell ref="N158:N159"/>
    <mergeCell ref="B160:B161"/>
    <mergeCell ref="C160:C161"/>
    <mergeCell ref="D160:D161"/>
    <mergeCell ref="E160:E161"/>
    <mergeCell ref="F160:F161"/>
    <mergeCell ref="G160:G161"/>
    <mergeCell ref="N156:N157"/>
    <mergeCell ref="B158:B159"/>
    <mergeCell ref="C158:C159"/>
    <mergeCell ref="D158:D159"/>
    <mergeCell ref="E158:E159"/>
    <mergeCell ref="F158:F159"/>
    <mergeCell ref="G158:G159"/>
    <mergeCell ref="H158:H159"/>
    <mergeCell ref="I158:I159"/>
    <mergeCell ref="J158:J159"/>
    <mergeCell ref="H156:H157"/>
    <mergeCell ref="I156:I157"/>
    <mergeCell ref="J156:J157"/>
    <mergeCell ref="K156:K157"/>
    <mergeCell ref="L156:L157"/>
    <mergeCell ref="M156:M157"/>
    <mergeCell ref="K154:K155"/>
    <mergeCell ref="L154:L155"/>
    <mergeCell ref="M154:M155"/>
    <mergeCell ref="N154:N155"/>
    <mergeCell ref="B156:B157"/>
    <mergeCell ref="C156:C157"/>
    <mergeCell ref="D156:D157"/>
    <mergeCell ref="E156:E157"/>
    <mergeCell ref="F156:F157"/>
    <mergeCell ref="G156:G157"/>
    <mergeCell ref="N152:N153"/>
    <mergeCell ref="B154:B155"/>
    <mergeCell ref="C154:C155"/>
    <mergeCell ref="D154:D155"/>
    <mergeCell ref="E154:E155"/>
    <mergeCell ref="F154:F155"/>
    <mergeCell ref="G154:G155"/>
    <mergeCell ref="H154:H155"/>
    <mergeCell ref="I154:I155"/>
    <mergeCell ref="J154:J155"/>
    <mergeCell ref="H152:H153"/>
    <mergeCell ref="I152:I153"/>
    <mergeCell ref="J152:J153"/>
    <mergeCell ref="K152:K153"/>
    <mergeCell ref="L152:L153"/>
    <mergeCell ref="M152:M153"/>
    <mergeCell ref="K150:K151"/>
    <mergeCell ref="L150:L151"/>
    <mergeCell ref="M150:M151"/>
    <mergeCell ref="N150:N151"/>
    <mergeCell ref="B152:B153"/>
    <mergeCell ref="C152:C153"/>
    <mergeCell ref="D152:D153"/>
    <mergeCell ref="E152:E153"/>
    <mergeCell ref="F152:F153"/>
    <mergeCell ref="G152:G153"/>
    <mergeCell ref="N148:N149"/>
    <mergeCell ref="B150:B151"/>
    <mergeCell ref="C150:C151"/>
    <mergeCell ref="D150:D151"/>
    <mergeCell ref="E150:E151"/>
    <mergeCell ref="F150:F151"/>
    <mergeCell ref="G150:G151"/>
    <mergeCell ref="H150:H151"/>
    <mergeCell ref="I150:I151"/>
    <mergeCell ref="J150:J151"/>
    <mergeCell ref="H148:H149"/>
    <mergeCell ref="I148:I149"/>
    <mergeCell ref="J148:J149"/>
    <mergeCell ref="K148:K149"/>
    <mergeCell ref="L148:L149"/>
    <mergeCell ref="M148:M149"/>
    <mergeCell ref="J145:L145"/>
    <mergeCell ref="J146:J147"/>
    <mergeCell ref="K146:K147"/>
    <mergeCell ref="L146:L147"/>
    <mergeCell ref="B148:B149"/>
    <mergeCell ref="C148:C149"/>
    <mergeCell ref="D148:D149"/>
    <mergeCell ref="E148:E149"/>
    <mergeCell ref="F148:F149"/>
    <mergeCell ref="G148:G149"/>
    <mergeCell ref="C143:D143"/>
    <mergeCell ref="E143:F143"/>
    <mergeCell ref="I143:J143"/>
    <mergeCell ref="D144:F144"/>
    <mergeCell ref="H144:J144"/>
    <mergeCell ref="B145:B147"/>
    <mergeCell ref="C145:C147"/>
    <mergeCell ref="F145:F146"/>
    <mergeCell ref="G145:G146"/>
    <mergeCell ref="H145:H146"/>
    <mergeCell ref="J133:J134"/>
    <mergeCell ref="J131:J132"/>
    <mergeCell ref="K131:K132"/>
    <mergeCell ref="L131:L132"/>
    <mergeCell ref="F133:F134"/>
    <mergeCell ref="G133:G134"/>
    <mergeCell ref="H133:H134"/>
    <mergeCell ref="I133:I134"/>
    <mergeCell ref="N129:N130"/>
    <mergeCell ref="B131:B132"/>
    <mergeCell ref="C131:C132"/>
    <mergeCell ref="D131:D132"/>
    <mergeCell ref="E131:E132"/>
    <mergeCell ref="M131:M132"/>
    <mergeCell ref="F131:F132"/>
    <mergeCell ref="G131:G132"/>
    <mergeCell ref="H131:H132"/>
    <mergeCell ref="I131:I132"/>
    <mergeCell ref="H129:H130"/>
    <mergeCell ref="I129:I130"/>
    <mergeCell ref="J129:J130"/>
    <mergeCell ref="K129:K130"/>
    <mergeCell ref="L129:L130"/>
    <mergeCell ref="M129:M130"/>
    <mergeCell ref="K127:K128"/>
    <mergeCell ref="L127:L128"/>
    <mergeCell ref="M127:M128"/>
    <mergeCell ref="N127:N128"/>
    <mergeCell ref="B129:B130"/>
    <mergeCell ref="C129:C130"/>
    <mergeCell ref="D129:D130"/>
    <mergeCell ref="E129:E130"/>
    <mergeCell ref="F129:F130"/>
    <mergeCell ref="G129:G130"/>
    <mergeCell ref="N125:N126"/>
    <mergeCell ref="B127:B128"/>
    <mergeCell ref="C127:C128"/>
    <mergeCell ref="D127:D128"/>
    <mergeCell ref="E127:E128"/>
    <mergeCell ref="F127:F128"/>
    <mergeCell ref="G127:G128"/>
    <mergeCell ref="H127:H128"/>
    <mergeCell ref="I127:I128"/>
    <mergeCell ref="J127:J128"/>
    <mergeCell ref="H125:H126"/>
    <mergeCell ref="I125:I126"/>
    <mergeCell ref="J125:J126"/>
    <mergeCell ref="K125:K126"/>
    <mergeCell ref="L125:L126"/>
    <mergeCell ref="M125:M126"/>
    <mergeCell ref="K123:K124"/>
    <mergeCell ref="L123:L124"/>
    <mergeCell ref="M123:M124"/>
    <mergeCell ref="N123:N124"/>
    <mergeCell ref="B125:B126"/>
    <mergeCell ref="C125:C126"/>
    <mergeCell ref="D125:D126"/>
    <mergeCell ref="E125:E126"/>
    <mergeCell ref="F125:F126"/>
    <mergeCell ref="G125:G126"/>
    <mergeCell ref="N121:N122"/>
    <mergeCell ref="B123:B124"/>
    <mergeCell ref="C123:C124"/>
    <mergeCell ref="D123:D124"/>
    <mergeCell ref="E123:E124"/>
    <mergeCell ref="F123:F124"/>
    <mergeCell ref="G123:G124"/>
    <mergeCell ref="H123:H124"/>
    <mergeCell ref="I123:I124"/>
    <mergeCell ref="J123:J124"/>
    <mergeCell ref="H121:H122"/>
    <mergeCell ref="I121:I122"/>
    <mergeCell ref="J121:J122"/>
    <mergeCell ref="K121:K122"/>
    <mergeCell ref="L121:L122"/>
    <mergeCell ref="M121:M122"/>
    <mergeCell ref="K119:K120"/>
    <mergeCell ref="L119:L120"/>
    <mergeCell ref="M119:M120"/>
    <mergeCell ref="N119:N120"/>
    <mergeCell ref="B121:B122"/>
    <mergeCell ref="C121:C122"/>
    <mergeCell ref="D121:D122"/>
    <mergeCell ref="E121:E122"/>
    <mergeCell ref="F121:F122"/>
    <mergeCell ref="G121:G122"/>
    <mergeCell ref="N117:N118"/>
    <mergeCell ref="B119:B120"/>
    <mergeCell ref="C119:C120"/>
    <mergeCell ref="D119:D120"/>
    <mergeCell ref="E119:E120"/>
    <mergeCell ref="F119:F120"/>
    <mergeCell ref="G119:G120"/>
    <mergeCell ref="H119:H120"/>
    <mergeCell ref="I119:I120"/>
    <mergeCell ref="J119:J120"/>
    <mergeCell ref="H117:H118"/>
    <mergeCell ref="I117:I118"/>
    <mergeCell ref="J117:J118"/>
    <mergeCell ref="K117:K118"/>
    <mergeCell ref="L117:L118"/>
    <mergeCell ref="M117:M118"/>
    <mergeCell ref="K115:K116"/>
    <mergeCell ref="L115:L116"/>
    <mergeCell ref="M115:M116"/>
    <mergeCell ref="N115:N116"/>
    <mergeCell ref="B117:B118"/>
    <mergeCell ref="C117:C118"/>
    <mergeCell ref="D117:D118"/>
    <mergeCell ref="E117:E118"/>
    <mergeCell ref="F117:F118"/>
    <mergeCell ref="G117:G118"/>
    <mergeCell ref="N113:N114"/>
    <mergeCell ref="B115:B116"/>
    <mergeCell ref="C115:C116"/>
    <mergeCell ref="D115:D116"/>
    <mergeCell ref="E115:E116"/>
    <mergeCell ref="F115:F116"/>
    <mergeCell ref="G115:G116"/>
    <mergeCell ref="H115:H116"/>
    <mergeCell ref="I115:I116"/>
    <mergeCell ref="J115:J116"/>
    <mergeCell ref="H113:H114"/>
    <mergeCell ref="I113:I114"/>
    <mergeCell ref="J113:J114"/>
    <mergeCell ref="K113:K114"/>
    <mergeCell ref="L113:L114"/>
    <mergeCell ref="M113:M114"/>
    <mergeCell ref="K111:K112"/>
    <mergeCell ref="L111:L112"/>
    <mergeCell ref="M111:M112"/>
    <mergeCell ref="N111:N112"/>
    <mergeCell ref="B113:B114"/>
    <mergeCell ref="C113:C114"/>
    <mergeCell ref="D113:D114"/>
    <mergeCell ref="E113:E114"/>
    <mergeCell ref="F113:F114"/>
    <mergeCell ref="G113:G114"/>
    <mergeCell ref="N109:N110"/>
    <mergeCell ref="B111:B112"/>
    <mergeCell ref="C111:C112"/>
    <mergeCell ref="D111:D112"/>
    <mergeCell ref="E111:E112"/>
    <mergeCell ref="F111:F112"/>
    <mergeCell ref="G111:G112"/>
    <mergeCell ref="H111:H112"/>
    <mergeCell ref="I111:I112"/>
    <mergeCell ref="J111:J112"/>
    <mergeCell ref="H109:H110"/>
    <mergeCell ref="I109:I110"/>
    <mergeCell ref="J109:J110"/>
    <mergeCell ref="K109:K110"/>
    <mergeCell ref="L109:L110"/>
    <mergeCell ref="M109:M110"/>
    <mergeCell ref="K107:K108"/>
    <mergeCell ref="L107:L108"/>
    <mergeCell ref="M107:M108"/>
    <mergeCell ref="N107:N108"/>
    <mergeCell ref="B109:B110"/>
    <mergeCell ref="C109:C110"/>
    <mergeCell ref="D109:D110"/>
    <mergeCell ref="E109:E110"/>
    <mergeCell ref="F109:F110"/>
    <mergeCell ref="G109:G110"/>
    <mergeCell ref="N105:N106"/>
    <mergeCell ref="B107:B108"/>
    <mergeCell ref="C107:C108"/>
    <mergeCell ref="D107:D108"/>
    <mergeCell ref="E107:E108"/>
    <mergeCell ref="F107:F108"/>
    <mergeCell ref="G107:G108"/>
    <mergeCell ref="H107:H108"/>
    <mergeCell ref="I107:I108"/>
    <mergeCell ref="J107:J108"/>
    <mergeCell ref="H105:H106"/>
    <mergeCell ref="I105:I106"/>
    <mergeCell ref="J105:J106"/>
    <mergeCell ref="K105:K106"/>
    <mergeCell ref="L105:L106"/>
    <mergeCell ref="M105:M106"/>
    <mergeCell ref="B105:B106"/>
    <mergeCell ref="C105:C106"/>
    <mergeCell ref="D105:D106"/>
    <mergeCell ref="E105:E106"/>
    <mergeCell ref="F105:F106"/>
    <mergeCell ref="G105:G106"/>
    <mergeCell ref="I103:I104"/>
    <mergeCell ref="J103:J104"/>
    <mergeCell ref="K103:K104"/>
    <mergeCell ref="L103:L104"/>
    <mergeCell ref="M103:M104"/>
    <mergeCell ref="N103:N104"/>
    <mergeCell ref="J101:J102"/>
    <mergeCell ref="K101:K102"/>
    <mergeCell ref="L101:L102"/>
    <mergeCell ref="B103:B104"/>
    <mergeCell ref="C103:C104"/>
    <mergeCell ref="D103:D104"/>
    <mergeCell ref="E103:E104"/>
    <mergeCell ref="F103:F104"/>
    <mergeCell ref="G103:G104"/>
    <mergeCell ref="H103:H104"/>
    <mergeCell ref="F88:F89"/>
    <mergeCell ref="G88:G89"/>
    <mergeCell ref="D99:F99"/>
    <mergeCell ref="H99:J99"/>
    <mergeCell ref="B100:B102"/>
    <mergeCell ref="C100:C102"/>
    <mergeCell ref="F100:F101"/>
    <mergeCell ref="G100:G101"/>
    <mergeCell ref="H100:H101"/>
    <mergeCell ref="J100:L100"/>
    <mergeCell ref="B88:B89"/>
    <mergeCell ref="C88:C89"/>
    <mergeCell ref="D88:D89"/>
    <mergeCell ref="E88:E89"/>
    <mergeCell ref="N88:N89"/>
    <mergeCell ref="C98:D98"/>
    <mergeCell ref="E98:F98"/>
    <mergeCell ref="I98:J98"/>
    <mergeCell ref="J88:J89"/>
    <mergeCell ref="K88:K89"/>
    <mergeCell ref="K86:K87"/>
    <mergeCell ref="L86:L87"/>
    <mergeCell ref="M86:M87"/>
    <mergeCell ref="N86:N87"/>
    <mergeCell ref="H88:H89"/>
    <mergeCell ref="I88:I89"/>
    <mergeCell ref="L88:L89"/>
    <mergeCell ref="M88:M89"/>
    <mergeCell ref="N84:N85"/>
    <mergeCell ref="B86:B87"/>
    <mergeCell ref="C86:C87"/>
    <mergeCell ref="D86:D87"/>
    <mergeCell ref="E86:E87"/>
    <mergeCell ref="F86:F87"/>
    <mergeCell ref="G86:G87"/>
    <mergeCell ref="H86:H87"/>
    <mergeCell ref="I86:I87"/>
    <mergeCell ref="J86:J87"/>
    <mergeCell ref="H84:H85"/>
    <mergeCell ref="I84:I85"/>
    <mergeCell ref="J84:J85"/>
    <mergeCell ref="K84:K85"/>
    <mergeCell ref="L84:L85"/>
    <mergeCell ref="M84:M85"/>
    <mergeCell ref="K82:K83"/>
    <mergeCell ref="L82:L83"/>
    <mergeCell ref="M82:M83"/>
    <mergeCell ref="N82:N83"/>
    <mergeCell ref="B84:B85"/>
    <mergeCell ref="C84:C85"/>
    <mergeCell ref="D84:D85"/>
    <mergeCell ref="E84:E85"/>
    <mergeCell ref="F84:F85"/>
    <mergeCell ref="G84:G85"/>
    <mergeCell ref="N80:N81"/>
    <mergeCell ref="B82:B83"/>
    <mergeCell ref="C82:C83"/>
    <mergeCell ref="D82:D83"/>
    <mergeCell ref="E82:E83"/>
    <mergeCell ref="F82:F83"/>
    <mergeCell ref="G82:G83"/>
    <mergeCell ref="H82:H83"/>
    <mergeCell ref="I82:I83"/>
    <mergeCell ref="J82:J83"/>
    <mergeCell ref="H80:H81"/>
    <mergeCell ref="I80:I81"/>
    <mergeCell ref="J80:J81"/>
    <mergeCell ref="K80:K81"/>
    <mergeCell ref="L80:L81"/>
    <mergeCell ref="M80:M81"/>
    <mergeCell ref="K78:K79"/>
    <mergeCell ref="L78:L79"/>
    <mergeCell ref="M78:M79"/>
    <mergeCell ref="N78:N79"/>
    <mergeCell ref="B80:B81"/>
    <mergeCell ref="C80:C81"/>
    <mergeCell ref="D80:D81"/>
    <mergeCell ref="E80:E81"/>
    <mergeCell ref="F80:F81"/>
    <mergeCell ref="G80:G81"/>
    <mergeCell ref="N76:N77"/>
    <mergeCell ref="B78:B79"/>
    <mergeCell ref="C78:C79"/>
    <mergeCell ref="D78:D79"/>
    <mergeCell ref="E78:E79"/>
    <mergeCell ref="F78:F79"/>
    <mergeCell ref="G78:G79"/>
    <mergeCell ref="H78:H79"/>
    <mergeCell ref="I78:I79"/>
    <mergeCell ref="J78:J79"/>
    <mergeCell ref="H76:H77"/>
    <mergeCell ref="I76:I77"/>
    <mergeCell ref="J76:J77"/>
    <mergeCell ref="K76:K77"/>
    <mergeCell ref="L76:L77"/>
    <mergeCell ref="M76:M77"/>
    <mergeCell ref="K74:K75"/>
    <mergeCell ref="L74:L75"/>
    <mergeCell ref="M74:M75"/>
    <mergeCell ref="N74:N75"/>
    <mergeCell ref="B76:B77"/>
    <mergeCell ref="C76:C77"/>
    <mergeCell ref="D76:D77"/>
    <mergeCell ref="E76:E77"/>
    <mergeCell ref="F76:F77"/>
    <mergeCell ref="G76:G77"/>
    <mergeCell ref="N72:N73"/>
    <mergeCell ref="B74:B75"/>
    <mergeCell ref="C74:C75"/>
    <mergeCell ref="D74:D75"/>
    <mergeCell ref="E74:E75"/>
    <mergeCell ref="F74:F75"/>
    <mergeCell ref="G74:G75"/>
    <mergeCell ref="H74:H75"/>
    <mergeCell ref="I74:I75"/>
    <mergeCell ref="J74:J75"/>
    <mergeCell ref="H72:H73"/>
    <mergeCell ref="I72:I73"/>
    <mergeCell ref="J72:J73"/>
    <mergeCell ref="K72:K73"/>
    <mergeCell ref="L72:L73"/>
    <mergeCell ref="M72:M73"/>
    <mergeCell ref="K70:K71"/>
    <mergeCell ref="L70:L71"/>
    <mergeCell ref="M70:M71"/>
    <mergeCell ref="N70:N71"/>
    <mergeCell ref="B72:B73"/>
    <mergeCell ref="C72:C73"/>
    <mergeCell ref="D72:D73"/>
    <mergeCell ref="E72:E73"/>
    <mergeCell ref="F72:F73"/>
    <mergeCell ref="G72:G73"/>
    <mergeCell ref="N68:N69"/>
    <mergeCell ref="B70:B71"/>
    <mergeCell ref="C70:C71"/>
    <mergeCell ref="D70:D71"/>
    <mergeCell ref="E70:E71"/>
    <mergeCell ref="F70:F71"/>
    <mergeCell ref="G70:G71"/>
    <mergeCell ref="H70:H71"/>
    <mergeCell ref="I70:I71"/>
    <mergeCell ref="J70:J71"/>
    <mergeCell ref="H68:H69"/>
    <mergeCell ref="I68:I69"/>
    <mergeCell ref="J68:J69"/>
    <mergeCell ref="K68:K69"/>
    <mergeCell ref="L68:L69"/>
    <mergeCell ref="M68:M69"/>
    <mergeCell ref="K66:K67"/>
    <mergeCell ref="L66:L67"/>
    <mergeCell ref="M66:M67"/>
    <mergeCell ref="N66:N67"/>
    <mergeCell ref="B68:B69"/>
    <mergeCell ref="C68:C69"/>
    <mergeCell ref="D68:D69"/>
    <mergeCell ref="E68:E69"/>
    <mergeCell ref="F68:F69"/>
    <mergeCell ref="G68:G69"/>
    <mergeCell ref="N64:N65"/>
    <mergeCell ref="B66:B67"/>
    <mergeCell ref="C66:C67"/>
    <mergeCell ref="D66:D67"/>
    <mergeCell ref="E66:E67"/>
    <mergeCell ref="F66:F67"/>
    <mergeCell ref="G66:G67"/>
    <mergeCell ref="H66:H67"/>
    <mergeCell ref="I66:I67"/>
    <mergeCell ref="J66:J67"/>
    <mergeCell ref="H64:H65"/>
    <mergeCell ref="I64:I65"/>
    <mergeCell ref="J64:J65"/>
    <mergeCell ref="K64:K65"/>
    <mergeCell ref="L64:L65"/>
    <mergeCell ref="M64:M65"/>
    <mergeCell ref="K62:K63"/>
    <mergeCell ref="L62:L63"/>
    <mergeCell ref="M62:M63"/>
    <mergeCell ref="N62:N63"/>
    <mergeCell ref="B64:B65"/>
    <mergeCell ref="C64:C65"/>
    <mergeCell ref="D64:D65"/>
    <mergeCell ref="E64:E65"/>
    <mergeCell ref="F64:F65"/>
    <mergeCell ref="G64:G65"/>
    <mergeCell ref="N60:N61"/>
    <mergeCell ref="B62:B63"/>
    <mergeCell ref="C62:C63"/>
    <mergeCell ref="D62:D63"/>
    <mergeCell ref="E62:E63"/>
    <mergeCell ref="F62:F63"/>
    <mergeCell ref="G62:G63"/>
    <mergeCell ref="H62:H63"/>
    <mergeCell ref="I62:I63"/>
    <mergeCell ref="J62:J63"/>
    <mergeCell ref="H60:H61"/>
    <mergeCell ref="I60:I61"/>
    <mergeCell ref="J60:J61"/>
    <mergeCell ref="K60:K61"/>
    <mergeCell ref="L60:L61"/>
    <mergeCell ref="M60:M61"/>
    <mergeCell ref="K58:K59"/>
    <mergeCell ref="L58:L59"/>
    <mergeCell ref="M58:M59"/>
    <mergeCell ref="N58:N59"/>
    <mergeCell ref="B60:B61"/>
    <mergeCell ref="C60:C61"/>
    <mergeCell ref="D60:D61"/>
    <mergeCell ref="E60:E61"/>
    <mergeCell ref="F60:F61"/>
    <mergeCell ref="G60:G61"/>
    <mergeCell ref="L56:L57"/>
    <mergeCell ref="B58:B59"/>
    <mergeCell ref="C58:C59"/>
    <mergeCell ref="D58:D59"/>
    <mergeCell ref="E58:E59"/>
    <mergeCell ref="F58:F59"/>
    <mergeCell ref="G58:G59"/>
    <mergeCell ref="H58:H59"/>
    <mergeCell ref="I58:I59"/>
    <mergeCell ref="J58:J59"/>
    <mergeCell ref="D54:F54"/>
    <mergeCell ref="H54:J54"/>
    <mergeCell ref="B55:B57"/>
    <mergeCell ref="C55:C57"/>
    <mergeCell ref="F55:F56"/>
    <mergeCell ref="G55:G56"/>
    <mergeCell ref="H55:H56"/>
    <mergeCell ref="J55:L55"/>
    <mergeCell ref="J56:J57"/>
    <mergeCell ref="K56:K57"/>
    <mergeCell ref="C53:D53"/>
    <mergeCell ref="E53:F53"/>
    <mergeCell ref="I53:J53"/>
    <mergeCell ref="J41:J42"/>
    <mergeCell ref="K41:K42"/>
    <mergeCell ref="L41:L42"/>
    <mergeCell ref="J43:J44"/>
    <mergeCell ref="K43:K44"/>
    <mergeCell ref="L43:L44"/>
    <mergeCell ref="H41:H42"/>
    <mergeCell ref="C43:C44"/>
    <mergeCell ref="N29:N30"/>
    <mergeCell ref="M31:M32"/>
    <mergeCell ref="N31:N32"/>
    <mergeCell ref="N35:N36"/>
    <mergeCell ref="M37:M38"/>
    <mergeCell ref="J39:J40"/>
    <mergeCell ref="N15:N16"/>
    <mergeCell ref="M17:M18"/>
    <mergeCell ref="N17:N18"/>
    <mergeCell ref="M19:M20"/>
    <mergeCell ref="N19:N20"/>
    <mergeCell ref="N21:N22"/>
    <mergeCell ref="M23:M24"/>
    <mergeCell ref="N23:N24"/>
    <mergeCell ref="M25:M26"/>
    <mergeCell ref="K39:K40"/>
    <mergeCell ref="L39:L40"/>
    <mergeCell ref="K21:K22"/>
    <mergeCell ref="L21:L22"/>
    <mergeCell ref="J27:J28"/>
    <mergeCell ref="K27:K28"/>
    <mergeCell ref="L27:L28"/>
    <mergeCell ref="N25:N26"/>
    <mergeCell ref="N37:N38"/>
    <mergeCell ref="N27:N28"/>
    <mergeCell ref="M27:M28"/>
    <mergeCell ref="M33:M34"/>
    <mergeCell ref="M39:M40"/>
    <mergeCell ref="K29:K30"/>
    <mergeCell ref="L29:L30"/>
    <mergeCell ref="J35:J36"/>
    <mergeCell ref="K35:K36"/>
    <mergeCell ref="L35:L36"/>
    <mergeCell ref="J37:J38"/>
    <mergeCell ref="K37:K38"/>
    <mergeCell ref="L37:L38"/>
    <mergeCell ref="K33:K34"/>
    <mergeCell ref="L33:L34"/>
    <mergeCell ref="J23:J24"/>
    <mergeCell ref="K23:K24"/>
    <mergeCell ref="L23:L24"/>
    <mergeCell ref="K25:K26"/>
    <mergeCell ref="L25:L26"/>
    <mergeCell ref="J25:J26"/>
    <mergeCell ref="J29:J30"/>
    <mergeCell ref="J31:J32"/>
    <mergeCell ref="K31:K32"/>
    <mergeCell ref="L31:L32"/>
    <mergeCell ref="J33:J34"/>
    <mergeCell ref="M29:M30"/>
    <mergeCell ref="I33:I34"/>
    <mergeCell ref="I35:I36"/>
    <mergeCell ref="I37:I38"/>
    <mergeCell ref="I39:I40"/>
    <mergeCell ref="I41:I42"/>
    <mergeCell ref="I43:I44"/>
    <mergeCell ref="H43:H44"/>
    <mergeCell ref="I17:I18"/>
    <mergeCell ref="I19:I20"/>
    <mergeCell ref="I21:I22"/>
    <mergeCell ref="I23:I24"/>
    <mergeCell ref="I25:I26"/>
    <mergeCell ref="I27:I28"/>
    <mergeCell ref="I29:I30"/>
    <mergeCell ref="I31:I32"/>
    <mergeCell ref="H29:H30"/>
    <mergeCell ref="H31:H32"/>
    <mergeCell ref="H33:H34"/>
    <mergeCell ref="H35:H36"/>
    <mergeCell ref="H37:H38"/>
    <mergeCell ref="H39:H40"/>
    <mergeCell ref="G39:G40"/>
    <mergeCell ref="F41:F42"/>
    <mergeCell ref="G41:G42"/>
    <mergeCell ref="F33:F34"/>
    <mergeCell ref="F39:F40"/>
    <mergeCell ref="F23:F24"/>
    <mergeCell ref="F43:F44"/>
    <mergeCell ref="G43:G44"/>
    <mergeCell ref="H15:H16"/>
    <mergeCell ref="H21:H22"/>
    <mergeCell ref="H23:H24"/>
    <mergeCell ref="H25:H26"/>
    <mergeCell ref="H27:H28"/>
    <mergeCell ref="F17:F18"/>
    <mergeCell ref="F21:F22"/>
    <mergeCell ref="F27:F28"/>
    <mergeCell ref="F25:F26"/>
    <mergeCell ref="F31:F32"/>
    <mergeCell ref="F35:F36"/>
    <mergeCell ref="F37:F38"/>
    <mergeCell ref="G23:G24"/>
    <mergeCell ref="G25:G26"/>
    <mergeCell ref="G27:G28"/>
    <mergeCell ref="E43:E44"/>
    <mergeCell ref="G31:G32"/>
    <mergeCell ref="G33:G34"/>
    <mergeCell ref="G35:G36"/>
    <mergeCell ref="G37:G38"/>
    <mergeCell ref="E31:E32"/>
    <mergeCell ref="E33:E34"/>
    <mergeCell ref="E35:E36"/>
    <mergeCell ref="E37:E38"/>
    <mergeCell ref="E39:E40"/>
    <mergeCell ref="E41:E42"/>
    <mergeCell ref="D43:D44"/>
    <mergeCell ref="E13:E14"/>
    <mergeCell ref="E15:E16"/>
    <mergeCell ref="E17:E18"/>
    <mergeCell ref="E19:E20"/>
    <mergeCell ref="E21:E22"/>
    <mergeCell ref="E23:E24"/>
    <mergeCell ref="E25:E26"/>
    <mergeCell ref="E27:E28"/>
    <mergeCell ref="E29:E30"/>
    <mergeCell ref="D31:D32"/>
    <mergeCell ref="D33:D34"/>
    <mergeCell ref="D35:D36"/>
    <mergeCell ref="D37:D38"/>
    <mergeCell ref="D39:D40"/>
    <mergeCell ref="D29:D30"/>
    <mergeCell ref="D41:D42"/>
    <mergeCell ref="D13:D14"/>
    <mergeCell ref="D15:D16"/>
    <mergeCell ref="G15:G16"/>
    <mergeCell ref="G17:G18"/>
    <mergeCell ref="C31:C32"/>
    <mergeCell ref="C33:C34"/>
    <mergeCell ref="C35:C36"/>
    <mergeCell ref="C37:C38"/>
    <mergeCell ref="C39:C40"/>
    <mergeCell ref="C41:C42"/>
    <mergeCell ref="B43:B44"/>
    <mergeCell ref="C13:C14"/>
    <mergeCell ref="C15:C16"/>
    <mergeCell ref="C17:C18"/>
    <mergeCell ref="C19:C20"/>
    <mergeCell ref="C21:C22"/>
    <mergeCell ref="C23:C24"/>
    <mergeCell ref="C25:C26"/>
    <mergeCell ref="C27:C28"/>
    <mergeCell ref="C29:C30"/>
    <mergeCell ref="B31:B32"/>
    <mergeCell ref="B33:B34"/>
    <mergeCell ref="B35:B36"/>
    <mergeCell ref="B37:B38"/>
    <mergeCell ref="B39:B40"/>
    <mergeCell ref="B41:B42"/>
    <mergeCell ref="B19:B20"/>
    <mergeCell ref="B21:B22"/>
    <mergeCell ref="B23:B24"/>
    <mergeCell ref="B25:B26"/>
    <mergeCell ref="B27:B28"/>
    <mergeCell ref="B29:B30"/>
    <mergeCell ref="B15:B16"/>
    <mergeCell ref="B17:B18"/>
    <mergeCell ref="I15:I16"/>
    <mergeCell ref="K13:K14"/>
    <mergeCell ref="L13:L14"/>
    <mergeCell ref="K15:K16"/>
    <mergeCell ref="L15:L16"/>
    <mergeCell ref="K17:K18"/>
    <mergeCell ref="F13:F14"/>
    <mergeCell ref="F15:F16"/>
    <mergeCell ref="B13:B14"/>
    <mergeCell ref="G13:G14"/>
    <mergeCell ref="H13:H14"/>
    <mergeCell ref="I13:I14"/>
    <mergeCell ref="N13:N14"/>
    <mergeCell ref="D17:D18"/>
    <mergeCell ref="D19:D20"/>
    <mergeCell ref="D21:D22"/>
    <mergeCell ref="D23:D24"/>
    <mergeCell ref="D25:D26"/>
    <mergeCell ref="D27:D28"/>
    <mergeCell ref="F29:F30"/>
    <mergeCell ref="G29:G30"/>
    <mergeCell ref="H17:H18"/>
    <mergeCell ref="H19:H20"/>
    <mergeCell ref="J13:J14"/>
    <mergeCell ref="J15:J16"/>
    <mergeCell ref="J17:J18"/>
    <mergeCell ref="M13:M14"/>
    <mergeCell ref="M15:M16"/>
    <mergeCell ref="O13:O14"/>
    <mergeCell ref="B10:B12"/>
    <mergeCell ref="C10:C12"/>
    <mergeCell ref="F10:F11"/>
    <mergeCell ref="G10:G11"/>
    <mergeCell ref="H10:H11"/>
    <mergeCell ref="J10:L10"/>
    <mergeCell ref="J11:J12"/>
    <mergeCell ref="K11:K12"/>
    <mergeCell ref="L11:L12"/>
    <mergeCell ref="O15:O16"/>
    <mergeCell ref="O17:O18"/>
    <mergeCell ref="O19:O20"/>
    <mergeCell ref="O21:O22"/>
    <mergeCell ref="C8:D8"/>
    <mergeCell ref="E8:F8"/>
    <mergeCell ref="I8:J8"/>
    <mergeCell ref="G19:G20"/>
    <mergeCell ref="F19:F20"/>
    <mergeCell ref="G21:G22"/>
    <mergeCell ref="D9:F9"/>
    <mergeCell ref="H9:J9"/>
    <mergeCell ref="M21:M22"/>
    <mergeCell ref="J21:J22"/>
    <mergeCell ref="L17:L18"/>
    <mergeCell ref="J19:J20"/>
    <mergeCell ref="K19:K20"/>
    <mergeCell ref="L19:L20"/>
    <mergeCell ref="O31:O32"/>
    <mergeCell ref="O33:O34"/>
    <mergeCell ref="O35:O36"/>
    <mergeCell ref="O37:O38"/>
    <mergeCell ref="O23:O24"/>
    <mergeCell ref="O25:O26"/>
    <mergeCell ref="O27:O28"/>
    <mergeCell ref="O29:O30"/>
    <mergeCell ref="O62:O63"/>
    <mergeCell ref="O64:O65"/>
    <mergeCell ref="O66:O67"/>
    <mergeCell ref="O68:O69"/>
    <mergeCell ref="O39:O40"/>
    <mergeCell ref="O41:O42"/>
    <mergeCell ref="O58:O59"/>
    <mergeCell ref="O60:O61"/>
    <mergeCell ref="O78:O79"/>
    <mergeCell ref="O80:O81"/>
    <mergeCell ref="O82:O83"/>
    <mergeCell ref="O84:O85"/>
    <mergeCell ref="O70:O71"/>
    <mergeCell ref="O72:O73"/>
    <mergeCell ref="O74:O75"/>
    <mergeCell ref="O76:O77"/>
    <mergeCell ref="O109:O110"/>
    <mergeCell ref="O111:O112"/>
    <mergeCell ref="O113:O114"/>
    <mergeCell ref="O115:O116"/>
    <mergeCell ref="O86:O87"/>
    <mergeCell ref="O103:O104"/>
    <mergeCell ref="O105:O106"/>
    <mergeCell ref="O107:O108"/>
    <mergeCell ref="O148:O149"/>
    <mergeCell ref="O150:O151"/>
    <mergeCell ref="O152:O153"/>
    <mergeCell ref="O154:O155"/>
    <mergeCell ref="O117:O118"/>
    <mergeCell ref="O119:O120"/>
    <mergeCell ref="O121:O122"/>
    <mergeCell ref="O123:O124"/>
    <mergeCell ref="P190:T192"/>
    <mergeCell ref="O164:O165"/>
    <mergeCell ref="O166:O167"/>
    <mergeCell ref="O168:O169"/>
    <mergeCell ref="O170:O171"/>
    <mergeCell ref="O156:O157"/>
    <mergeCell ref="O158:O159"/>
    <mergeCell ref="O160:O161"/>
    <mergeCell ref="O162:O163"/>
    <mergeCell ref="O197:O198"/>
    <mergeCell ref="O199:O200"/>
    <mergeCell ref="O203:O204"/>
    <mergeCell ref="O205:O206"/>
    <mergeCell ref="O207:O208"/>
    <mergeCell ref="O209:O210"/>
    <mergeCell ref="O195:O196"/>
    <mergeCell ref="O201:O202"/>
    <mergeCell ref="O172:O173"/>
    <mergeCell ref="O174:O175"/>
    <mergeCell ref="O176:O177"/>
    <mergeCell ref="O193:O194"/>
    <mergeCell ref="B182:T182"/>
    <mergeCell ref="B183:T183"/>
    <mergeCell ref="S189:T189"/>
    <mergeCell ref="O238:O239"/>
    <mergeCell ref="O240:O241"/>
    <mergeCell ref="O211:O212"/>
    <mergeCell ref="O213:O214"/>
    <mergeCell ref="O215:O216"/>
    <mergeCell ref="O217:O218"/>
    <mergeCell ref="B227:T227"/>
    <mergeCell ref="B228:T228"/>
    <mergeCell ref="N221:N222"/>
    <mergeCell ref="B223:B224"/>
    <mergeCell ref="N172:N173"/>
    <mergeCell ref="B174:B175"/>
    <mergeCell ref="C174:C175"/>
    <mergeCell ref="D174:D175"/>
    <mergeCell ref="E174:E175"/>
    <mergeCell ref="F174:F175"/>
    <mergeCell ref="G174:G175"/>
    <mergeCell ref="H174:H175"/>
    <mergeCell ref="I174:I175"/>
    <mergeCell ref="P10:T12"/>
    <mergeCell ref="P55:T57"/>
    <mergeCell ref="P100:T102"/>
    <mergeCell ref="P145:T147"/>
    <mergeCell ref="S54:T54"/>
    <mergeCell ref="B138:T138"/>
    <mergeCell ref="O125:O126"/>
    <mergeCell ref="O127:O128"/>
    <mergeCell ref="O129:O130"/>
    <mergeCell ref="O131:O132"/>
    <mergeCell ref="O268:O269"/>
    <mergeCell ref="O223:O224"/>
    <mergeCell ref="O178:O179"/>
    <mergeCell ref="O133:O134"/>
    <mergeCell ref="O266:O267"/>
    <mergeCell ref="O258:O259"/>
    <mergeCell ref="O260:O261"/>
    <mergeCell ref="O262:O263"/>
    <mergeCell ref="O264:O265"/>
    <mergeCell ref="O250:O251"/>
    <mergeCell ref="O252:O253"/>
    <mergeCell ref="O254:O255"/>
    <mergeCell ref="O256:O257"/>
    <mergeCell ref="O242:O243"/>
    <mergeCell ref="O244:O245"/>
    <mergeCell ref="O246:O247"/>
    <mergeCell ref="O248:O249"/>
    <mergeCell ref="P235:T237"/>
    <mergeCell ref="O88:O89"/>
    <mergeCell ref="O43:O44"/>
    <mergeCell ref="O219:O220"/>
    <mergeCell ref="O221:O222"/>
  </mergeCells>
  <phoneticPr fontId="0" type="noConversion"/>
  <pageMargins left="0" right="0" top="0" bottom="0" header="0.25" footer="0.25"/>
  <pageSetup orientation="landscape" horizontalDpi="360" r:id="rId1"/>
  <headerFooter alignWithMargins="0"/>
  <rowBreaks count="5" manualBreakCount="5">
    <brk id="45" max="16383" man="1"/>
    <brk id="90" max="16383" man="1"/>
    <brk id="135" max="16383" man="1"/>
    <brk id="180" max="16383" man="1"/>
    <brk id="22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5" r:id="rId4" name="Button 1">
              <controlPr defaultSize="0" print="0" autoFill="0" autoPict="0" macro="[0]!BACKTOMENU">
                <anchor moveWithCells="1">
                  <from>
                    <xdr:col>1</xdr:col>
                    <xdr:colOff>81643</xdr:colOff>
                    <xdr:row>1</xdr:row>
                    <xdr:rowOff>87086</xdr:rowOff>
                  </from>
                  <to>
                    <xdr:col>2</xdr:col>
                    <xdr:colOff>223157</xdr:colOff>
                    <xdr:row>2</xdr:row>
                    <xdr:rowOff>127907</xdr:rowOff>
                  </to>
                </anchor>
              </controlPr>
            </control>
          </mc:Choice>
        </mc:AlternateContent>
        <mc:AlternateContent xmlns:mc="http://schemas.openxmlformats.org/markup-compatibility/2006">
          <mc:Choice Requires="x14">
            <control shapeId="82946" r:id="rId5" name="Button 2">
              <controlPr defaultSize="0" print="0" autoFill="0" autoPict="0" macro="[0]!BACKTOMENU">
                <anchor moveWithCells="1">
                  <from>
                    <xdr:col>1</xdr:col>
                    <xdr:colOff>81643</xdr:colOff>
                    <xdr:row>46</xdr:row>
                    <xdr:rowOff>87086</xdr:rowOff>
                  </from>
                  <to>
                    <xdr:col>2</xdr:col>
                    <xdr:colOff>223157</xdr:colOff>
                    <xdr:row>47</xdr:row>
                    <xdr:rowOff>127907</xdr:rowOff>
                  </to>
                </anchor>
              </controlPr>
            </control>
          </mc:Choice>
        </mc:AlternateContent>
        <mc:AlternateContent xmlns:mc="http://schemas.openxmlformats.org/markup-compatibility/2006">
          <mc:Choice Requires="x14">
            <control shapeId="82947" r:id="rId6" name="Button 3">
              <controlPr defaultSize="0" print="0" autoFill="0" autoPict="0" macro="[0]!BACKTOMENU">
                <anchor moveWithCells="1">
                  <from>
                    <xdr:col>1</xdr:col>
                    <xdr:colOff>81643</xdr:colOff>
                    <xdr:row>91</xdr:row>
                    <xdr:rowOff>87086</xdr:rowOff>
                  </from>
                  <to>
                    <xdr:col>2</xdr:col>
                    <xdr:colOff>223157</xdr:colOff>
                    <xdr:row>92</xdr:row>
                    <xdr:rowOff>127907</xdr:rowOff>
                  </to>
                </anchor>
              </controlPr>
            </control>
          </mc:Choice>
        </mc:AlternateContent>
        <mc:AlternateContent xmlns:mc="http://schemas.openxmlformats.org/markup-compatibility/2006">
          <mc:Choice Requires="x14">
            <control shapeId="82948" r:id="rId7" name="Button 4">
              <controlPr defaultSize="0" print="0" autoFill="0" autoPict="0" macro="[0]!BACKTOMENU">
                <anchor moveWithCells="1">
                  <from>
                    <xdr:col>1</xdr:col>
                    <xdr:colOff>81643</xdr:colOff>
                    <xdr:row>136</xdr:row>
                    <xdr:rowOff>87086</xdr:rowOff>
                  </from>
                  <to>
                    <xdr:col>2</xdr:col>
                    <xdr:colOff>223157</xdr:colOff>
                    <xdr:row>137</xdr:row>
                    <xdr:rowOff>127907</xdr:rowOff>
                  </to>
                </anchor>
              </controlPr>
            </control>
          </mc:Choice>
        </mc:AlternateContent>
        <mc:AlternateContent xmlns:mc="http://schemas.openxmlformats.org/markup-compatibility/2006">
          <mc:Choice Requires="x14">
            <control shapeId="82949" r:id="rId8" name="Button 5">
              <controlPr defaultSize="0" print="0" autoFill="0" autoPict="0" macro="[0]!BACKTOMENU">
                <anchor moveWithCells="1">
                  <from>
                    <xdr:col>1</xdr:col>
                    <xdr:colOff>81643</xdr:colOff>
                    <xdr:row>181</xdr:row>
                    <xdr:rowOff>87086</xdr:rowOff>
                  </from>
                  <to>
                    <xdr:col>2</xdr:col>
                    <xdr:colOff>223157</xdr:colOff>
                    <xdr:row>182</xdr:row>
                    <xdr:rowOff>127907</xdr:rowOff>
                  </to>
                </anchor>
              </controlPr>
            </control>
          </mc:Choice>
        </mc:AlternateContent>
        <mc:AlternateContent xmlns:mc="http://schemas.openxmlformats.org/markup-compatibility/2006">
          <mc:Choice Requires="x14">
            <control shapeId="82950" r:id="rId9" name="Button 6">
              <controlPr defaultSize="0" print="0" autoFill="0" autoPict="0" macro="[0]!BACKTOMENU">
                <anchor moveWithCells="1">
                  <from>
                    <xdr:col>1</xdr:col>
                    <xdr:colOff>81643</xdr:colOff>
                    <xdr:row>226</xdr:row>
                    <xdr:rowOff>87086</xdr:rowOff>
                  </from>
                  <to>
                    <xdr:col>2</xdr:col>
                    <xdr:colOff>223157</xdr:colOff>
                    <xdr:row>227</xdr:row>
                    <xdr:rowOff>127907</xdr:rowOff>
                  </to>
                </anchor>
              </controlPr>
            </control>
          </mc:Choice>
        </mc:AlternateContent>
        <mc:AlternateContent xmlns:mc="http://schemas.openxmlformats.org/markup-compatibility/2006">
          <mc:Choice Requires="x14">
            <control shapeId="82951" r:id="rId10" name="Button 7">
              <controlPr defaultSize="0" print="0" autoFill="0" autoPict="0" macro="[0]!BACKTOMENU">
                <anchor moveWithCells="1">
                  <from>
                    <xdr:col>13</xdr:col>
                    <xdr:colOff>182336</xdr:colOff>
                    <xdr:row>1</xdr:row>
                    <xdr:rowOff>48986</xdr:rowOff>
                  </from>
                  <to>
                    <xdr:col>14</xdr:col>
                    <xdr:colOff>201386</xdr:colOff>
                    <xdr:row>5</xdr:row>
                    <xdr:rowOff>29936</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B895D929-150A-4989-8955-2F3C6DB5287B}">
          <x14:formula1>
            <xm:f>'Data Validation'!$C$3:$D$3</xm:f>
          </x14:formula1>
          <xm:sqref>M12</xm:sqref>
        </x14:dataValidation>
        <x14:dataValidation type="list" allowBlank="1" showInputMessage="1" showErrorMessage="1" xr:uid="{D3EAADD0-0576-44E9-A5E8-CC6EA1F13DF5}">
          <x14:formula1>
            <xm:f>'Data Validation'!$C$13:$D$13</xm:f>
          </x14:formula1>
          <xm:sqref>O12</xm:sqref>
        </x14:dataValidation>
        <x14:dataValidation type="list" allowBlank="1" showInputMessage="1" showErrorMessage="1" xr:uid="{D21DE457-E14A-42E3-8288-BE2182CDF54F}">
          <x14:formula1>
            <xm:f>'Data Validation'!$C$2:$D$2</xm:f>
          </x14:formula1>
          <xm:sqref>I12</xm:sqref>
        </x14:dataValidation>
        <x14:dataValidation type="list" allowBlank="1" showInputMessage="1" showErrorMessage="1" xr:uid="{1D8D8A89-A5A0-4D36-B399-C3C7A27230FD}">
          <x14:formula1>
            <xm:f>'Data Validation'!$C$4:$D$4</xm:f>
          </x14:formula1>
          <xm:sqref>D12</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842C5-1F43-4FD5-97A7-138FD814B176}">
  <sheetPr codeName="Sheet40"/>
  <dimension ref="A1:L43"/>
  <sheetViews>
    <sheetView showGridLines="0" showZeros="0" zoomScaleNormal="90" zoomScaleSheetLayoutView="100" workbookViewId="0">
      <pane ySplit="2370"/>
      <selection activeCell="K8" sqref="K8"/>
      <selection pane="bottomLeft" activeCell="B7" sqref="B7"/>
    </sheetView>
  </sheetViews>
  <sheetFormatPr defaultRowHeight="12.9"/>
  <cols>
    <col min="1" max="4" width="9.15234375" style="1003" customWidth="1"/>
    <col min="5" max="5" width="11.265625" style="1003" customWidth="1"/>
    <col min="6" max="11" width="9.15234375" style="1003" customWidth="1"/>
    <col min="12" max="12" width="38.69140625" style="1003" customWidth="1"/>
  </cols>
  <sheetData>
    <row r="1" spans="1:12" ht="13.95" thickBot="1">
      <c r="A1" s="1071">
        <f>Summary!C5</f>
        <v>0</v>
      </c>
      <c r="B1" s="1017"/>
      <c r="C1" s="251" t="s">
        <v>115</v>
      </c>
      <c r="D1" s="1017" t="s">
        <v>236</v>
      </c>
      <c r="E1" s="1017"/>
      <c r="F1" s="1017"/>
      <c r="G1" s="1017"/>
      <c r="H1" s="1017"/>
      <c r="I1" s="1017"/>
      <c r="J1" s="1017"/>
      <c r="K1" s="1017"/>
    </row>
    <row r="2" spans="1:12" ht="13.75" thickBot="1">
      <c r="A2" s="1052" t="s">
        <v>115</v>
      </c>
      <c r="B2" s="1017"/>
      <c r="C2" s="1056" t="s">
        <v>168</v>
      </c>
      <c r="D2" s="1058"/>
      <c r="E2" s="2462">
        <f>(Summary!C6)</f>
        <v>0</v>
      </c>
      <c r="F2" s="2384"/>
      <c r="G2" s="2384"/>
      <c r="H2" s="2384"/>
      <c r="I2" s="2385"/>
      <c r="J2" s="1017"/>
      <c r="K2" s="1017"/>
    </row>
    <row r="3" spans="1:12" ht="13.75" thickBot="1">
      <c r="A3" s="1052" t="s">
        <v>115</v>
      </c>
      <c r="C3" s="1056" t="s">
        <v>237</v>
      </c>
      <c r="D3" s="1072"/>
      <c r="E3" s="2465"/>
      <c r="F3" s="2466"/>
      <c r="G3" s="2466"/>
      <c r="H3" s="2466"/>
      <c r="I3" s="2467"/>
    </row>
    <row r="4" spans="1:12" ht="13.75" thickBot="1">
      <c r="C4" s="1056" t="s">
        <v>222</v>
      </c>
      <c r="D4" s="1072"/>
      <c r="E4" s="2468" t="str">
        <f>IF(Summary!C32=0," ",Summary!C32)</f>
        <v xml:space="preserve"> </v>
      </c>
      <c r="F4" s="2469"/>
      <c r="G4" s="2469"/>
      <c r="H4" s="2469"/>
      <c r="I4" s="2470"/>
    </row>
    <row r="5" spans="1:12" ht="13.75" thickBot="1">
      <c r="C5" s="1056" t="s">
        <v>223</v>
      </c>
      <c r="D5" s="1072"/>
      <c r="E5" s="1073" t="str">
        <f>IF(Summary!C33=0," ",Summary!C33)</f>
        <v xml:space="preserve"> </v>
      </c>
      <c r="F5" s="2463" t="str">
        <f>IF(Summary!C34=0," ",Summary!C34)</f>
        <v xml:space="preserve"> </v>
      </c>
      <c r="G5" s="2463"/>
      <c r="H5" s="2463" t="str">
        <f>IF(Summary!C35=0," ",Summary!C35)</f>
        <v xml:space="preserve"> </v>
      </c>
      <c r="I5" s="2464"/>
    </row>
    <row r="6" spans="1:12" ht="13.1">
      <c r="A6" s="2471" t="s">
        <v>1606</v>
      </c>
      <c r="B6" s="2471"/>
      <c r="C6" s="2459" t="s">
        <v>1521</v>
      </c>
      <c r="D6" s="2459"/>
      <c r="E6" s="2459"/>
    </row>
    <row r="7" spans="1:12" s="3" customFormat="1" ht="25.15" customHeight="1">
      <c r="A7" s="1074" t="s">
        <v>238</v>
      </c>
      <c r="B7" s="1074" t="s">
        <v>480</v>
      </c>
      <c r="C7" s="1074" t="s">
        <v>1608</v>
      </c>
      <c r="D7" s="1075" t="s">
        <v>1607</v>
      </c>
      <c r="E7" s="1076" t="s">
        <v>239</v>
      </c>
      <c r="F7" s="1077" t="s">
        <v>240</v>
      </c>
      <c r="G7" s="1077" t="s">
        <v>241</v>
      </c>
      <c r="H7" s="1077" t="s">
        <v>242</v>
      </c>
      <c r="I7" s="1077" t="s">
        <v>243</v>
      </c>
      <c r="J7" s="1077" t="s">
        <v>1609</v>
      </c>
      <c r="K7" s="1077" t="s">
        <v>1610</v>
      </c>
      <c r="L7" s="1074" t="s">
        <v>212</v>
      </c>
    </row>
    <row r="8" spans="1:12" ht="13.1">
      <c r="A8" s="1078"/>
      <c r="B8" s="1079">
        <v>0</v>
      </c>
      <c r="C8" s="1079">
        <f>B8</f>
        <v>0</v>
      </c>
      <c r="D8" s="1080"/>
      <c r="E8" s="1060"/>
      <c r="F8" s="1081"/>
      <c r="G8" s="1059">
        <v>0</v>
      </c>
      <c r="H8" s="1059">
        <f t="shared" ref="H8:H34" si="0">(B8+D8)*G8</f>
        <v>0</v>
      </c>
      <c r="I8" s="1059">
        <f>H8</f>
        <v>0</v>
      </c>
      <c r="J8" s="1060"/>
      <c r="K8" s="1060"/>
      <c r="L8" s="1082"/>
    </row>
    <row r="9" spans="1:12" ht="13.1">
      <c r="A9" s="1078"/>
      <c r="B9" s="1079">
        <v>0</v>
      </c>
      <c r="C9" s="1079">
        <f>SUM(C8,B9)</f>
        <v>0</v>
      </c>
      <c r="D9" s="1080"/>
      <c r="E9" s="1060"/>
      <c r="F9" s="1081" t="s">
        <v>115</v>
      </c>
      <c r="G9" s="1059">
        <v>0</v>
      </c>
      <c r="H9" s="1059">
        <f t="shared" si="0"/>
        <v>0</v>
      </c>
      <c r="I9" s="1059">
        <f t="shared" ref="I9:I34" si="1">IF(G9=0,0,I8+H9)</f>
        <v>0</v>
      </c>
      <c r="J9" s="1060"/>
      <c r="K9" s="1060"/>
      <c r="L9" s="1082"/>
    </row>
    <row r="10" spans="1:12" ht="13.1">
      <c r="A10" s="1078"/>
      <c r="B10" s="1079">
        <v>0</v>
      </c>
      <c r="C10" s="1079">
        <f t="shared" ref="C10:C34" si="2">C9+B10</f>
        <v>0</v>
      </c>
      <c r="D10" s="1080"/>
      <c r="E10" s="1060"/>
      <c r="F10" s="1081" t="s">
        <v>115</v>
      </c>
      <c r="G10" s="1059">
        <v>0</v>
      </c>
      <c r="H10" s="1059">
        <f t="shared" si="0"/>
        <v>0</v>
      </c>
      <c r="I10" s="1059">
        <f t="shared" si="1"/>
        <v>0</v>
      </c>
      <c r="J10" s="1060"/>
      <c r="K10" s="1060"/>
      <c r="L10" s="1082"/>
    </row>
    <row r="11" spans="1:12" ht="13.1">
      <c r="A11" s="1078"/>
      <c r="B11" s="1079">
        <v>0</v>
      </c>
      <c r="C11" s="1079">
        <f t="shared" si="2"/>
        <v>0</v>
      </c>
      <c r="D11" s="1080"/>
      <c r="E11" s="1060"/>
      <c r="F11" s="1081" t="s">
        <v>115</v>
      </c>
      <c r="G11" s="1059">
        <v>0</v>
      </c>
      <c r="H11" s="1059">
        <f t="shared" si="0"/>
        <v>0</v>
      </c>
      <c r="I11" s="1059">
        <f t="shared" si="1"/>
        <v>0</v>
      </c>
      <c r="J11" s="1060"/>
      <c r="K11" s="1060"/>
      <c r="L11" s="1082"/>
    </row>
    <row r="12" spans="1:12" ht="13.1">
      <c r="A12" s="1078"/>
      <c r="B12" s="1079">
        <v>0</v>
      </c>
      <c r="C12" s="1079">
        <f t="shared" si="2"/>
        <v>0</v>
      </c>
      <c r="D12" s="1080"/>
      <c r="E12" s="1060"/>
      <c r="F12" s="1081" t="s">
        <v>115</v>
      </c>
      <c r="G12" s="1059">
        <v>0</v>
      </c>
      <c r="H12" s="1059">
        <f t="shared" si="0"/>
        <v>0</v>
      </c>
      <c r="I12" s="1059">
        <f t="shared" si="1"/>
        <v>0</v>
      </c>
      <c r="J12" s="1060"/>
      <c r="K12" s="1060"/>
      <c r="L12" s="1082"/>
    </row>
    <row r="13" spans="1:12" ht="13.1">
      <c r="A13" s="1078"/>
      <c r="B13" s="1079">
        <v>0</v>
      </c>
      <c r="C13" s="1079">
        <f t="shared" si="2"/>
        <v>0</v>
      </c>
      <c r="D13" s="1080"/>
      <c r="E13" s="1060"/>
      <c r="F13" s="1081" t="s">
        <v>115</v>
      </c>
      <c r="G13" s="1059">
        <v>0</v>
      </c>
      <c r="H13" s="1059">
        <f t="shared" si="0"/>
        <v>0</v>
      </c>
      <c r="I13" s="1059">
        <f t="shared" si="1"/>
        <v>0</v>
      </c>
      <c r="J13" s="1060"/>
      <c r="K13" s="1060"/>
      <c r="L13" s="1082"/>
    </row>
    <row r="14" spans="1:12" ht="13.1">
      <c r="A14" s="1078"/>
      <c r="B14" s="1079">
        <v>0</v>
      </c>
      <c r="C14" s="1079">
        <f t="shared" si="2"/>
        <v>0</v>
      </c>
      <c r="D14" s="1080"/>
      <c r="E14" s="1060"/>
      <c r="F14" s="1081"/>
      <c r="G14" s="1059">
        <v>0</v>
      </c>
      <c r="H14" s="1059">
        <f t="shared" si="0"/>
        <v>0</v>
      </c>
      <c r="I14" s="1059">
        <f t="shared" si="1"/>
        <v>0</v>
      </c>
      <c r="J14" s="1060"/>
      <c r="K14" s="1060"/>
      <c r="L14" s="1082"/>
    </row>
    <row r="15" spans="1:12" ht="13.1">
      <c r="A15" s="1078"/>
      <c r="B15" s="1079">
        <v>0</v>
      </c>
      <c r="C15" s="1079">
        <f t="shared" si="2"/>
        <v>0</v>
      </c>
      <c r="D15" s="1080"/>
      <c r="E15" s="1060"/>
      <c r="F15" s="1081"/>
      <c r="G15" s="1059">
        <v>0</v>
      </c>
      <c r="H15" s="1059">
        <f t="shared" si="0"/>
        <v>0</v>
      </c>
      <c r="I15" s="1059">
        <f t="shared" si="1"/>
        <v>0</v>
      </c>
      <c r="J15" s="1060"/>
      <c r="K15" s="1060"/>
      <c r="L15" s="1082"/>
    </row>
    <row r="16" spans="1:12" ht="13.1">
      <c r="A16" s="1078"/>
      <c r="B16" s="1079">
        <v>0</v>
      </c>
      <c r="C16" s="1079">
        <f t="shared" si="2"/>
        <v>0</v>
      </c>
      <c r="D16" s="1080"/>
      <c r="E16" s="1060"/>
      <c r="F16" s="1081"/>
      <c r="G16" s="1059">
        <v>0</v>
      </c>
      <c r="H16" s="1059">
        <f t="shared" si="0"/>
        <v>0</v>
      </c>
      <c r="I16" s="1059">
        <f t="shared" si="1"/>
        <v>0</v>
      </c>
      <c r="J16" s="1060"/>
      <c r="K16" s="1060"/>
      <c r="L16" s="1082"/>
    </row>
    <row r="17" spans="1:12" ht="13.1">
      <c r="A17" s="1078"/>
      <c r="B17" s="1079">
        <v>0</v>
      </c>
      <c r="C17" s="1079">
        <f t="shared" si="2"/>
        <v>0</v>
      </c>
      <c r="D17" s="1080"/>
      <c r="E17" s="1060"/>
      <c r="F17" s="1081"/>
      <c r="G17" s="1059">
        <v>0</v>
      </c>
      <c r="H17" s="1059">
        <f t="shared" si="0"/>
        <v>0</v>
      </c>
      <c r="I17" s="1059">
        <f t="shared" si="1"/>
        <v>0</v>
      </c>
      <c r="J17" s="1060"/>
      <c r="K17" s="1060"/>
      <c r="L17" s="1082"/>
    </row>
    <row r="18" spans="1:12" ht="13.1">
      <c r="A18" s="1078"/>
      <c r="B18" s="1079">
        <v>0</v>
      </c>
      <c r="C18" s="1079">
        <f t="shared" si="2"/>
        <v>0</v>
      </c>
      <c r="D18" s="1080"/>
      <c r="E18" s="1060"/>
      <c r="F18" s="1081"/>
      <c r="G18" s="1059">
        <v>0</v>
      </c>
      <c r="H18" s="1059">
        <f t="shared" si="0"/>
        <v>0</v>
      </c>
      <c r="I18" s="1059">
        <f t="shared" si="1"/>
        <v>0</v>
      </c>
      <c r="J18" s="1060"/>
      <c r="K18" s="1060"/>
      <c r="L18" s="1082"/>
    </row>
    <row r="19" spans="1:12" ht="13.1">
      <c r="A19" s="1078"/>
      <c r="B19" s="1079">
        <v>0</v>
      </c>
      <c r="C19" s="1079">
        <f t="shared" si="2"/>
        <v>0</v>
      </c>
      <c r="D19" s="1080"/>
      <c r="E19" s="1060"/>
      <c r="F19" s="1081"/>
      <c r="G19" s="1059">
        <v>0</v>
      </c>
      <c r="H19" s="1059">
        <f t="shared" si="0"/>
        <v>0</v>
      </c>
      <c r="I19" s="1059">
        <f t="shared" si="1"/>
        <v>0</v>
      </c>
      <c r="J19" s="1060"/>
      <c r="K19" s="1060"/>
      <c r="L19" s="1082"/>
    </row>
    <row r="20" spans="1:12" ht="13.1">
      <c r="A20" s="1078"/>
      <c r="B20" s="1079">
        <v>0</v>
      </c>
      <c r="C20" s="1079">
        <f t="shared" si="2"/>
        <v>0</v>
      </c>
      <c r="D20" s="1080"/>
      <c r="E20" s="1060"/>
      <c r="F20" s="1081"/>
      <c r="G20" s="1059">
        <v>0</v>
      </c>
      <c r="H20" s="1059">
        <f t="shared" si="0"/>
        <v>0</v>
      </c>
      <c r="I20" s="1059">
        <f t="shared" si="1"/>
        <v>0</v>
      </c>
      <c r="J20" s="1060"/>
      <c r="K20" s="1060"/>
      <c r="L20" s="1082"/>
    </row>
    <row r="21" spans="1:12" ht="13.1">
      <c r="A21" s="1078"/>
      <c r="B21" s="1079">
        <v>0</v>
      </c>
      <c r="C21" s="1079">
        <f t="shared" si="2"/>
        <v>0</v>
      </c>
      <c r="D21" s="1080"/>
      <c r="E21" s="1060"/>
      <c r="F21" s="1081"/>
      <c r="G21" s="1059">
        <v>0</v>
      </c>
      <c r="H21" s="1059">
        <f t="shared" si="0"/>
        <v>0</v>
      </c>
      <c r="I21" s="1059">
        <f t="shared" si="1"/>
        <v>0</v>
      </c>
      <c r="J21" s="1060"/>
      <c r="K21" s="1060"/>
      <c r="L21" s="1082"/>
    </row>
    <row r="22" spans="1:12" ht="13.1">
      <c r="A22" s="1078" t="s">
        <v>115</v>
      </c>
      <c r="B22" s="1079">
        <v>0</v>
      </c>
      <c r="C22" s="1079">
        <f t="shared" si="2"/>
        <v>0</v>
      </c>
      <c r="D22" s="1080"/>
      <c r="E22" s="1060"/>
      <c r="F22" s="1081"/>
      <c r="G22" s="1059">
        <v>0</v>
      </c>
      <c r="H22" s="1059">
        <f t="shared" si="0"/>
        <v>0</v>
      </c>
      <c r="I22" s="1059">
        <f t="shared" si="1"/>
        <v>0</v>
      </c>
      <c r="J22" s="1060"/>
      <c r="K22" s="1060"/>
      <c r="L22" s="1082"/>
    </row>
    <row r="23" spans="1:12" ht="13.1">
      <c r="A23" s="1078"/>
      <c r="B23" s="1079">
        <v>0</v>
      </c>
      <c r="C23" s="1079">
        <f t="shared" si="2"/>
        <v>0</v>
      </c>
      <c r="D23" s="1080"/>
      <c r="E23" s="1060"/>
      <c r="F23" s="1081"/>
      <c r="G23" s="1059">
        <v>0</v>
      </c>
      <c r="H23" s="1059">
        <f t="shared" si="0"/>
        <v>0</v>
      </c>
      <c r="I23" s="1059">
        <f t="shared" si="1"/>
        <v>0</v>
      </c>
      <c r="J23" s="1060"/>
      <c r="K23" s="1060"/>
      <c r="L23" s="1082"/>
    </row>
    <row r="24" spans="1:12" ht="13.1">
      <c r="A24" s="1078"/>
      <c r="B24" s="1079">
        <v>0</v>
      </c>
      <c r="C24" s="1079">
        <f t="shared" si="2"/>
        <v>0</v>
      </c>
      <c r="D24" s="1080"/>
      <c r="E24" s="1060"/>
      <c r="F24" s="1081"/>
      <c r="G24" s="1059">
        <v>0</v>
      </c>
      <c r="H24" s="1059">
        <f t="shared" si="0"/>
        <v>0</v>
      </c>
      <c r="I24" s="1059">
        <f t="shared" si="1"/>
        <v>0</v>
      </c>
      <c r="J24" s="1060"/>
      <c r="K24" s="1060"/>
      <c r="L24" s="1082"/>
    </row>
    <row r="25" spans="1:12" ht="13.1">
      <c r="A25" s="1078"/>
      <c r="B25" s="1079">
        <v>0</v>
      </c>
      <c r="C25" s="1079">
        <f t="shared" si="2"/>
        <v>0</v>
      </c>
      <c r="D25" s="1080"/>
      <c r="E25" s="1060"/>
      <c r="F25" s="1081"/>
      <c r="G25" s="1059">
        <v>0</v>
      </c>
      <c r="H25" s="1059">
        <f t="shared" si="0"/>
        <v>0</v>
      </c>
      <c r="I25" s="1059">
        <f t="shared" si="1"/>
        <v>0</v>
      </c>
      <c r="J25" s="1060"/>
      <c r="K25" s="1060"/>
      <c r="L25" s="1082"/>
    </row>
    <row r="26" spans="1:12" ht="13.1">
      <c r="A26" s="1078"/>
      <c r="B26" s="1079">
        <v>0</v>
      </c>
      <c r="C26" s="1079">
        <f t="shared" si="2"/>
        <v>0</v>
      </c>
      <c r="D26" s="1080"/>
      <c r="E26" s="1060"/>
      <c r="F26" s="1081"/>
      <c r="G26" s="1059">
        <v>0</v>
      </c>
      <c r="H26" s="1059">
        <f t="shared" si="0"/>
        <v>0</v>
      </c>
      <c r="I26" s="1059">
        <f t="shared" si="1"/>
        <v>0</v>
      </c>
      <c r="J26" s="1060"/>
      <c r="K26" s="1060"/>
      <c r="L26" s="1082"/>
    </row>
    <row r="27" spans="1:12" ht="13.1">
      <c r="A27" s="1078"/>
      <c r="B27" s="1079">
        <v>0</v>
      </c>
      <c r="C27" s="1079">
        <f t="shared" si="2"/>
        <v>0</v>
      </c>
      <c r="D27" s="1080"/>
      <c r="E27" s="1060"/>
      <c r="F27" s="1081"/>
      <c r="G27" s="1059">
        <v>0</v>
      </c>
      <c r="H27" s="1059">
        <f t="shared" si="0"/>
        <v>0</v>
      </c>
      <c r="I27" s="1059">
        <f t="shared" si="1"/>
        <v>0</v>
      </c>
      <c r="J27" s="1060"/>
      <c r="K27" s="1060"/>
      <c r="L27" s="1082"/>
    </row>
    <row r="28" spans="1:12" ht="13.1">
      <c r="A28" s="1078"/>
      <c r="B28" s="1079">
        <v>0</v>
      </c>
      <c r="C28" s="1079">
        <f t="shared" si="2"/>
        <v>0</v>
      </c>
      <c r="D28" s="1080"/>
      <c r="E28" s="1060"/>
      <c r="F28" s="1081"/>
      <c r="G28" s="1059">
        <v>0</v>
      </c>
      <c r="H28" s="1059">
        <f t="shared" si="0"/>
        <v>0</v>
      </c>
      <c r="I28" s="1059">
        <f t="shared" si="1"/>
        <v>0</v>
      </c>
      <c r="J28" s="1060"/>
      <c r="K28" s="1060"/>
      <c r="L28" s="1082"/>
    </row>
    <row r="29" spans="1:12" ht="13.1">
      <c r="A29" s="1078"/>
      <c r="B29" s="1079">
        <v>0</v>
      </c>
      <c r="C29" s="1079">
        <f t="shared" si="2"/>
        <v>0</v>
      </c>
      <c r="D29" s="1080"/>
      <c r="E29" s="1060"/>
      <c r="F29" s="1081"/>
      <c r="G29" s="1059">
        <v>0</v>
      </c>
      <c r="H29" s="1059">
        <f t="shared" si="0"/>
        <v>0</v>
      </c>
      <c r="I29" s="1059">
        <f t="shared" si="1"/>
        <v>0</v>
      </c>
      <c r="J29" s="1060"/>
      <c r="K29" s="1060"/>
      <c r="L29" s="1082"/>
    </row>
    <row r="30" spans="1:12" ht="13.1">
      <c r="A30" s="1078"/>
      <c r="B30" s="1079">
        <v>0</v>
      </c>
      <c r="C30" s="1079">
        <f t="shared" si="2"/>
        <v>0</v>
      </c>
      <c r="D30" s="1080"/>
      <c r="E30" s="1060"/>
      <c r="F30" s="1081"/>
      <c r="G30" s="1059">
        <v>0</v>
      </c>
      <c r="H30" s="1059">
        <f t="shared" si="0"/>
        <v>0</v>
      </c>
      <c r="I30" s="1059">
        <f t="shared" si="1"/>
        <v>0</v>
      </c>
      <c r="J30" s="1060"/>
      <c r="K30" s="1060"/>
      <c r="L30" s="1082"/>
    </row>
    <row r="31" spans="1:12" ht="13.1">
      <c r="A31" s="1078"/>
      <c r="B31" s="1079">
        <v>0</v>
      </c>
      <c r="C31" s="1079">
        <f t="shared" si="2"/>
        <v>0</v>
      </c>
      <c r="D31" s="1080"/>
      <c r="E31" s="1060"/>
      <c r="F31" s="1081"/>
      <c r="G31" s="1059">
        <v>0</v>
      </c>
      <c r="H31" s="1059">
        <f t="shared" si="0"/>
        <v>0</v>
      </c>
      <c r="I31" s="1059">
        <f t="shared" si="1"/>
        <v>0</v>
      </c>
      <c r="J31" s="1060"/>
      <c r="K31" s="1060"/>
      <c r="L31" s="1082"/>
    </row>
    <row r="32" spans="1:12" ht="13.1">
      <c r="A32" s="1078"/>
      <c r="B32" s="1079">
        <v>0</v>
      </c>
      <c r="C32" s="1079">
        <f t="shared" si="2"/>
        <v>0</v>
      </c>
      <c r="D32" s="1080"/>
      <c r="E32" s="1060"/>
      <c r="F32" s="1081"/>
      <c r="G32" s="1059">
        <v>0</v>
      </c>
      <c r="H32" s="1059">
        <f t="shared" si="0"/>
        <v>0</v>
      </c>
      <c r="I32" s="1059">
        <f t="shared" si="1"/>
        <v>0</v>
      </c>
      <c r="J32" s="1060"/>
      <c r="K32" s="1060"/>
      <c r="L32" s="1082"/>
    </row>
    <row r="33" spans="1:12" ht="13.1">
      <c r="A33" s="1078"/>
      <c r="B33" s="1079">
        <v>0</v>
      </c>
      <c r="C33" s="1079">
        <f t="shared" si="2"/>
        <v>0</v>
      </c>
      <c r="D33" s="1080"/>
      <c r="E33" s="1060"/>
      <c r="F33" s="1081"/>
      <c r="G33" s="1059">
        <v>0</v>
      </c>
      <c r="H33" s="1059">
        <f t="shared" si="0"/>
        <v>0</v>
      </c>
      <c r="I33" s="1059">
        <f t="shared" si="1"/>
        <v>0</v>
      </c>
      <c r="J33" s="1060"/>
      <c r="K33" s="1060"/>
      <c r="L33" s="1082"/>
    </row>
    <row r="34" spans="1:12" ht="13.1">
      <c r="A34" s="1078"/>
      <c r="B34" s="1079">
        <v>0</v>
      </c>
      <c r="C34" s="1079">
        <f t="shared" si="2"/>
        <v>0</v>
      </c>
      <c r="D34" s="1080"/>
      <c r="E34" s="1060"/>
      <c r="F34" s="1081"/>
      <c r="G34" s="1059">
        <v>0</v>
      </c>
      <c r="H34" s="1059">
        <f t="shared" si="0"/>
        <v>0</v>
      </c>
      <c r="I34" s="1059">
        <f t="shared" si="1"/>
        <v>0</v>
      </c>
      <c r="J34" s="1060"/>
      <c r="K34" s="1060"/>
      <c r="L34" s="1082"/>
    </row>
    <row r="35" spans="1:12" ht="13.5" thickBot="1"/>
    <row r="36" spans="1:12" ht="13.75" thickBot="1">
      <c r="B36" s="1056" t="s">
        <v>151</v>
      </c>
      <c r="C36" s="1058"/>
      <c r="D36" s="2403">
        <f>(Summary!C63)</f>
        <v>0</v>
      </c>
      <c r="E36" s="2404"/>
      <c r="F36" s="2404"/>
      <c r="G36" s="2405"/>
      <c r="H36" s="1083" t="s">
        <v>244</v>
      </c>
      <c r="I36" s="1058"/>
      <c r="J36" s="2460"/>
      <c r="K36" s="2461"/>
    </row>
    <row r="37" spans="1:12" ht="13.75" thickBot="1">
      <c r="B37" s="1056" t="s">
        <v>224</v>
      </c>
      <c r="C37" s="1057"/>
      <c r="D37" s="1058"/>
      <c r="E37" s="2403"/>
      <c r="F37" s="2404"/>
      <c r="G37" s="2404"/>
      <c r="H37" s="2405"/>
      <c r="I37" s="1017"/>
    </row>
    <row r="38" spans="1:12" ht="13.75" thickBot="1">
      <c r="B38" s="2403" t="s">
        <v>245</v>
      </c>
      <c r="C38" s="2405"/>
      <c r="D38" s="1017"/>
      <c r="E38" s="1017"/>
      <c r="F38" s="1017"/>
      <c r="G38" s="1017"/>
      <c r="H38" s="1017"/>
      <c r="I38" s="1017"/>
      <c r="J38" s="1068"/>
      <c r="K38" s="1068"/>
      <c r="L38" s="1068"/>
    </row>
    <row r="39" spans="1:12">
      <c r="B39" s="1084"/>
      <c r="D39" s="1062"/>
      <c r="E39" s="1062"/>
      <c r="F39" s="1062"/>
      <c r="G39" s="1062"/>
      <c r="H39" s="1062"/>
      <c r="I39" s="1062"/>
      <c r="J39" s="1062"/>
      <c r="K39" s="1063"/>
    </row>
    <row r="40" spans="1:12">
      <c r="B40" s="1084"/>
      <c r="K40" s="1085"/>
    </row>
    <row r="41" spans="1:12">
      <c r="B41" s="1084"/>
      <c r="K41" s="1085"/>
    </row>
    <row r="42" spans="1:12">
      <c r="B42" s="1084"/>
      <c r="K42" s="1085"/>
    </row>
    <row r="43" spans="1:12">
      <c r="B43" s="1064"/>
      <c r="C43" s="1065"/>
      <c r="D43" s="1065"/>
      <c r="E43" s="1065"/>
      <c r="F43" s="1065"/>
      <c r="G43" s="1065"/>
      <c r="H43" s="1065"/>
      <c r="I43" s="1065"/>
      <c r="J43" s="1065"/>
      <c r="K43" s="1066"/>
    </row>
  </sheetData>
  <mergeCells count="11">
    <mergeCell ref="C6:E6"/>
    <mergeCell ref="J36:K36"/>
    <mergeCell ref="E2:I2"/>
    <mergeCell ref="D36:G36"/>
    <mergeCell ref="B38:C38"/>
    <mergeCell ref="E37:H37"/>
    <mergeCell ref="F5:G5"/>
    <mergeCell ref="H5:I5"/>
    <mergeCell ref="E3:I3"/>
    <mergeCell ref="E4:I4"/>
    <mergeCell ref="A6:B6"/>
  </mergeCells>
  <phoneticPr fontId="0" type="noConversion"/>
  <pageMargins left="0.75" right="0.75" top="1" bottom="1" header="0.5" footer="0.5"/>
  <pageSetup scale="80" orientation="landscape" horizontalDpi="360" verticalDpi="36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4" r:id="rId4" name="Button 4">
              <controlPr defaultSize="0" print="0" autoFill="0" autoPict="0" macro="[0]!BACKTOMENU">
                <anchor moveWithCells="1">
                  <from>
                    <xdr:col>0</xdr:col>
                    <xdr:colOff>100693</xdr:colOff>
                    <xdr:row>0</xdr:row>
                    <xdr:rowOff>51707</xdr:rowOff>
                  </from>
                  <to>
                    <xdr:col>1</xdr:col>
                    <xdr:colOff>0</xdr:colOff>
                    <xdr:row>1</xdr:row>
                    <xdr:rowOff>68036</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48B52A5-0AF0-42E5-A601-DE8127CEA39C}">
          <x14:formula1>
            <xm:f>'Data Validation'!$C$1:$D$1</xm:f>
          </x14:formula1>
          <xm:sqref>C6:E6</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0C6CF-51A3-4F56-9B8E-D16B43D8D648}">
  <sheetPr transitionEvaluation="1" codeName="Sheet46"/>
  <dimension ref="A1:Q252"/>
  <sheetViews>
    <sheetView showGridLines="0" showZeros="0" view="pageBreakPreview" zoomScale="70" zoomScaleNormal="90" zoomScaleSheetLayoutView="70" workbookViewId="0">
      <selection activeCell="D8" sqref="D8:J8"/>
    </sheetView>
  </sheetViews>
  <sheetFormatPr defaultColWidth="14.421875" defaultRowHeight="14.6"/>
  <cols>
    <col min="1" max="1" width="1.84375" style="7" customWidth="1"/>
    <col min="2" max="2" width="14.421875" style="7" customWidth="1"/>
    <col min="3" max="4" width="12.15234375" style="7" customWidth="1"/>
    <col min="5" max="5" width="9.84375" style="7" customWidth="1"/>
    <col min="6" max="6" width="11.69140625" style="7" customWidth="1"/>
    <col min="7" max="7" width="11" style="7" customWidth="1"/>
    <col min="8" max="8" width="9.84375" style="7" customWidth="1"/>
    <col min="9" max="10" width="12.265625" style="7" customWidth="1"/>
    <col min="11" max="11" width="9.84375" style="7" customWidth="1"/>
    <col min="12" max="13" width="11" style="7" customWidth="1"/>
    <col min="14" max="14" width="13.265625" style="7" customWidth="1"/>
    <col min="15" max="15" width="35" style="7" customWidth="1"/>
    <col min="16" max="16" width="6.84375" style="7" customWidth="1"/>
    <col min="17" max="17" width="8.15234375" style="7" customWidth="1"/>
    <col min="18" max="16384" width="14.421875" style="7"/>
  </cols>
  <sheetData>
    <row r="1" spans="1:17" ht="20.100000000000001" customHeight="1">
      <c r="A1" s="6"/>
      <c r="B1" s="2485">
        <f>Summary!C5</f>
        <v>0</v>
      </c>
      <c r="C1" s="2485"/>
      <c r="D1" s="2485"/>
      <c r="E1" s="2485"/>
      <c r="F1" s="2485"/>
      <c r="G1" s="2485"/>
      <c r="H1" s="2485"/>
      <c r="I1" s="2485"/>
      <c r="J1" s="2485"/>
      <c r="K1" s="2485"/>
      <c r="L1" s="2485"/>
      <c r="M1" s="2485"/>
      <c r="N1" s="2485"/>
      <c r="O1" s="2485"/>
      <c r="P1" s="1384"/>
      <c r="Q1" s="8"/>
    </row>
    <row r="2" spans="1:17" ht="20.100000000000001" customHeight="1">
      <c r="A2" s="9"/>
      <c r="B2" s="2493" t="s">
        <v>1593</v>
      </c>
      <c r="C2" s="2493"/>
      <c r="D2" s="2494" t="s">
        <v>1521</v>
      </c>
      <c r="E2" s="2494"/>
      <c r="F2" s="2494"/>
      <c r="Q2" s="12"/>
    </row>
    <row r="3" spans="1:17" ht="18">
      <c r="A3" s="9"/>
      <c r="B3" s="2492" t="s">
        <v>247</v>
      </c>
      <c r="C3" s="2492"/>
      <c r="D3" s="14"/>
      <c r="E3" s="14"/>
      <c r="F3" s="14"/>
      <c r="G3" s="14"/>
      <c r="H3" s="14"/>
      <c r="I3" s="14"/>
      <c r="J3" s="14"/>
      <c r="K3" s="14"/>
      <c r="L3" s="14"/>
      <c r="M3" s="14"/>
      <c r="N3" s="789" t="s">
        <v>248</v>
      </c>
      <c r="O3" s="790" t="str">
        <f>IF(O87="3 OF 3","1 OF 3",IF(O45="2 OF 2","1 OF 2","1 OF 1"))</f>
        <v>1 OF 3</v>
      </c>
      <c r="Q3" s="12"/>
    </row>
    <row r="4" spans="1:17" ht="10.15" customHeight="1" thickBot="1">
      <c r="A4" s="9"/>
      <c r="B4" s="15"/>
      <c r="Q4" s="12"/>
    </row>
    <row r="5" spans="1:17" ht="20.100000000000001" customHeight="1" thickBot="1">
      <c r="A5" s="9"/>
      <c r="B5" s="523" t="s">
        <v>249</v>
      </c>
      <c r="C5" s="524"/>
      <c r="D5" s="2477">
        <f>(Summary!C6)</f>
        <v>0</v>
      </c>
      <c r="E5" s="2478"/>
      <c r="F5" s="2478"/>
      <c r="G5" s="2478"/>
      <c r="H5" s="2478"/>
      <c r="I5" s="2478"/>
      <c r="J5" s="2478"/>
      <c r="K5" s="2479"/>
      <c r="L5" s="791" t="s">
        <v>413</v>
      </c>
      <c r="M5" s="792"/>
      <c r="N5" s="793"/>
      <c r="O5" s="794"/>
      <c r="Q5" s="12"/>
    </row>
    <row r="6" spans="1:17" ht="20.100000000000001" customHeight="1" thickBot="1">
      <c r="A6" s="9"/>
      <c r="B6" s="525" t="s">
        <v>250</v>
      </c>
      <c r="C6" s="526"/>
      <c r="D6" s="2480" t="str">
        <f>IF(Summary!C32=" "," ",Summary!C32)</f>
        <v xml:space="preserve"> </v>
      </c>
      <c r="E6" s="2481"/>
      <c r="F6" s="2481" t="str">
        <f>IF(Summary!C33=" "," ",Summary!C33)</f>
        <v xml:space="preserve"> </v>
      </c>
      <c r="G6" s="2481"/>
      <c r="H6" s="2481" t="str">
        <f>IF(Summary!C34=" "," ",Summary!C34)</f>
        <v xml:space="preserve"> </v>
      </c>
      <c r="I6" s="2481"/>
      <c r="J6" s="2484">
        <f>Summary!C35</f>
        <v>0</v>
      </c>
      <c r="K6" s="2483"/>
      <c r="L6" s="796" t="s">
        <v>251</v>
      </c>
      <c r="M6" s="797"/>
      <c r="N6" s="798"/>
      <c r="O6" s="532">
        <v>0</v>
      </c>
      <c r="Q6" s="12"/>
    </row>
    <row r="7" spans="1:17" ht="20.100000000000001" customHeight="1" thickBot="1">
      <c r="A7" s="9"/>
      <c r="B7" s="525" t="s">
        <v>252</v>
      </c>
      <c r="C7" s="526"/>
      <c r="D7" s="797" t="s">
        <v>115</v>
      </c>
      <c r="E7" s="799"/>
      <c r="F7" s="797" t="s">
        <v>1249</v>
      </c>
      <c r="G7" s="1383">
        <v>0</v>
      </c>
      <c r="H7" s="797" t="s">
        <v>218</v>
      </c>
      <c r="I7" s="797" t="s">
        <v>1250</v>
      </c>
      <c r="J7" s="544">
        <v>0</v>
      </c>
      <c r="K7" s="797" t="str">
        <f>H7</f>
        <v>m³</v>
      </c>
      <c r="L7" s="525" t="s">
        <v>253</v>
      </c>
      <c r="M7" s="834"/>
      <c r="N7" s="835"/>
      <c r="O7" s="800">
        <v>0</v>
      </c>
      <c r="Q7" s="12"/>
    </row>
    <row r="8" spans="1:17" ht="20.100000000000001" customHeight="1" thickBot="1">
      <c r="A8" s="9" t="s">
        <v>115</v>
      </c>
      <c r="B8" s="2472" t="s">
        <v>1082</v>
      </c>
      <c r="C8" s="2473"/>
      <c r="D8" s="801">
        <f>SUM(J12:J35)</f>
        <v>0</v>
      </c>
      <c r="E8" s="802" t="s">
        <v>966</v>
      </c>
      <c r="F8" s="803">
        <f>D8/0.0283</f>
        <v>0</v>
      </c>
      <c r="G8" s="802" t="s">
        <v>257</v>
      </c>
      <c r="H8" s="2474" t="s">
        <v>631</v>
      </c>
      <c r="I8" s="2475"/>
      <c r="J8" s="804" t="s">
        <v>410</v>
      </c>
      <c r="K8" s="797"/>
      <c r="L8" s="525" t="s">
        <v>258</v>
      </c>
      <c r="M8" s="834"/>
      <c r="N8" s="835" t="s">
        <v>115</v>
      </c>
      <c r="O8" s="805">
        <v>0</v>
      </c>
      <c r="P8" s="7" t="s">
        <v>115</v>
      </c>
      <c r="Q8" s="12"/>
    </row>
    <row r="9" spans="1:17" ht="10.15" customHeight="1" thickBot="1">
      <c r="A9" s="9"/>
      <c r="B9" s="528"/>
      <c r="C9" s="528"/>
      <c r="D9" s="806"/>
      <c r="E9" s="806"/>
      <c r="F9" s="806"/>
      <c r="G9" s="806"/>
      <c r="H9" s="806"/>
      <c r="I9" s="806"/>
      <c r="J9" s="806"/>
      <c r="K9" s="806"/>
      <c r="L9" s="806"/>
      <c r="M9" s="806"/>
      <c r="N9" s="806"/>
      <c r="O9" s="806"/>
      <c r="Q9" s="12"/>
    </row>
    <row r="10" spans="1:17" ht="15.9" thickBot="1">
      <c r="A10" s="9"/>
      <c r="B10" s="529" t="s">
        <v>117</v>
      </c>
      <c r="C10" s="530"/>
      <c r="D10" s="530" t="s">
        <v>259</v>
      </c>
      <c r="E10" s="530" t="s">
        <v>204</v>
      </c>
      <c r="F10" s="807" t="s">
        <v>260</v>
      </c>
      <c r="G10" s="808" t="s">
        <v>967</v>
      </c>
      <c r="H10" s="809"/>
      <c r="I10" s="810" t="s">
        <v>1612</v>
      </c>
      <c r="J10" s="811"/>
      <c r="K10" s="812"/>
      <c r="L10" s="813" t="s">
        <v>263</v>
      </c>
      <c r="M10" s="813" t="s">
        <v>263</v>
      </c>
      <c r="N10" s="813" t="s">
        <v>264</v>
      </c>
      <c r="O10" s="814" t="s">
        <v>265</v>
      </c>
      <c r="P10" s="2495" t="s">
        <v>1292</v>
      </c>
      <c r="Q10" s="2497" t="s">
        <v>1293</v>
      </c>
    </row>
    <row r="11" spans="1:17" ht="15" customHeight="1" thickBot="1">
      <c r="A11" s="9"/>
      <c r="B11" s="531" t="s">
        <v>266</v>
      </c>
      <c r="C11" s="532" t="s">
        <v>208</v>
      </c>
      <c r="D11" s="532" t="s">
        <v>267</v>
      </c>
      <c r="E11" s="532" t="s">
        <v>217</v>
      </c>
      <c r="F11" s="532" t="s">
        <v>217</v>
      </c>
      <c r="G11" s="532" t="s">
        <v>268</v>
      </c>
      <c r="H11" s="532" t="s">
        <v>269</v>
      </c>
      <c r="I11" s="532" t="s">
        <v>194</v>
      </c>
      <c r="J11" s="532" t="s">
        <v>270</v>
      </c>
      <c r="K11" s="532" t="s">
        <v>193</v>
      </c>
      <c r="L11" s="815" t="s">
        <v>271</v>
      </c>
      <c r="M11" s="815" t="s">
        <v>272</v>
      </c>
      <c r="N11" s="815" t="s">
        <v>273</v>
      </c>
      <c r="O11" s="816"/>
      <c r="P11" s="2496"/>
      <c r="Q11" s="2498"/>
    </row>
    <row r="12" spans="1:17" ht="20.100000000000001" customHeight="1" thickBot="1">
      <c r="A12" s="9"/>
      <c r="B12" s="1139"/>
      <c r="C12" s="237"/>
      <c r="D12" s="817" t="s">
        <v>115</v>
      </c>
      <c r="E12" s="818" t="s">
        <v>115</v>
      </c>
      <c r="F12" s="818">
        <v>0</v>
      </c>
      <c r="G12" s="819">
        <v>0</v>
      </c>
      <c r="H12" s="820">
        <v>0</v>
      </c>
      <c r="I12" s="821">
        <v>0</v>
      </c>
      <c r="J12" s="822">
        <f t="shared" ref="J12:J35" si="0">(L12/48)</f>
        <v>0</v>
      </c>
      <c r="K12" s="821">
        <v>0</v>
      </c>
      <c r="L12" s="926">
        <f t="shared" ref="L12:L35" si="1">M12*0.0266</f>
        <v>0</v>
      </c>
      <c r="M12" s="236">
        <f t="shared" ref="M12:M35" si="2">IF(G12=0,IF(E12=0,0,((E12/6.895)+14)*B12/17.5),SQRT((G12+14)*H12)*(B12*0.031))</f>
        <v>0</v>
      </c>
      <c r="N12" s="823">
        <f>IF(F12=0,0,IF(O7=0,0,((O7-F12)/O7)*100))</f>
        <v>0</v>
      </c>
      <c r="O12" s="1388"/>
      <c r="P12" s="1390">
        <f t="shared" ref="P12:P35" si="3">IF(K12=0,0,(K12/(I12+K12)))</f>
        <v>0</v>
      </c>
      <c r="Q12" s="1389">
        <f t="shared" ref="Q12:Q38" si="4">IF(I12=0,0,IF(J12=0," ",J12/I12)*48)</f>
        <v>0</v>
      </c>
    </row>
    <row r="13" spans="1:17" ht="20.100000000000001" customHeight="1" thickBot="1">
      <c r="A13" s="9"/>
      <c r="B13" s="1139"/>
      <c r="C13" s="237"/>
      <c r="D13" s="817"/>
      <c r="E13" s="818"/>
      <c r="F13" s="818"/>
      <c r="G13" s="819" t="s">
        <v>115</v>
      </c>
      <c r="H13" s="820" t="s">
        <v>115</v>
      </c>
      <c r="I13" s="821"/>
      <c r="J13" s="822">
        <f t="shared" si="0"/>
        <v>0</v>
      </c>
      <c r="K13" s="821"/>
      <c r="L13" s="927">
        <f t="shared" si="1"/>
        <v>0</v>
      </c>
      <c r="M13" s="236">
        <f t="shared" si="2"/>
        <v>0</v>
      </c>
      <c r="N13" s="823">
        <f>IF(F13=0,0,IF(O7=0,0,((O7-F13)/O7)*100))</f>
        <v>0</v>
      </c>
      <c r="O13" s="1388"/>
      <c r="P13" s="1390">
        <f t="shared" si="3"/>
        <v>0</v>
      </c>
      <c r="Q13" s="1389">
        <f t="shared" si="4"/>
        <v>0</v>
      </c>
    </row>
    <row r="14" spans="1:17" ht="20.100000000000001" customHeight="1" thickBot="1">
      <c r="A14" s="9"/>
      <c r="B14" s="1139"/>
      <c r="C14" s="237"/>
      <c r="D14" s="817"/>
      <c r="E14" s="818"/>
      <c r="F14" s="818"/>
      <c r="G14" s="819" t="s">
        <v>115</v>
      </c>
      <c r="H14" s="820" t="s">
        <v>115</v>
      </c>
      <c r="I14" s="821"/>
      <c r="J14" s="822">
        <f t="shared" si="0"/>
        <v>0</v>
      </c>
      <c r="K14" s="821"/>
      <c r="L14" s="927">
        <f t="shared" si="1"/>
        <v>0</v>
      </c>
      <c r="M14" s="236">
        <f t="shared" si="2"/>
        <v>0</v>
      </c>
      <c r="N14" s="823">
        <f>IF(F14=0,0,IF(O7=0,0,((O7-F14)/O7)*100))</f>
        <v>0</v>
      </c>
      <c r="O14" s="1388"/>
      <c r="P14" s="1390">
        <f t="shared" si="3"/>
        <v>0</v>
      </c>
      <c r="Q14" s="1389">
        <f t="shared" si="4"/>
        <v>0</v>
      </c>
    </row>
    <row r="15" spans="1:17" ht="20.100000000000001" customHeight="1" thickBot="1">
      <c r="A15" s="9"/>
      <c r="B15" s="1139"/>
      <c r="C15" s="237"/>
      <c r="D15" s="817"/>
      <c r="E15" s="818"/>
      <c r="F15" s="818"/>
      <c r="G15" s="819" t="s">
        <v>115</v>
      </c>
      <c r="H15" s="820" t="s">
        <v>115</v>
      </c>
      <c r="I15" s="821"/>
      <c r="J15" s="822">
        <f t="shared" si="0"/>
        <v>0</v>
      </c>
      <c r="K15" s="821"/>
      <c r="L15" s="927">
        <f t="shared" si="1"/>
        <v>0</v>
      </c>
      <c r="M15" s="236">
        <f t="shared" si="2"/>
        <v>0</v>
      </c>
      <c r="N15" s="823">
        <f>IF(F15=0,0,IF(O7=0,0,((O7-F15)/O7)*100))</f>
        <v>0</v>
      </c>
      <c r="O15" s="1388"/>
      <c r="P15" s="1390">
        <f t="shared" si="3"/>
        <v>0</v>
      </c>
      <c r="Q15" s="1389">
        <f t="shared" si="4"/>
        <v>0</v>
      </c>
    </row>
    <row r="16" spans="1:17" ht="20.100000000000001" customHeight="1" thickBot="1">
      <c r="A16" s="9"/>
      <c r="B16" s="1139"/>
      <c r="C16" s="237"/>
      <c r="D16" s="817"/>
      <c r="E16" s="818"/>
      <c r="F16" s="818"/>
      <c r="G16" s="819" t="s">
        <v>115</v>
      </c>
      <c r="H16" s="820" t="s">
        <v>115</v>
      </c>
      <c r="I16" s="821"/>
      <c r="J16" s="822">
        <f t="shared" si="0"/>
        <v>0</v>
      </c>
      <c r="K16" s="821"/>
      <c r="L16" s="927">
        <f t="shared" si="1"/>
        <v>0</v>
      </c>
      <c r="M16" s="236">
        <f t="shared" si="2"/>
        <v>0</v>
      </c>
      <c r="N16" s="823">
        <f>IF(F16=0,0,IF(O7=0,0,((O7-F16)/O7)*100))</f>
        <v>0</v>
      </c>
      <c r="O16" s="1388"/>
      <c r="P16" s="1390">
        <f t="shared" si="3"/>
        <v>0</v>
      </c>
      <c r="Q16" s="1389">
        <f t="shared" si="4"/>
        <v>0</v>
      </c>
    </row>
    <row r="17" spans="1:17" ht="20.100000000000001" customHeight="1" thickBot="1">
      <c r="A17" s="9"/>
      <c r="B17" s="1139"/>
      <c r="C17" s="237"/>
      <c r="D17" s="817"/>
      <c r="E17" s="818"/>
      <c r="F17" s="818"/>
      <c r="G17" s="819" t="s">
        <v>115</v>
      </c>
      <c r="H17" s="820" t="s">
        <v>115</v>
      </c>
      <c r="I17" s="821"/>
      <c r="J17" s="822">
        <f t="shared" si="0"/>
        <v>0</v>
      </c>
      <c r="K17" s="821"/>
      <c r="L17" s="927">
        <f t="shared" si="1"/>
        <v>0</v>
      </c>
      <c r="M17" s="236">
        <f t="shared" si="2"/>
        <v>0</v>
      </c>
      <c r="N17" s="823">
        <f>IF(F17=0,0,IF(O7=0,0,((O7-F17)/O7)*100))</f>
        <v>0</v>
      </c>
      <c r="O17" s="1388"/>
      <c r="P17" s="1390">
        <f t="shared" si="3"/>
        <v>0</v>
      </c>
      <c r="Q17" s="1389">
        <f t="shared" si="4"/>
        <v>0</v>
      </c>
    </row>
    <row r="18" spans="1:17" ht="20.100000000000001" customHeight="1" thickBot="1">
      <c r="A18" s="9"/>
      <c r="B18" s="1139"/>
      <c r="C18" s="237"/>
      <c r="D18" s="817"/>
      <c r="E18" s="818"/>
      <c r="F18" s="818"/>
      <c r="G18" s="819" t="s">
        <v>115</v>
      </c>
      <c r="H18" s="820" t="s">
        <v>115</v>
      </c>
      <c r="I18" s="821"/>
      <c r="J18" s="822">
        <f t="shared" si="0"/>
        <v>0</v>
      </c>
      <c r="K18" s="821"/>
      <c r="L18" s="927">
        <f t="shared" si="1"/>
        <v>0</v>
      </c>
      <c r="M18" s="236">
        <f t="shared" si="2"/>
        <v>0</v>
      </c>
      <c r="N18" s="823">
        <f>IF(F18=0,0,IF(O7=0,0,((O7-F18)/O7)*100))</f>
        <v>0</v>
      </c>
      <c r="O18" s="1388"/>
      <c r="P18" s="1390">
        <f t="shared" si="3"/>
        <v>0</v>
      </c>
      <c r="Q18" s="1389">
        <f t="shared" si="4"/>
        <v>0</v>
      </c>
    </row>
    <row r="19" spans="1:17" ht="20.100000000000001" customHeight="1" thickBot="1">
      <c r="A19" s="9"/>
      <c r="B19" s="1139"/>
      <c r="C19" s="237"/>
      <c r="D19" s="817"/>
      <c r="E19" s="818"/>
      <c r="F19" s="818"/>
      <c r="G19" s="819" t="s">
        <v>115</v>
      </c>
      <c r="H19" s="820" t="s">
        <v>115</v>
      </c>
      <c r="I19" s="821"/>
      <c r="J19" s="822">
        <f t="shared" si="0"/>
        <v>0</v>
      </c>
      <c r="K19" s="821"/>
      <c r="L19" s="926">
        <f t="shared" si="1"/>
        <v>0</v>
      </c>
      <c r="M19" s="236">
        <f t="shared" si="2"/>
        <v>0</v>
      </c>
      <c r="N19" s="823">
        <f>IF(F19=0,0,IF(O7=0,0,((O7-F19)/O7)*100))</f>
        <v>0</v>
      </c>
      <c r="O19" s="1388"/>
      <c r="P19" s="1390">
        <f t="shared" si="3"/>
        <v>0</v>
      </c>
      <c r="Q19" s="1389">
        <f t="shared" si="4"/>
        <v>0</v>
      </c>
    </row>
    <row r="20" spans="1:17" ht="20.100000000000001" customHeight="1" thickBot="1">
      <c r="A20" s="9"/>
      <c r="B20" s="1139"/>
      <c r="C20" s="237"/>
      <c r="D20" s="817"/>
      <c r="E20" s="818"/>
      <c r="F20" s="818"/>
      <c r="G20" s="819" t="s">
        <v>115</v>
      </c>
      <c r="H20" s="820" t="s">
        <v>115</v>
      </c>
      <c r="I20" s="821"/>
      <c r="J20" s="822">
        <f t="shared" si="0"/>
        <v>0</v>
      </c>
      <c r="K20" s="821"/>
      <c r="L20" s="926">
        <f t="shared" si="1"/>
        <v>0</v>
      </c>
      <c r="M20" s="236">
        <f t="shared" si="2"/>
        <v>0</v>
      </c>
      <c r="N20" s="823">
        <f>IF(F20=0,0,IF(O7=0,0,((O7-F20)/O7)*100))</f>
        <v>0</v>
      </c>
      <c r="O20" s="1388"/>
      <c r="P20" s="1390">
        <f t="shared" si="3"/>
        <v>0</v>
      </c>
      <c r="Q20" s="1389">
        <f t="shared" si="4"/>
        <v>0</v>
      </c>
    </row>
    <row r="21" spans="1:17" ht="20.100000000000001" customHeight="1" thickBot="1">
      <c r="A21" s="9"/>
      <c r="B21" s="1139"/>
      <c r="C21" s="237"/>
      <c r="D21" s="817"/>
      <c r="E21" s="818"/>
      <c r="F21" s="818"/>
      <c r="G21" s="819" t="s">
        <v>115</v>
      </c>
      <c r="H21" s="820" t="s">
        <v>115</v>
      </c>
      <c r="I21" s="821"/>
      <c r="J21" s="822">
        <f t="shared" si="0"/>
        <v>0</v>
      </c>
      <c r="K21" s="821"/>
      <c r="L21" s="926">
        <f t="shared" si="1"/>
        <v>0</v>
      </c>
      <c r="M21" s="236">
        <f t="shared" si="2"/>
        <v>0</v>
      </c>
      <c r="N21" s="823">
        <f>IF(F21=0,0,IF(O7=0,0,((O7-F21)/O7)*100))</f>
        <v>0</v>
      </c>
      <c r="O21" s="1388"/>
      <c r="P21" s="1390">
        <f t="shared" si="3"/>
        <v>0</v>
      </c>
      <c r="Q21" s="1389">
        <f t="shared" si="4"/>
        <v>0</v>
      </c>
    </row>
    <row r="22" spans="1:17" ht="20.100000000000001" customHeight="1" thickBot="1">
      <c r="A22" s="9"/>
      <c r="B22" s="1139"/>
      <c r="C22" s="237"/>
      <c r="D22" s="817"/>
      <c r="E22" s="818"/>
      <c r="F22" s="818"/>
      <c r="G22" s="819" t="s">
        <v>115</v>
      </c>
      <c r="H22" s="820" t="s">
        <v>115</v>
      </c>
      <c r="I22" s="821"/>
      <c r="J22" s="822">
        <f t="shared" si="0"/>
        <v>0</v>
      </c>
      <c r="K22" s="821"/>
      <c r="L22" s="926">
        <f t="shared" si="1"/>
        <v>0</v>
      </c>
      <c r="M22" s="236">
        <f t="shared" si="2"/>
        <v>0</v>
      </c>
      <c r="N22" s="823">
        <f>IF(F22=0,0,IF(O7=0,0,((O7-F22)/O7)*100))</f>
        <v>0</v>
      </c>
      <c r="O22" s="1388"/>
      <c r="P22" s="1390">
        <f t="shared" si="3"/>
        <v>0</v>
      </c>
      <c r="Q22" s="1389">
        <f t="shared" si="4"/>
        <v>0</v>
      </c>
    </row>
    <row r="23" spans="1:17" ht="20.100000000000001" customHeight="1" thickBot="1">
      <c r="A23" s="9"/>
      <c r="B23" s="1139"/>
      <c r="C23" s="237"/>
      <c r="D23" s="817"/>
      <c r="E23" s="818"/>
      <c r="F23" s="818"/>
      <c r="G23" s="819" t="s">
        <v>115</v>
      </c>
      <c r="H23" s="820" t="s">
        <v>115</v>
      </c>
      <c r="I23" s="821"/>
      <c r="J23" s="822">
        <f t="shared" si="0"/>
        <v>0</v>
      </c>
      <c r="K23" s="821"/>
      <c r="L23" s="926">
        <f t="shared" si="1"/>
        <v>0</v>
      </c>
      <c r="M23" s="236">
        <f t="shared" si="2"/>
        <v>0</v>
      </c>
      <c r="N23" s="823">
        <f>IF(F23=0,0,IF(O7=0,0,((O7-F23)/O7)*100))</f>
        <v>0</v>
      </c>
      <c r="O23" s="1388"/>
      <c r="P23" s="1390">
        <f t="shared" si="3"/>
        <v>0</v>
      </c>
      <c r="Q23" s="1389">
        <f t="shared" si="4"/>
        <v>0</v>
      </c>
    </row>
    <row r="24" spans="1:17" ht="20.100000000000001" customHeight="1" thickBot="1">
      <c r="A24" s="9"/>
      <c r="B24" s="1139"/>
      <c r="C24" s="237"/>
      <c r="D24" s="817"/>
      <c r="E24" s="818"/>
      <c r="F24" s="818"/>
      <c r="G24" s="819" t="s">
        <v>115</v>
      </c>
      <c r="H24" s="820" t="s">
        <v>115</v>
      </c>
      <c r="I24" s="821"/>
      <c r="J24" s="822">
        <f t="shared" si="0"/>
        <v>0</v>
      </c>
      <c r="K24" s="821"/>
      <c r="L24" s="926">
        <f t="shared" si="1"/>
        <v>0</v>
      </c>
      <c r="M24" s="236">
        <f t="shared" si="2"/>
        <v>0</v>
      </c>
      <c r="N24" s="823">
        <f>IF(F24=0,0,IF(O7=0,0,((O7-F24)/O7)*100))</f>
        <v>0</v>
      </c>
      <c r="O24" s="1388"/>
      <c r="P24" s="1390">
        <f t="shared" si="3"/>
        <v>0</v>
      </c>
      <c r="Q24" s="1389">
        <f t="shared" si="4"/>
        <v>0</v>
      </c>
    </row>
    <row r="25" spans="1:17" ht="20.100000000000001" customHeight="1" thickBot="1">
      <c r="A25" s="9"/>
      <c r="B25" s="1139"/>
      <c r="C25" s="237"/>
      <c r="D25" s="817"/>
      <c r="E25" s="818"/>
      <c r="F25" s="818"/>
      <c r="G25" s="819"/>
      <c r="H25" s="820"/>
      <c r="I25" s="821"/>
      <c r="J25" s="822">
        <f>(L25/48)</f>
        <v>0</v>
      </c>
      <c r="K25" s="821"/>
      <c r="L25" s="926">
        <f>M25*0.0266</f>
        <v>0</v>
      </c>
      <c r="M25" s="236">
        <f>IF(G25=0,IF(E25=0,0,((E25/6.895)+14)*B25/17.5),SQRT((G25+14)*H25)*(B25*0.031))</f>
        <v>0</v>
      </c>
      <c r="N25" s="823">
        <f>IF(F25=0,0,IF(O7=0,0,((O7-F25)/O7)*100))</f>
        <v>0</v>
      </c>
      <c r="O25" s="1388"/>
      <c r="P25" s="1390">
        <f t="shared" si="3"/>
        <v>0</v>
      </c>
      <c r="Q25" s="1389">
        <f t="shared" si="4"/>
        <v>0</v>
      </c>
    </row>
    <row r="26" spans="1:17" ht="20.100000000000001" customHeight="1" thickBot="1">
      <c r="A26" s="9"/>
      <c r="B26" s="1139"/>
      <c r="C26" s="237"/>
      <c r="D26" s="817"/>
      <c r="E26" s="818"/>
      <c r="F26" s="818"/>
      <c r="G26" s="819"/>
      <c r="H26" s="820"/>
      <c r="I26" s="821"/>
      <c r="J26" s="822">
        <f>(L26/48)</f>
        <v>0</v>
      </c>
      <c r="K26" s="821"/>
      <c r="L26" s="926">
        <f>M26*0.0266</f>
        <v>0</v>
      </c>
      <c r="M26" s="236">
        <f>IF(G26=0,IF(E26=0,0,((E26/6.895)+14)*B26/17.5),SQRT((G26+14)*H26)*(B26*0.031))</f>
        <v>0</v>
      </c>
      <c r="N26" s="823">
        <f>IF(F26=0,0,IF(O7=0,0,((O7-F26)/O7)*100))</f>
        <v>0</v>
      </c>
      <c r="O26" s="1388"/>
      <c r="P26" s="1390">
        <f t="shared" si="3"/>
        <v>0</v>
      </c>
      <c r="Q26" s="1389">
        <f t="shared" si="4"/>
        <v>0</v>
      </c>
    </row>
    <row r="27" spans="1:17" ht="20.100000000000001" customHeight="1" thickBot="1">
      <c r="A27" s="9"/>
      <c r="B27" s="1139"/>
      <c r="C27" s="237"/>
      <c r="D27" s="817"/>
      <c r="E27" s="818"/>
      <c r="F27" s="818"/>
      <c r="G27" s="819" t="s">
        <v>115</v>
      </c>
      <c r="H27" s="820" t="s">
        <v>115</v>
      </c>
      <c r="I27" s="821"/>
      <c r="J27" s="822">
        <f t="shared" si="0"/>
        <v>0</v>
      </c>
      <c r="K27" s="821"/>
      <c r="L27" s="926">
        <f t="shared" si="1"/>
        <v>0</v>
      </c>
      <c r="M27" s="236">
        <f t="shared" si="2"/>
        <v>0</v>
      </c>
      <c r="N27" s="823">
        <f>IF(F27=0,0,IF(O7=0,0,((O7-F27)/O7)*100))</f>
        <v>0</v>
      </c>
      <c r="O27" s="1388"/>
      <c r="P27" s="1390">
        <f t="shared" si="3"/>
        <v>0</v>
      </c>
      <c r="Q27" s="1389">
        <f t="shared" si="4"/>
        <v>0</v>
      </c>
    </row>
    <row r="28" spans="1:17" ht="20.100000000000001" customHeight="1" thickBot="1">
      <c r="A28" s="9"/>
      <c r="B28" s="1139"/>
      <c r="C28" s="237"/>
      <c r="D28" s="817"/>
      <c r="E28" s="818"/>
      <c r="F28" s="818"/>
      <c r="G28" s="819" t="s">
        <v>115</v>
      </c>
      <c r="H28" s="820" t="s">
        <v>115</v>
      </c>
      <c r="I28" s="821"/>
      <c r="J28" s="822">
        <f t="shared" si="0"/>
        <v>0</v>
      </c>
      <c r="K28" s="821"/>
      <c r="L28" s="926">
        <f t="shared" si="1"/>
        <v>0</v>
      </c>
      <c r="M28" s="236">
        <f t="shared" si="2"/>
        <v>0</v>
      </c>
      <c r="N28" s="823">
        <f>IF(F28=0,0,IF(O7=0,0,((O7-F28)/O7)*100))</f>
        <v>0</v>
      </c>
      <c r="O28" s="1388"/>
      <c r="P28" s="1390">
        <f t="shared" si="3"/>
        <v>0</v>
      </c>
      <c r="Q28" s="1389">
        <f t="shared" si="4"/>
        <v>0</v>
      </c>
    </row>
    <row r="29" spans="1:17" ht="20.100000000000001" customHeight="1" thickBot="1">
      <c r="A29" s="9"/>
      <c r="B29" s="1139"/>
      <c r="C29" s="237"/>
      <c r="D29" s="817"/>
      <c r="E29" s="818"/>
      <c r="F29" s="818"/>
      <c r="G29" s="819" t="s">
        <v>115</v>
      </c>
      <c r="H29" s="820" t="s">
        <v>115</v>
      </c>
      <c r="I29" s="821"/>
      <c r="J29" s="822">
        <f t="shared" si="0"/>
        <v>0</v>
      </c>
      <c r="K29" s="821"/>
      <c r="L29" s="926">
        <f t="shared" si="1"/>
        <v>0</v>
      </c>
      <c r="M29" s="236">
        <f t="shared" si="2"/>
        <v>0</v>
      </c>
      <c r="N29" s="823">
        <f>IF(F29=0,0,IF(O7=0,0,((O7-F29)/O7)*100))</f>
        <v>0</v>
      </c>
      <c r="O29" s="1388"/>
      <c r="P29" s="1390">
        <f t="shared" si="3"/>
        <v>0</v>
      </c>
      <c r="Q29" s="1389">
        <f t="shared" si="4"/>
        <v>0</v>
      </c>
    </row>
    <row r="30" spans="1:17" ht="20.100000000000001" customHeight="1" thickBot="1">
      <c r="A30" s="9"/>
      <c r="B30" s="1139"/>
      <c r="C30" s="237"/>
      <c r="D30" s="817"/>
      <c r="E30" s="818"/>
      <c r="F30" s="818"/>
      <c r="G30" s="819" t="s">
        <v>115</v>
      </c>
      <c r="H30" s="820" t="s">
        <v>115</v>
      </c>
      <c r="I30" s="821"/>
      <c r="J30" s="822">
        <f t="shared" si="0"/>
        <v>0</v>
      </c>
      <c r="K30" s="821"/>
      <c r="L30" s="926">
        <f t="shared" si="1"/>
        <v>0</v>
      </c>
      <c r="M30" s="236">
        <f t="shared" si="2"/>
        <v>0</v>
      </c>
      <c r="N30" s="823">
        <f>IF(F30=0,0,IF(O7=0,0,((O7-F30)/O7)*100))</f>
        <v>0</v>
      </c>
      <c r="O30" s="1388"/>
      <c r="P30" s="1390">
        <f t="shared" si="3"/>
        <v>0</v>
      </c>
      <c r="Q30" s="1389">
        <f t="shared" si="4"/>
        <v>0</v>
      </c>
    </row>
    <row r="31" spans="1:17" ht="20.100000000000001" customHeight="1" thickBot="1">
      <c r="A31" s="9"/>
      <c r="B31" s="1139"/>
      <c r="C31" s="237"/>
      <c r="D31" s="817"/>
      <c r="E31" s="818"/>
      <c r="F31" s="818"/>
      <c r="G31" s="819" t="s">
        <v>115</v>
      </c>
      <c r="H31" s="820" t="s">
        <v>115</v>
      </c>
      <c r="I31" s="821"/>
      <c r="J31" s="822">
        <f t="shared" si="0"/>
        <v>0</v>
      </c>
      <c r="K31" s="821"/>
      <c r="L31" s="926">
        <f t="shared" si="1"/>
        <v>0</v>
      </c>
      <c r="M31" s="236">
        <f t="shared" si="2"/>
        <v>0</v>
      </c>
      <c r="N31" s="823">
        <f>IF(F31=0,0,IF(O7=0,0,((O7-F31)/O7)*100))</f>
        <v>0</v>
      </c>
      <c r="O31" s="1388"/>
      <c r="P31" s="1390">
        <f t="shared" si="3"/>
        <v>0</v>
      </c>
      <c r="Q31" s="1389">
        <f t="shared" si="4"/>
        <v>0</v>
      </c>
    </row>
    <row r="32" spans="1:17" ht="20.100000000000001" customHeight="1" thickBot="1">
      <c r="A32" s="9"/>
      <c r="B32" s="1139"/>
      <c r="C32" s="237"/>
      <c r="D32" s="817"/>
      <c r="E32" s="818"/>
      <c r="F32" s="818"/>
      <c r="G32" s="819"/>
      <c r="H32" s="820"/>
      <c r="I32" s="821"/>
      <c r="J32" s="822"/>
      <c r="K32" s="821"/>
      <c r="L32" s="926"/>
      <c r="M32" s="236"/>
      <c r="N32" s="823"/>
      <c r="O32" s="1388"/>
      <c r="P32" s="1390"/>
      <c r="Q32" s="1389"/>
    </row>
    <row r="33" spans="1:17" ht="20.100000000000001" customHeight="1" thickBot="1">
      <c r="A33" s="9"/>
      <c r="B33" s="1139"/>
      <c r="C33" s="237"/>
      <c r="D33" s="817"/>
      <c r="E33" s="818"/>
      <c r="F33" s="818"/>
      <c r="G33" s="819"/>
      <c r="H33" s="820"/>
      <c r="I33" s="821"/>
      <c r="J33" s="822"/>
      <c r="K33" s="821"/>
      <c r="L33" s="926"/>
      <c r="M33" s="236"/>
      <c r="N33" s="823"/>
      <c r="O33" s="1388"/>
      <c r="P33" s="1390"/>
      <c r="Q33" s="1389"/>
    </row>
    <row r="34" spans="1:17" ht="20.100000000000001" customHeight="1" thickBot="1">
      <c r="A34" s="9"/>
      <c r="B34" s="1139"/>
      <c r="C34" s="237"/>
      <c r="D34" s="817"/>
      <c r="E34" s="818"/>
      <c r="F34" s="818"/>
      <c r="G34" s="819" t="s">
        <v>115</v>
      </c>
      <c r="H34" s="820" t="s">
        <v>115</v>
      </c>
      <c r="I34" s="821"/>
      <c r="J34" s="822">
        <f t="shared" si="0"/>
        <v>0</v>
      </c>
      <c r="K34" s="821"/>
      <c r="L34" s="926">
        <f t="shared" si="1"/>
        <v>0</v>
      </c>
      <c r="M34" s="236">
        <f t="shared" si="2"/>
        <v>0</v>
      </c>
      <c r="N34" s="823">
        <f>IF(F34=0,0,IF(O7=0,0,((O7-F34)/O7)*100))</f>
        <v>0</v>
      </c>
      <c r="O34" s="1388"/>
      <c r="P34" s="1390">
        <f t="shared" si="3"/>
        <v>0</v>
      </c>
      <c r="Q34" s="1389">
        <f t="shared" si="4"/>
        <v>0</v>
      </c>
    </row>
    <row r="35" spans="1:17" ht="20.100000000000001" customHeight="1" thickBot="1">
      <c r="A35" s="9"/>
      <c r="B35" s="1139"/>
      <c r="C35" s="237"/>
      <c r="D35" s="817"/>
      <c r="E35" s="818"/>
      <c r="F35" s="818"/>
      <c r="G35" s="819" t="s">
        <v>115</v>
      </c>
      <c r="H35" s="820" t="s">
        <v>115</v>
      </c>
      <c r="I35" s="821"/>
      <c r="J35" s="822">
        <f t="shared" si="0"/>
        <v>0</v>
      </c>
      <c r="K35" s="821"/>
      <c r="L35" s="926">
        <f t="shared" si="1"/>
        <v>0</v>
      </c>
      <c r="M35" s="236">
        <f t="shared" si="2"/>
        <v>0</v>
      </c>
      <c r="N35" s="823">
        <f>IF(F35=0,0,IF(O7=0,0,((O7-F35)/O7)*100))</f>
        <v>0</v>
      </c>
      <c r="O35" s="1388"/>
      <c r="P35" s="1390">
        <f t="shared" si="3"/>
        <v>0</v>
      </c>
      <c r="Q35" s="1389">
        <f t="shared" si="4"/>
        <v>0</v>
      </c>
    </row>
    <row r="36" spans="1:17" ht="20.100000000000001" customHeight="1" thickBot="1">
      <c r="A36" s="9"/>
      <c r="B36" s="533" t="s">
        <v>274</v>
      </c>
      <c r="C36" s="534" t="str">
        <f>IF(G10="Separator (Metric)"," ","Tbg/Csg pressures in kPa; Static &amp; Diff in English;")</f>
        <v xml:space="preserve"> </v>
      </c>
      <c r="D36" s="535"/>
      <c r="E36" s="536"/>
      <c r="F36" s="536"/>
      <c r="G36" s="537" t="str">
        <f>IF(J8="Yes","In the event this report differs from Tester's Notes, the Tester's Notes should be used as the absolute"," ")</f>
        <v>In the event this report differs from Tester's Notes, the Tester's Notes should be used as the absolute</v>
      </c>
      <c r="H36" s="536"/>
      <c r="I36" s="538"/>
      <c r="J36" s="538"/>
      <c r="K36" s="538"/>
      <c r="L36" s="538"/>
      <c r="M36" s="538"/>
      <c r="N36" s="538"/>
      <c r="O36" s="825"/>
      <c r="P36" s="1391"/>
      <c r="Q36" s="1389">
        <f t="shared" si="4"/>
        <v>0</v>
      </c>
    </row>
    <row r="37" spans="1:17" ht="20.100000000000001" customHeight="1" thickBot="1">
      <c r="A37" s="9"/>
      <c r="B37" s="527"/>
      <c r="C37" s="539" t="s">
        <v>414</v>
      </c>
      <c r="D37" s="825"/>
      <c r="E37" s="825"/>
      <c r="F37" s="825"/>
      <c r="G37" s="825"/>
      <c r="H37" s="825"/>
      <c r="I37" s="825"/>
      <c r="J37" s="825"/>
      <c r="K37" s="825"/>
      <c r="L37" s="825"/>
      <c r="M37" s="825"/>
      <c r="N37" s="825"/>
      <c r="O37" s="825"/>
      <c r="Q37" s="1389">
        <f t="shared" si="4"/>
        <v>0</v>
      </c>
    </row>
    <row r="38" spans="1:17" ht="20.100000000000001" customHeight="1" thickBot="1">
      <c r="A38" s="9"/>
      <c r="B38" s="527"/>
      <c r="C38" s="540" t="s">
        <v>115</v>
      </c>
      <c r="D38" s="825"/>
      <c r="E38" s="825"/>
      <c r="F38" s="825"/>
      <c r="G38" s="825"/>
      <c r="H38" s="825"/>
      <c r="I38" s="541"/>
      <c r="J38" s="541"/>
      <c r="K38" s="541"/>
      <c r="L38" s="825"/>
      <c r="M38" s="825"/>
      <c r="N38" s="825"/>
      <c r="O38" s="825"/>
      <c r="Q38" s="1389">
        <f t="shared" si="4"/>
        <v>0</v>
      </c>
    </row>
    <row r="39" spans="1:17" ht="20.100000000000001" customHeight="1" thickBot="1">
      <c r="A39" s="9"/>
      <c r="B39" s="542" t="s">
        <v>275</v>
      </c>
      <c r="C39" s="543" t="s">
        <v>1083</v>
      </c>
      <c r="D39" s="826">
        <f>SUM(K12:K35)</f>
        <v>0</v>
      </c>
      <c r="E39" s="806" t="s">
        <v>218</v>
      </c>
      <c r="F39" s="806" t="s">
        <v>1084</v>
      </c>
      <c r="G39" s="827">
        <f>SUM(I12:I35)</f>
        <v>0</v>
      </c>
      <c r="H39" s="806" t="s">
        <v>218</v>
      </c>
      <c r="I39" s="544" t="s">
        <v>1364</v>
      </c>
      <c r="J39" s="544"/>
      <c r="K39" s="1318"/>
      <c r="L39" s="543"/>
      <c r="M39" s="545" t="s">
        <v>151</v>
      </c>
      <c r="N39" s="546"/>
      <c r="O39" s="828" t="s">
        <v>1190</v>
      </c>
      <c r="Q39" s="12"/>
    </row>
    <row r="40" spans="1:17" ht="15.25" thickBot="1">
      <c r="A40" s="16"/>
      <c r="B40" s="547"/>
      <c r="C40" s="1315" t="s">
        <v>1085</v>
      </c>
      <c r="D40" s="826">
        <f>D39</f>
        <v>0</v>
      </c>
      <c r="E40" s="829" t="s">
        <v>218</v>
      </c>
      <c r="F40" s="829" t="s">
        <v>1086</v>
      </c>
      <c r="G40" s="830">
        <f>G39</f>
        <v>0</v>
      </c>
      <c r="H40" s="829" t="s">
        <v>218</v>
      </c>
      <c r="I40" s="829" t="s">
        <v>1362</v>
      </c>
      <c r="J40" s="829"/>
      <c r="K40" s="1341">
        <f>IF(K39=0,0,((D40+G40)/K39)*24)</f>
        <v>0</v>
      </c>
      <c r="L40" s="2487" t="s">
        <v>1363</v>
      </c>
      <c r="M40" s="2488"/>
      <c r="N40" s="2489"/>
      <c r="O40" s="1382">
        <f>IF(D40=0,0,D40/(D40+G40))</f>
        <v>0</v>
      </c>
      <c r="P40" s="1385"/>
      <c r="Q40" s="17"/>
    </row>
    <row r="41" spans="1:17">
      <c r="A41" s="6"/>
      <c r="B41" s="50"/>
      <c r="C41" s="50"/>
      <c r="D41" s="50"/>
      <c r="E41" s="50"/>
      <c r="F41" s="50"/>
      <c r="G41" s="50"/>
      <c r="H41" s="50"/>
      <c r="I41" s="50"/>
      <c r="J41" s="50"/>
      <c r="K41" s="50"/>
      <c r="L41" s="50"/>
      <c r="M41" s="50"/>
      <c r="N41" s="50"/>
      <c r="O41" s="50"/>
      <c r="P41" s="1384"/>
      <c r="Q41" s="8"/>
    </row>
    <row r="42" spans="1:17">
      <c r="A42" s="9"/>
      <c r="B42"/>
      <c r="C42"/>
      <c r="D42"/>
      <c r="E42"/>
      <c r="F42"/>
      <c r="G42"/>
      <c r="H42"/>
      <c r="I42"/>
      <c r="J42"/>
      <c r="K42"/>
      <c r="L42"/>
      <c r="M42"/>
      <c r="N42"/>
      <c r="O42"/>
      <c r="Q42" s="12"/>
    </row>
    <row r="43" spans="1:17" ht="20.100000000000001" customHeight="1">
      <c r="A43" s="9"/>
      <c r="B43" s="2486">
        <f>B1</f>
        <v>0</v>
      </c>
      <c r="C43" s="2486"/>
      <c r="D43" s="2486"/>
      <c r="E43" s="2486"/>
      <c r="F43" s="2486"/>
      <c r="G43" s="2486"/>
      <c r="H43" s="2486"/>
      <c r="I43" s="2486"/>
      <c r="J43" s="2486"/>
      <c r="K43" s="2486"/>
      <c r="L43" s="2486"/>
      <c r="M43" s="2486"/>
      <c r="N43" s="2486"/>
      <c r="O43" s="2486"/>
      <c r="Q43" s="12"/>
    </row>
    <row r="44" spans="1:17" ht="20.100000000000001" customHeight="1">
      <c r="A44" s="9"/>
      <c r="B44" s="548" t="s">
        <v>115</v>
      </c>
      <c r="C44" s="549"/>
      <c r="D44" s="549"/>
      <c r="E44" s="543"/>
      <c r="F44" s="543"/>
      <c r="G44" s="543"/>
      <c r="H44" s="543"/>
      <c r="I44" s="543"/>
      <c r="J44" s="543"/>
      <c r="K44" s="543"/>
      <c r="L44" s="543"/>
      <c r="M44" s="543"/>
      <c r="N44" s="543"/>
      <c r="O44" s="543"/>
      <c r="Q44" s="12"/>
    </row>
    <row r="45" spans="1:17" ht="18">
      <c r="A45" s="9"/>
      <c r="B45" s="550" t="s">
        <v>247</v>
      </c>
      <c r="C45" s="551"/>
      <c r="D45" s="551"/>
      <c r="E45" s="551"/>
      <c r="F45" s="551"/>
      <c r="G45" s="551"/>
      <c r="H45" s="551"/>
      <c r="I45" s="551"/>
      <c r="J45" s="551"/>
      <c r="K45" s="551"/>
      <c r="L45" s="551"/>
      <c r="M45" s="551"/>
      <c r="N45" s="831" t="s">
        <v>248</v>
      </c>
      <c r="O45" s="790" t="str">
        <f>IF(O47=O5,    IF(O87="3 OF 3","2 OF 3","2 OF 2"),        "1 OF 1")</f>
        <v>2 OF 3</v>
      </c>
      <c r="Q45" s="12"/>
    </row>
    <row r="46" spans="1:17" ht="10.15" customHeight="1" thickBot="1">
      <c r="A46" s="9"/>
      <c r="B46" s="552"/>
      <c r="C46" s="543"/>
      <c r="D46" s="543"/>
      <c r="E46" s="543"/>
      <c r="F46" s="543"/>
      <c r="G46" s="543"/>
      <c r="H46" s="543"/>
      <c r="I46" s="543"/>
      <c r="J46" s="543"/>
      <c r="K46" s="543"/>
      <c r="L46" s="543"/>
      <c r="M46" s="543"/>
      <c r="N46" s="543"/>
      <c r="O46" s="543"/>
      <c r="Q46" s="12"/>
    </row>
    <row r="47" spans="1:17" ht="20.100000000000001" customHeight="1" thickBot="1">
      <c r="A47" s="9"/>
      <c r="B47" s="523" t="s">
        <v>249</v>
      </c>
      <c r="C47" s="524"/>
      <c r="D47" s="2477">
        <f>D5</f>
        <v>0</v>
      </c>
      <c r="E47" s="2478"/>
      <c r="F47" s="2478"/>
      <c r="G47" s="2478"/>
      <c r="H47" s="2478"/>
      <c r="I47" s="2478"/>
      <c r="J47" s="2478"/>
      <c r="K47" s="2479"/>
      <c r="L47" s="523" t="s">
        <v>413</v>
      </c>
      <c r="M47" s="832"/>
      <c r="N47" s="833"/>
      <c r="O47" s="794">
        <f>IF(O48=O6,O5," ")</f>
        <v>0</v>
      </c>
      <c r="Q47" s="12"/>
    </row>
    <row r="48" spans="1:17" ht="20.100000000000001" customHeight="1" thickBot="1">
      <c r="A48" s="9"/>
      <c r="B48" s="525" t="s">
        <v>250</v>
      </c>
      <c r="C48" s="526"/>
      <c r="D48" s="2480" t="str">
        <f>D6</f>
        <v xml:space="preserve"> </v>
      </c>
      <c r="E48" s="2481"/>
      <c r="F48" s="2481" t="str">
        <f>F6</f>
        <v xml:space="preserve"> </v>
      </c>
      <c r="G48" s="2481"/>
      <c r="H48" s="2481" t="str">
        <f>H6</f>
        <v xml:space="preserve"> </v>
      </c>
      <c r="I48" s="2481"/>
      <c r="J48" s="2482">
        <f>J6</f>
        <v>0</v>
      </c>
      <c r="K48" s="2483"/>
      <c r="L48" s="525" t="s">
        <v>251</v>
      </c>
      <c r="M48" s="834"/>
      <c r="N48" s="835"/>
      <c r="O48" s="532">
        <v>0</v>
      </c>
      <c r="Q48" s="12"/>
    </row>
    <row r="49" spans="1:17" ht="20.100000000000001" customHeight="1" thickBot="1">
      <c r="A49" s="9"/>
      <c r="B49" s="525" t="s">
        <v>252</v>
      </c>
      <c r="C49" s="526"/>
      <c r="D49" s="797" t="str">
        <f>IF(O48=O6,D7," ")</f>
        <v xml:space="preserve"> </v>
      </c>
      <c r="E49" s="799"/>
      <c r="F49" s="797" t="s">
        <v>1249</v>
      </c>
      <c r="G49" s="1383">
        <v>0</v>
      </c>
      <c r="H49" s="797" t="s">
        <v>218</v>
      </c>
      <c r="I49" s="797" t="s">
        <v>1250</v>
      </c>
      <c r="J49" s="544">
        <v>0</v>
      </c>
      <c r="K49" s="797" t="s">
        <v>1251</v>
      </c>
      <c r="L49" s="525" t="s">
        <v>253</v>
      </c>
      <c r="M49" s="834"/>
      <c r="N49" s="835"/>
      <c r="O49" s="800">
        <f>IF(O48=O6,O7,0)</f>
        <v>0</v>
      </c>
      <c r="Q49" s="12"/>
    </row>
    <row r="50" spans="1:17" ht="20.100000000000001" customHeight="1" thickBot="1">
      <c r="A50" s="9" t="s">
        <v>115</v>
      </c>
      <c r="B50" s="2472" t="s">
        <v>1082</v>
      </c>
      <c r="C50" s="2473"/>
      <c r="D50" s="801">
        <f>SUM(J54:J77)</f>
        <v>0</v>
      </c>
      <c r="E50" s="802" t="s">
        <v>966</v>
      </c>
      <c r="F50" s="803">
        <f>D50/0.0283</f>
        <v>0</v>
      </c>
      <c r="G50" s="802" t="s">
        <v>257</v>
      </c>
      <c r="H50" s="2474" t="s">
        <v>631</v>
      </c>
      <c r="I50" s="2475"/>
      <c r="J50" s="804" t="str">
        <f>J8</f>
        <v>Yes</v>
      </c>
      <c r="K50" s="797"/>
      <c r="L50" s="525" t="s">
        <v>258</v>
      </c>
      <c r="M50" s="834"/>
      <c r="N50" s="835" t="s">
        <v>115</v>
      </c>
      <c r="O50" s="805">
        <f>IF(O48=O6,O8,0)</f>
        <v>0</v>
      </c>
      <c r="P50" s="7" t="s">
        <v>115</v>
      </c>
      <c r="Q50" s="12"/>
    </row>
    <row r="51" spans="1:17" ht="10.15" customHeight="1" thickBot="1">
      <c r="A51" s="9"/>
      <c r="B51" s="528"/>
      <c r="C51" s="528"/>
      <c r="D51" s="806"/>
      <c r="E51" s="806"/>
      <c r="F51" s="806"/>
      <c r="G51" s="806"/>
      <c r="H51" s="806"/>
      <c r="I51" s="806"/>
      <c r="J51" s="806"/>
      <c r="K51" s="806"/>
      <c r="L51" s="806"/>
      <c r="M51" s="806"/>
      <c r="N51" s="806"/>
      <c r="O51" s="806"/>
      <c r="Q51" s="12"/>
    </row>
    <row r="52" spans="1:17" ht="15.9" thickBot="1">
      <c r="A52" s="9"/>
      <c r="B52" s="529" t="s">
        <v>117</v>
      </c>
      <c r="C52" s="530"/>
      <c r="D52" s="530" t="s">
        <v>259</v>
      </c>
      <c r="E52" s="530" t="s">
        <v>204</v>
      </c>
      <c r="F52" s="807" t="s">
        <v>260</v>
      </c>
      <c r="G52" s="808" t="s">
        <v>967</v>
      </c>
      <c r="H52" s="809"/>
      <c r="I52" s="810" t="s">
        <v>1612</v>
      </c>
      <c r="J52" s="811"/>
      <c r="K52" s="812"/>
      <c r="L52" s="813" t="s">
        <v>263</v>
      </c>
      <c r="M52" s="813" t="s">
        <v>263</v>
      </c>
      <c r="N52" s="813" t="s">
        <v>264</v>
      </c>
      <c r="O52" s="814" t="s">
        <v>265</v>
      </c>
      <c r="P52" s="2495" t="s">
        <v>1292</v>
      </c>
      <c r="Q52" s="2497" t="s">
        <v>1293</v>
      </c>
    </row>
    <row r="53" spans="1:17" ht="15" customHeight="1" thickBot="1">
      <c r="A53" s="9"/>
      <c r="B53" s="531" t="s">
        <v>266</v>
      </c>
      <c r="C53" s="532" t="s">
        <v>208</v>
      </c>
      <c r="D53" s="532" t="s">
        <v>267</v>
      </c>
      <c r="E53" s="532" t="s">
        <v>217</v>
      </c>
      <c r="F53" s="532" t="s">
        <v>217</v>
      </c>
      <c r="G53" s="532" t="s">
        <v>268</v>
      </c>
      <c r="H53" s="532" t="s">
        <v>269</v>
      </c>
      <c r="I53" s="532" t="s">
        <v>194</v>
      </c>
      <c r="J53" s="532" t="s">
        <v>270</v>
      </c>
      <c r="K53" s="532" t="s">
        <v>193</v>
      </c>
      <c r="L53" s="815" t="s">
        <v>271</v>
      </c>
      <c r="M53" s="815" t="s">
        <v>272</v>
      </c>
      <c r="N53" s="815" t="s">
        <v>273</v>
      </c>
      <c r="O53" s="816"/>
      <c r="P53" s="2496"/>
      <c r="Q53" s="2498"/>
    </row>
    <row r="54" spans="1:17" ht="20.100000000000001" customHeight="1" thickBot="1">
      <c r="A54" s="9"/>
      <c r="B54" s="1139"/>
      <c r="C54" s="237"/>
      <c r="D54" s="836" t="s">
        <v>115</v>
      </c>
      <c r="E54" s="837" t="s">
        <v>115</v>
      </c>
      <c r="F54" s="837">
        <v>0</v>
      </c>
      <c r="G54" s="838">
        <v>0</v>
      </c>
      <c r="H54" s="839">
        <v>0</v>
      </c>
      <c r="I54" s="840" t="s">
        <v>115</v>
      </c>
      <c r="J54" s="841">
        <f t="shared" ref="J54:J77" si="5">(L54/48)</f>
        <v>0</v>
      </c>
      <c r="K54" s="840" t="s">
        <v>115</v>
      </c>
      <c r="L54" s="926">
        <f t="shared" ref="L54:L77" si="6">M54*0.0266</f>
        <v>0</v>
      </c>
      <c r="M54" s="553">
        <f t="shared" ref="M54:M77" si="7">IF(G54=0,IF(E54=0,0,((E54/6.895)+14)*B54/17.5),SQRT((G54+14)*H54)*(B54*0.031))</f>
        <v>0</v>
      </c>
      <c r="N54" s="842">
        <f>IF(F54=0,0,IF(O49=0,0,((O49-F54)/O49)*100))</f>
        <v>0</v>
      </c>
      <c r="O54" s="843"/>
      <c r="P54" s="1390">
        <f t="shared" ref="P54:P77" si="8">IF(K54=0,0,(K54/(I54+K54)))</f>
        <v>0</v>
      </c>
      <c r="Q54" s="1389">
        <f t="shared" ref="Q54:Q79" si="9">IF(I54=0,0,IF(J54=0," ",J54/I54)*48)</f>
        <v>0</v>
      </c>
    </row>
    <row r="55" spans="1:17" ht="20.100000000000001" customHeight="1" thickBot="1">
      <c r="A55" s="9"/>
      <c r="B55" s="1139"/>
      <c r="C55" s="237"/>
      <c r="D55" s="836"/>
      <c r="E55" s="837"/>
      <c r="F55" s="837"/>
      <c r="G55" s="838" t="s">
        <v>115</v>
      </c>
      <c r="H55" s="839" t="s">
        <v>115</v>
      </c>
      <c r="I55" s="840"/>
      <c r="J55" s="841">
        <f t="shared" si="5"/>
        <v>0</v>
      </c>
      <c r="K55" s="840"/>
      <c r="L55" s="927">
        <f t="shared" si="6"/>
        <v>0</v>
      </c>
      <c r="M55" s="553">
        <f t="shared" si="7"/>
        <v>0</v>
      </c>
      <c r="N55" s="842">
        <f>IF(F55=0,0,IF(O49=0,0,((O49-F55)/O49)*100))</f>
        <v>0</v>
      </c>
      <c r="O55" s="843"/>
      <c r="P55" s="1390">
        <f t="shared" si="8"/>
        <v>0</v>
      </c>
      <c r="Q55" s="1389">
        <f t="shared" si="9"/>
        <v>0</v>
      </c>
    </row>
    <row r="56" spans="1:17" ht="20.100000000000001" customHeight="1" thickBot="1">
      <c r="A56" s="9"/>
      <c r="B56" s="1139"/>
      <c r="C56" s="237"/>
      <c r="D56" s="836"/>
      <c r="E56" s="837"/>
      <c r="F56" s="837"/>
      <c r="G56" s="838" t="s">
        <v>115</v>
      </c>
      <c r="H56" s="839" t="s">
        <v>115</v>
      </c>
      <c r="I56" s="840"/>
      <c r="J56" s="841">
        <f t="shared" si="5"/>
        <v>0</v>
      </c>
      <c r="K56" s="840"/>
      <c r="L56" s="927">
        <f t="shared" si="6"/>
        <v>0</v>
      </c>
      <c r="M56" s="553">
        <f t="shared" si="7"/>
        <v>0</v>
      </c>
      <c r="N56" s="842">
        <f>IF(F56=0,0,IF(O49=0,0,((O49-F56)/O49)*100))</f>
        <v>0</v>
      </c>
      <c r="O56" s="843"/>
      <c r="P56" s="1390">
        <f t="shared" si="8"/>
        <v>0</v>
      </c>
      <c r="Q56" s="1389">
        <f t="shared" si="9"/>
        <v>0</v>
      </c>
    </row>
    <row r="57" spans="1:17" ht="20.100000000000001" customHeight="1" thickBot="1">
      <c r="A57" s="9"/>
      <c r="B57" s="1139"/>
      <c r="C57" s="237"/>
      <c r="D57" s="836"/>
      <c r="E57" s="837"/>
      <c r="F57" s="837"/>
      <c r="G57" s="838" t="s">
        <v>115</v>
      </c>
      <c r="H57" s="839" t="s">
        <v>115</v>
      </c>
      <c r="I57" s="840"/>
      <c r="J57" s="841">
        <f t="shared" si="5"/>
        <v>0</v>
      </c>
      <c r="K57" s="840"/>
      <c r="L57" s="927">
        <f t="shared" si="6"/>
        <v>0</v>
      </c>
      <c r="M57" s="553">
        <f t="shared" si="7"/>
        <v>0</v>
      </c>
      <c r="N57" s="842">
        <f>IF(F57=0,0,IF(O49=0,0,((O49-F57)/O49)*100))</f>
        <v>0</v>
      </c>
      <c r="O57" s="843"/>
      <c r="P57" s="1390">
        <f t="shared" si="8"/>
        <v>0</v>
      </c>
      <c r="Q57" s="1389">
        <f t="shared" si="9"/>
        <v>0</v>
      </c>
    </row>
    <row r="58" spans="1:17" ht="20.100000000000001" customHeight="1" thickBot="1">
      <c r="A58" s="9"/>
      <c r="B58" s="1139"/>
      <c r="C58" s="237"/>
      <c r="D58" s="836"/>
      <c r="E58" s="837"/>
      <c r="F58" s="837"/>
      <c r="G58" s="838" t="s">
        <v>115</v>
      </c>
      <c r="H58" s="839" t="s">
        <v>115</v>
      </c>
      <c r="I58" s="840"/>
      <c r="J58" s="841">
        <f t="shared" si="5"/>
        <v>0</v>
      </c>
      <c r="K58" s="840"/>
      <c r="L58" s="927">
        <f t="shared" si="6"/>
        <v>0</v>
      </c>
      <c r="M58" s="553">
        <f t="shared" si="7"/>
        <v>0</v>
      </c>
      <c r="N58" s="842">
        <f>IF(F58=0,0,IF(O49=0,0,((O49-F58)/O49)*100))</f>
        <v>0</v>
      </c>
      <c r="O58" s="843"/>
      <c r="P58" s="1390">
        <f t="shared" si="8"/>
        <v>0</v>
      </c>
      <c r="Q58" s="1389">
        <f t="shared" si="9"/>
        <v>0</v>
      </c>
    </row>
    <row r="59" spans="1:17" ht="20.100000000000001" customHeight="1" thickBot="1">
      <c r="A59" s="9"/>
      <c r="B59" s="1139"/>
      <c r="C59" s="237"/>
      <c r="D59" s="836"/>
      <c r="E59" s="837"/>
      <c r="F59" s="837"/>
      <c r="G59" s="838" t="s">
        <v>115</v>
      </c>
      <c r="H59" s="839" t="s">
        <v>115</v>
      </c>
      <c r="I59" s="840"/>
      <c r="J59" s="841">
        <f t="shared" si="5"/>
        <v>0</v>
      </c>
      <c r="K59" s="840"/>
      <c r="L59" s="927">
        <f t="shared" si="6"/>
        <v>0</v>
      </c>
      <c r="M59" s="553">
        <f t="shared" si="7"/>
        <v>0</v>
      </c>
      <c r="N59" s="842">
        <f>IF(F59=0,0,IF(O49=0,0,((O49-F59)/O49)*100))</f>
        <v>0</v>
      </c>
      <c r="O59" s="843"/>
      <c r="P59" s="1390">
        <f t="shared" si="8"/>
        <v>0</v>
      </c>
      <c r="Q59" s="1389">
        <f t="shared" si="9"/>
        <v>0</v>
      </c>
    </row>
    <row r="60" spans="1:17" ht="20.100000000000001" customHeight="1" thickBot="1">
      <c r="A60" s="9"/>
      <c r="B60" s="1139"/>
      <c r="C60" s="237"/>
      <c r="D60" s="836"/>
      <c r="E60" s="837"/>
      <c r="F60" s="837"/>
      <c r="G60" s="838" t="s">
        <v>115</v>
      </c>
      <c r="H60" s="839" t="s">
        <v>115</v>
      </c>
      <c r="I60" s="840"/>
      <c r="J60" s="841">
        <f t="shared" si="5"/>
        <v>0</v>
      </c>
      <c r="K60" s="840"/>
      <c r="L60" s="927">
        <f t="shared" si="6"/>
        <v>0</v>
      </c>
      <c r="M60" s="553">
        <f t="shared" si="7"/>
        <v>0</v>
      </c>
      <c r="N60" s="842">
        <f>IF(F60=0,0,IF(O49=0,0,((O49-F60)/O49)*100))</f>
        <v>0</v>
      </c>
      <c r="O60" s="843"/>
      <c r="P60" s="1390">
        <f t="shared" si="8"/>
        <v>0</v>
      </c>
      <c r="Q60" s="1389">
        <f t="shared" si="9"/>
        <v>0</v>
      </c>
    </row>
    <row r="61" spans="1:17" ht="20.100000000000001" customHeight="1" thickBot="1">
      <c r="A61" s="9"/>
      <c r="B61" s="1139"/>
      <c r="C61" s="237"/>
      <c r="D61" s="836"/>
      <c r="E61" s="837"/>
      <c r="F61" s="837"/>
      <c r="G61" s="838" t="s">
        <v>115</v>
      </c>
      <c r="H61" s="839" t="s">
        <v>115</v>
      </c>
      <c r="I61" s="840"/>
      <c r="J61" s="841">
        <f t="shared" si="5"/>
        <v>0</v>
      </c>
      <c r="K61" s="840"/>
      <c r="L61" s="926">
        <f t="shared" si="6"/>
        <v>0</v>
      </c>
      <c r="M61" s="553">
        <f t="shared" si="7"/>
        <v>0</v>
      </c>
      <c r="N61" s="842">
        <f>IF(F61=0,0,IF(O49=0,0,((O49-F61)/O49)*100))</f>
        <v>0</v>
      </c>
      <c r="O61" s="843"/>
      <c r="P61" s="1390">
        <f t="shared" si="8"/>
        <v>0</v>
      </c>
      <c r="Q61" s="1389">
        <f t="shared" si="9"/>
        <v>0</v>
      </c>
    </row>
    <row r="62" spans="1:17" ht="20.100000000000001" customHeight="1" thickBot="1">
      <c r="A62" s="9"/>
      <c r="B62" s="1139"/>
      <c r="C62" s="237"/>
      <c r="D62" s="836"/>
      <c r="E62" s="837"/>
      <c r="F62" s="837"/>
      <c r="G62" s="838" t="s">
        <v>115</v>
      </c>
      <c r="H62" s="839" t="s">
        <v>115</v>
      </c>
      <c r="I62" s="840"/>
      <c r="J62" s="841">
        <f t="shared" si="5"/>
        <v>0</v>
      </c>
      <c r="K62" s="840"/>
      <c r="L62" s="926">
        <f t="shared" si="6"/>
        <v>0</v>
      </c>
      <c r="M62" s="553">
        <f t="shared" si="7"/>
        <v>0</v>
      </c>
      <c r="N62" s="842">
        <f>IF(F62=0,0,IF(O49=0,0,((O49-F62)/O49)*100))</f>
        <v>0</v>
      </c>
      <c r="O62" s="843"/>
      <c r="P62" s="1390">
        <f t="shared" si="8"/>
        <v>0</v>
      </c>
      <c r="Q62" s="1389">
        <f t="shared" si="9"/>
        <v>0</v>
      </c>
    </row>
    <row r="63" spans="1:17" ht="20.100000000000001" customHeight="1" thickBot="1">
      <c r="A63" s="9"/>
      <c r="B63" s="1139"/>
      <c r="C63" s="237"/>
      <c r="D63" s="836"/>
      <c r="E63" s="837"/>
      <c r="F63" s="837"/>
      <c r="G63" s="838" t="s">
        <v>115</v>
      </c>
      <c r="H63" s="839" t="s">
        <v>115</v>
      </c>
      <c r="I63" s="840"/>
      <c r="J63" s="841">
        <f t="shared" si="5"/>
        <v>0</v>
      </c>
      <c r="K63" s="840"/>
      <c r="L63" s="926">
        <f t="shared" si="6"/>
        <v>0</v>
      </c>
      <c r="M63" s="553">
        <f t="shared" si="7"/>
        <v>0</v>
      </c>
      <c r="N63" s="842">
        <f>IF(F63=0,0,IF(O49=0,0,((O49-F63)/O49)*100))</f>
        <v>0</v>
      </c>
      <c r="O63" s="843"/>
      <c r="P63" s="1390">
        <f t="shared" si="8"/>
        <v>0</v>
      </c>
      <c r="Q63" s="1389">
        <f t="shared" si="9"/>
        <v>0</v>
      </c>
    </row>
    <row r="64" spans="1:17" ht="20.100000000000001" customHeight="1" thickBot="1">
      <c r="A64" s="9"/>
      <c r="B64" s="1139"/>
      <c r="C64" s="237"/>
      <c r="D64" s="836"/>
      <c r="E64" s="837"/>
      <c r="F64" s="837"/>
      <c r="G64" s="838" t="s">
        <v>115</v>
      </c>
      <c r="H64" s="839" t="s">
        <v>115</v>
      </c>
      <c r="I64" s="840"/>
      <c r="J64" s="841">
        <f t="shared" si="5"/>
        <v>0</v>
      </c>
      <c r="K64" s="840"/>
      <c r="L64" s="926">
        <f t="shared" si="6"/>
        <v>0</v>
      </c>
      <c r="M64" s="553">
        <f t="shared" si="7"/>
        <v>0</v>
      </c>
      <c r="N64" s="842">
        <f>IF(F64=0,0,IF(O49=0,0,((O49-F64)/O49)*100))</f>
        <v>0</v>
      </c>
      <c r="O64" s="843"/>
      <c r="P64" s="1390">
        <f t="shared" si="8"/>
        <v>0</v>
      </c>
      <c r="Q64" s="1389">
        <f t="shared" si="9"/>
        <v>0</v>
      </c>
    </row>
    <row r="65" spans="1:17" ht="20.100000000000001" customHeight="1" thickBot="1">
      <c r="A65" s="9"/>
      <c r="B65" s="1139"/>
      <c r="C65" s="237"/>
      <c r="D65" s="836"/>
      <c r="E65" s="837"/>
      <c r="F65" s="837"/>
      <c r="G65" s="838" t="s">
        <v>115</v>
      </c>
      <c r="H65" s="839" t="s">
        <v>115</v>
      </c>
      <c r="I65" s="840"/>
      <c r="J65" s="841">
        <f t="shared" si="5"/>
        <v>0</v>
      </c>
      <c r="K65" s="840"/>
      <c r="L65" s="926">
        <f t="shared" si="6"/>
        <v>0</v>
      </c>
      <c r="M65" s="553">
        <f t="shared" si="7"/>
        <v>0</v>
      </c>
      <c r="N65" s="842">
        <f>IF(F65=0,0,IF(O49=0,0,((O49-F65)/O49)*100))</f>
        <v>0</v>
      </c>
      <c r="O65" s="843"/>
      <c r="P65" s="1390">
        <f t="shared" si="8"/>
        <v>0</v>
      </c>
      <c r="Q65" s="1389">
        <f t="shared" si="9"/>
        <v>0</v>
      </c>
    </row>
    <row r="66" spans="1:17" ht="20.100000000000001" customHeight="1" thickBot="1">
      <c r="A66" s="9"/>
      <c r="B66" s="1139"/>
      <c r="C66" s="237"/>
      <c r="D66" s="836"/>
      <c r="E66" s="837"/>
      <c r="F66" s="837"/>
      <c r="G66" s="838" t="s">
        <v>115</v>
      </c>
      <c r="H66" s="839" t="s">
        <v>115</v>
      </c>
      <c r="I66" s="840"/>
      <c r="J66" s="841">
        <f t="shared" si="5"/>
        <v>0</v>
      </c>
      <c r="K66" s="840"/>
      <c r="L66" s="926">
        <f t="shared" si="6"/>
        <v>0</v>
      </c>
      <c r="M66" s="553">
        <f t="shared" si="7"/>
        <v>0</v>
      </c>
      <c r="N66" s="842">
        <f>IF(F66=0,0,IF(O49=0,0,((O49-F66)/O49)*100))</f>
        <v>0</v>
      </c>
      <c r="O66" s="843"/>
      <c r="P66" s="1390">
        <f t="shared" si="8"/>
        <v>0</v>
      </c>
      <c r="Q66" s="1389">
        <f t="shared" si="9"/>
        <v>0</v>
      </c>
    </row>
    <row r="67" spans="1:17" ht="20.100000000000001" customHeight="1" thickBot="1">
      <c r="A67" s="9"/>
      <c r="B67" s="1139"/>
      <c r="C67" s="237"/>
      <c r="D67" s="836"/>
      <c r="E67" s="837"/>
      <c r="F67" s="837"/>
      <c r="G67" s="838" t="s">
        <v>115</v>
      </c>
      <c r="H67" s="839" t="s">
        <v>115</v>
      </c>
      <c r="I67" s="840"/>
      <c r="J67" s="841">
        <f t="shared" si="5"/>
        <v>0</v>
      </c>
      <c r="K67" s="840"/>
      <c r="L67" s="926">
        <f t="shared" si="6"/>
        <v>0</v>
      </c>
      <c r="M67" s="553">
        <f t="shared" si="7"/>
        <v>0</v>
      </c>
      <c r="N67" s="842">
        <f>IF(F67=0,0,IF(O49=0,0,((O49-F67)/O49)*100))</f>
        <v>0</v>
      </c>
      <c r="O67" s="843"/>
      <c r="P67" s="1390">
        <f t="shared" si="8"/>
        <v>0</v>
      </c>
      <c r="Q67" s="1389">
        <f t="shared" si="9"/>
        <v>0</v>
      </c>
    </row>
    <row r="68" spans="1:17" ht="20.100000000000001" customHeight="1" thickBot="1">
      <c r="A68" s="9"/>
      <c r="B68" s="1139"/>
      <c r="C68" s="237"/>
      <c r="D68" s="836"/>
      <c r="E68" s="837"/>
      <c r="F68" s="837"/>
      <c r="G68" s="838"/>
      <c r="H68" s="839"/>
      <c r="I68" s="840"/>
      <c r="J68" s="841">
        <f>(L68/48)</f>
        <v>0</v>
      </c>
      <c r="K68" s="840"/>
      <c r="L68" s="926">
        <f>M68*0.0266</f>
        <v>0</v>
      </c>
      <c r="M68" s="553">
        <f>IF(G68=0,IF(E68=0,0,((E68/6.895)+14)*B68/17.5),SQRT((G68+14)*H68)*(B68*0.031))</f>
        <v>0</v>
      </c>
      <c r="N68" s="842">
        <f>IF(F68=0,0,IF(O49=0,0,((O49-F68)/O49)*100))</f>
        <v>0</v>
      </c>
      <c r="O68" s="843"/>
      <c r="P68" s="1390">
        <f t="shared" si="8"/>
        <v>0</v>
      </c>
      <c r="Q68" s="1389">
        <f t="shared" si="9"/>
        <v>0</v>
      </c>
    </row>
    <row r="69" spans="1:17" ht="20.100000000000001" customHeight="1" thickBot="1">
      <c r="A69" s="9"/>
      <c r="B69" s="1139"/>
      <c r="C69" s="237"/>
      <c r="D69" s="836"/>
      <c r="E69" s="837"/>
      <c r="F69" s="837"/>
      <c r="G69" s="838"/>
      <c r="H69" s="839"/>
      <c r="I69" s="840"/>
      <c r="J69" s="841">
        <f>(L69/48)</f>
        <v>0</v>
      </c>
      <c r="K69" s="840"/>
      <c r="L69" s="926">
        <f>M69*0.0266</f>
        <v>0</v>
      </c>
      <c r="M69" s="553">
        <f>IF(G69=0,IF(E69=0,0,((E69/6.895)+14)*B69/17.5),SQRT((G69+14)*H69)*(B69*0.031))</f>
        <v>0</v>
      </c>
      <c r="N69" s="842">
        <f>IF(F69=0,0,IF(O49=0,0,((O49-F69)/O49)*100))</f>
        <v>0</v>
      </c>
      <c r="O69" s="843"/>
      <c r="P69" s="1390">
        <f t="shared" si="8"/>
        <v>0</v>
      </c>
      <c r="Q69" s="1389">
        <f t="shared" si="9"/>
        <v>0</v>
      </c>
    </row>
    <row r="70" spans="1:17" ht="20.100000000000001" customHeight="1" thickBot="1">
      <c r="A70" s="9"/>
      <c r="B70" s="1139"/>
      <c r="C70" s="237"/>
      <c r="D70" s="836"/>
      <c r="E70" s="837"/>
      <c r="F70" s="837"/>
      <c r="G70" s="838"/>
      <c r="H70" s="839"/>
      <c r="I70" s="840"/>
      <c r="J70" s="841">
        <f>(L70/48)</f>
        <v>0</v>
      </c>
      <c r="K70" s="840"/>
      <c r="L70" s="926">
        <f>M70*0.0266</f>
        <v>0</v>
      </c>
      <c r="M70" s="553">
        <f>IF(G70=0,IF(E70=0,0,((E70/6.895)+14)*B70/17.5),SQRT((G70+14)*H70)*(B70*0.031))</f>
        <v>0</v>
      </c>
      <c r="N70" s="842">
        <f>IF(F70=0,0,IF(O49=0,0,((O49-F70)/O49)*100))</f>
        <v>0</v>
      </c>
      <c r="O70" s="843"/>
      <c r="P70" s="1390">
        <f t="shared" si="8"/>
        <v>0</v>
      </c>
      <c r="Q70" s="1389">
        <f t="shared" si="9"/>
        <v>0</v>
      </c>
    </row>
    <row r="71" spans="1:17" ht="20.100000000000001" customHeight="1" thickBot="1">
      <c r="A71" s="9"/>
      <c r="B71" s="1139"/>
      <c r="C71" s="237"/>
      <c r="D71" s="836"/>
      <c r="E71" s="837"/>
      <c r="F71" s="837"/>
      <c r="G71" s="838" t="s">
        <v>115</v>
      </c>
      <c r="H71" s="839" t="s">
        <v>115</v>
      </c>
      <c r="I71" s="840"/>
      <c r="J71" s="841">
        <f t="shared" si="5"/>
        <v>0</v>
      </c>
      <c r="K71" s="840"/>
      <c r="L71" s="926">
        <f t="shared" si="6"/>
        <v>0</v>
      </c>
      <c r="M71" s="553">
        <f t="shared" si="7"/>
        <v>0</v>
      </c>
      <c r="N71" s="842">
        <f>IF(F71=0,0,IF(O49=0,0,((O49-F71)/O49)*100))</f>
        <v>0</v>
      </c>
      <c r="O71" s="843"/>
      <c r="P71" s="1390">
        <f t="shared" si="8"/>
        <v>0</v>
      </c>
      <c r="Q71" s="1389">
        <f t="shared" si="9"/>
        <v>0</v>
      </c>
    </row>
    <row r="72" spans="1:17" ht="20.100000000000001" customHeight="1" thickBot="1">
      <c r="A72" s="9"/>
      <c r="B72" s="1139"/>
      <c r="C72" s="237"/>
      <c r="D72" s="836"/>
      <c r="E72" s="837"/>
      <c r="F72" s="837"/>
      <c r="G72" s="838" t="s">
        <v>115</v>
      </c>
      <c r="H72" s="839" t="s">
        <v>115</v>
      </c>
      <c r="I72" s="840"/>
      <c r="J72" s="841">
        <f t="shared" si="5"/>
        <v>0</v>
      </c>
      <c r="K72" s="840"/>
      <c r="L72" s="926">
        <f t="shared" si="6"/>
        <v>0</v>
      </c>
      <c r="M72" s="553">
        <f t="shared" si="7"/>
        <v>0</v>
      </c>
      <c r="N72" s="842">
        <f>IF(F72=0,0,IF(O49=0,0,((O49-F72)/O49)*100))</f>
        <v>0</v>
      </c>
      <c r="O72" s="843"/>
      <c r="P72" s="1390">
        <f t="shared" si="8"/>
        <v>0</v>
      </c>
      <c r="Q72" s="1389">
        <f t="shared" si="9"/>
        <v>0</v>
      </c>
    </row>
    <row r="73" spans="1:17" ht="20.100000000000001" customHeight="1" thickBot="1">
      <c r="A73" s="9"/>
      <c r="B73" s="1139"/>
      <c r="C73" s="237"/>
      <c r="D73" s="836"/>
      <c r="E73" s="837"/>
      <c r="F73" s="837"/>
      <c r="G73" s="838" t="s">
        <v>115</v>
      </c>
      <c r="H73" s="839" t="s">
        <v>115</v>
      </c>
      <c r="I73" s="840"/>
      <c r="J73" s="841">
        <f t="shared" si="5"/>
        <v>0</v>
      </c>
      <c r="K73" s="840"/>
      <c r="L73" s="926">
        <f t="shared" si="6"/>
        <v>0</v>
      </c>
      <c r="M73" s="553">
        <f t="shared" si="7"/>
        <v>0</v>
      </c>
      <c r="N73" s="842">
        <f>IF(F73=0,0,IF(O49=0,0,((O49-F73)/O49)*100))</f>
        <v>0</v>
      </c>
      <c r="O73" s="843"/>
      <c r="P73" s="1390">
        <f t="shared" si="8"/>
        <v>0</v>
      </c>
      <c r="Q73" s="1389">
        <f t="shared" si="9"/>
        <v>0</v>
      </c>
    </row>
    <row r="74" spans="1:17" ht="20.100000000000001" customHeight="1" thickBot="1">
      <c r="A74" s="9"/>
      <c r="B74" s="1139"/>
      <c r="C74" s="237"/>
      <c r="D74" s="836"/>
      <c r="E74" s="837"/>
      <c r="F74" s="837"/>
      <c r="G74" s="838" t="s">
        <v>115</v>
      </c>
      <c r="H74" s="839" t="s">
        <v>115</v>
      </c>
      <c r="I74" s="840"/>
      <c r="J74" s="841">
        <f t="shared" si="5"/>
        <v>0</v>
      </c>
      <c r="K74" s="840"/>
      <c r="L74" s="926">
        <f t="shared" si="6"/>
        <v>0</v>
      </c>
      <c r="M74" s="553">
        <f t="shared" si="7"/>
        <v>0</v>
      </c>
      <c r="N74" s="842">
        <f>IF(F74=0,0,IF(O49=0,0,((O49-F74)/O49)*100))</f>
        <v>0</v>
      </c>
      <c r="O74" s="843"/>
      <c r="P74" s="1390">
        <f t="shared" si="8"/>
        <v>0</v>
      </c>
      <c r="Q74" s="1389">
        <f t="shared" si="9"/>
        <v>0</v>
      </c>
    </row>
    <row r="75" spans="1:17" ht="20.100000000000001" customHeight="1" thickBot="1">
      <c r="A75" s="9"/>
      <c r="B75" s="1139"/>
      <c r="C75" s="237"/>
      <c r="D75" s="836"/>
      <c r="E75" s="837"/>
      <c r="F75" s="837"/>
      <c r="G75" s="838" t="s">
        <v>115</v>
      </c>
      <c r="H75" s="839" t="s">
        <v>115</v>
      </c>
      <c r="I75" s="840"/>
      <c r="J75" s="841">
        <f t="shared" si="5"/>
        <v>0</v>
      </c>
      <c r="K75" s="840"/>
      <c r="L75" s="926">
        <f t="shared" si="6"/>
        <v>0</v>
      </c>
      <c r="M75" s="553">
        <f t="shared" si="7"/>
        <v>0</v>
      </c>
      <c r="N75" s="842">
        <f>IF(F75=0,0,IF(O49=0,0,((O49-F75)/O49)*100))</f>
        <v>0</v>
      </c>
      <c r="O75" s="843"/>
      <c r="P75" s="1390">
        <f t="shared" si="8"/>
        <v>0</v>
      </c>
      <c r="Q75" s="1389">
        <f t="shared" si="9"/>
        <v>0</v>
      </c>
    </row>
    <row r="76" spans="1:17" ht="20.100000000000001" customHeight="1" thickBot="1">
      <c r="A76" s="9"/>
      <c r="B76" s="1139"/>
      <c r="C76" s="237"/>
      <c r="D76" s="836"/>
      <c r="E76" s="837"/>
      <c r="F76" s="837"/>
      <c r="G76" s="838"/>
      <c r="H76" s="839"/>
      <c r="I76" s="840"/>
      <c r="J76" s="841"/>
      <c r="K76" s="840"/>
      <c r="L76" s="926"/>
      <c r="M76" s="553"/>
      <c r="N76" s="842"/>
      <c r="O76" s="843"/>
      <c r="P76" s="1390"/>
      <c r="Q76" s="1389"/>
    </row>
    <row r="77" spans="1:17" ht="20.100000000000001" customHeight="1" thickBot="1">
      <c r="A77" s="9"/>
      <c r="B77" s="1139"/>
      <c r="C77" s="237"/>
      <c r="D77" s="836"/>
      <c r="E77" s="837"/>
      <c r="F77" s="837"/>
      <c r="G77" s="838" t="s">
        <v>115</v>
      </c>
      <c r="H77" s="839" t="s">
        <v>115</v>
      </c>
      <c r="I77" s="840"/>
      <c r="J77" s="841">
        <f t="shared" si="5"/>
        <v>0</v>
      </c>
      <c r="K77" s="840"/>
      <c r="L77" s="926">
        <f t="shared" si="6"/>
        <v>0</v>
      </c>
      <c r="M77" s="553">
        <f t="shared" si="7"/>
        <v>0</v>
      </c>
      <c r="N77" s="842">
        <f>IF(F77=0,0,IF(O49=0,0,((O49-F77)/O49)*100))</f>
        <v>0</v>
      </c>
      <c r="O77" s="843"/>
      <c r="P77" s="1390">
        <f t="shared" si="8"/>
        <v>0</v>
      </c>
      <c r="Q77" s="1389">
        <f t="shared" si="9"/>
        <v>0</v>
      </c>
    </row>
    <row r="78" spans="1:17" ht="20.100000000000001" customHeight="1" thickBot="1">
      <c r="A78" s="9"/>
      <c r="B78" s="533" t="s">
        <v>274</v>
      </c>
      <c r="C78" s="534" t="str">
        <f>IF(G52="Separator (Metric)"," ","Tbg/Csg pressures in kPa; Static &amp; Diff in English;")</f>
        <v xml:space="preserve"> </v>
      </c>
      <c r="D78" s="535"/>
      <c r="E78" s="536"/>
      <c r="F78" s="536"/>
      <c r="G78" s="537" t="str">
        <f>IF(J50="Yes","In the event this report differs from Tester's Notes, the Tester's Notes should be used as the absolute"," ")</f>
        <v>In the event this report differs from Tester's Notes, the Tester's Notes should be used as the absolute</v>
      </c>
      <c r="H78" s="536"/>
      <c r="I78" s="538"/>
      <c r="J78" s="538"/>
      <c r="K78" s="538"/>
      <c r="L78" s="538"/>
      <c r="M78" s="538"/>
      <c r="N78" s="538"/>
      <c r="O78" s="825"/>
      <c r="Q78" s="1389">
        <f t="shared" si="9"/>
        <v>0</v>
      </c>
    </row>
    <row r="79" spans="1:17" ht="20.100000000000001" customHeight="1" thickBot="1">
      <c r="A79" s="9"/>
      <c r="B79" s="527"/>
      <c r="C79" s="539" t="s">
        <v>414</v>
      </c>
      <c r="D79" s="825"/>
      <c r="E79" s="825"/>
      <c r="F79" s="825"/>
      <c r="G79" s="825"/>
      <c r="H79" s="825"/>
      <c r="I79" s="825"/>
      <c r="J79" s="825"/>
      <c r="K79" s="825"/>
      <c r="L79" s="825"/>
      <c r="M79" s="825"/>
      <c r="N79" s="825"/>
      <c r="O79" s="825"/>
      <c r="Q79" s="1389">
        <f t="shared" si="9"/>
        <v>0</v>
      </c>
    </row>
    <row r="80" spans="1:17" ht="20.100000000000001" customHeight="1">
      <c r="A80" s="9"/>
      <c r="B80" s="527"/>
      <c r="C80" s="540" t="s">
        <v>115</v>
      </c>
      <c r="D80" s="825"/>
      <c r="E80" s="825"/>
      <c r="F80" s="825"/>
      <c r="G80" s="825"/>
      <c r="H80" s="825"/>
      <c r="I80" s="541"/>
      <c r="J80" s="1316"/>
      <c r="K80" s="541"/>
      <c r="L80" s="825"/>
      <c r="M80" s="825"/>
      <c r="N80" s="825"/>
      <c r="O80" s="825"/>
      <c r="Q80" s="12"/>
    </row>
    <row r="81" spans="1:17" ht="20.100000000000001" customHeight="1">
      <c r="A81" s="9"/>
      <c r="B81" s="527"/>
      <c r="C81" s="1386"/>
      <c r="D81" s="1387"/>
      <c r="E81" s="1387"/>
      <c r="F81" s="1387"/>
      <c r="G81" s="1387"/>
      <c r="H81" s="1387"/>
      <c r="I81" s="1316"/>
      <c r="J81" s="1316"/>
      <c r="K81" s="1316"/>
      <c r="L81" s="1387"/>
      <c r="M81" s="1387"/>
      <c r="N81" s="1387"/>
      <c r="O81" s="1387"/>
      <c r="Q81" s="12"/>
    </row>
    <row r="82" spans="1:17" ht="20.100000000000001" customHeight="1" thickBot="1">
      <c r="A82" s="9"/>
      <c r="B82" s="2499" t="s">
        <v>1297</v>
      </c>
      <c r="C82" s="2499"/>
      <c r="D82" s="1387" t="str">
        <f>IF(J83=0," ",(J83/G83)/J84*24)</f>
        <v xml:space="preserve"> </v>
      </c>
      <c r="E82" s="1387"/>
      <c r="F82" s="1387"/>
      <c r="G82" s="1387"/>
      <c r="H82" s="1387"/>
      <c r="I82" s="1316"/>
      <c r="J82" s="1316"/>
      <c r="K82" s="1316"/>
      <c r="L82" s="1387"/>
      <c r="M82" s="1387"/>
      <c r="N82" s="1387"/>
      <c r="O82" s="1387"/>
      <c r="Q82" s="12"/>
    </row>
    <row r="83" spans="1:17" ht="20.100000000000001" customHeight="1" thickBot="1">
      <c r="A83" s="9"/>
      <c r="B83" s="542" t="s">
        <v>275</v>
      </c>
      <c r="C83" s="543" t="s">
        <v>1083</v>
      </c>
      <c r="D83" s="826">
        <f>SUM(K54:K77)</f>
        <v>0</v>
      </c>
      <c r="E83" s="806" t="s">
        <v>218</v>
      </c>
      <c r="F83" s="806" t="s">
        <v>1084</v>
      </c>
      <c r="G83" s="827">
        <f>SUM(I54:I77)</f>
        <v>0</v>
      </c>
      <c r="H83" s="806" t="s">
        <v>218</v>
      </c>
      <c r="I83" s="1317" t="s">
        <v>1087</v>
      </c>
      <c r="J83" s="1318">
        <f>IF(O47=O5,D8+D50,D50)</f>
        <v>0</v>
      </c>
      <c r="K83" s="544" t="s">
        <v>966</v>
      </c>
      <c r="L83" s="543"/>
      <c r="M83" s="545" t="s">
        <v>151</v>
      </c>
      <c r="N83" s="546"/>
      <c r="O83" s="828" t="str">
        <f>O39</f>
        <v>Rick Johnson</v>
      </c>
      <c r="Q83" s="12"/>
    </row>
    <row r="84" spans="1:17" ht="15.25" thickBot="1">
      <c r="A84" s="16"/>
      <c r="B84" s="547"/>
      <c r="C84" s="1315" t="s">
        <v>1085</v>
      </c>
      <c r="D84" s="826">
        <f>IF(O47=O5,D40+D83,D83)</f>
        <v>0</v>
      </c>
      <c r="E84" s="829" t="s">
        <v>218</v>
      </c>
      <c r="F84" s="829" t="s">
        <v>1086</v>
      </c>
      <c r="G84" s="830">
        <f>IF(O47=O5,G40+G83,G83)</f>
        <v>0</v>
      </c>
      <c r="H84" s="829" t="s">
        <v>218</v>
      </c>
      <c r="I84" s="829" t="s">
        <v>1365</v>
      </c>
      <c r="J84" s="1341"/>
      <c r="K84" s="2490" t="s">
        <v>1362</v>
      </c>
      <c r="L84" s="2491"/>
      <c r="M84" s="826">
        <f>IF(J84=0,0,((D84+G84)/J84)*24)</f>
        <v>0</v>
      </c>
      <c r="N84" s="1342" t="s">
        <v>1366</v>
      </c>
      <c r="O84" s="1382">
        <f>IF(D84=0,0,D84/(D84+G84))</f>
        <v>0</v>
      </c>
      <c r="P84" s="1385"/>
      <c r="Q84" s="17"/>
    </row>
    <row r="85" spans="1:17" ht="20.100000000000001" customHeight="1">
      <c r="A85" s="6"/>
      <c r="B85" s="2476">
        <f>B43</f>
        <v>0</v>
      </c>
      <c r="C85" s="2476"/>
      <c r="D85" s="2476"/>
      <c r="E85" s="2476"/>
      <c r="F85" s="2476"/>
      <c r="G85" s="2476"/>
      <c r="H85" s="2476"/>
      <c r="I85" s="2476"/>
      <c r="J85" s="2476"/>
      <c r="K85" s="2476"/>
      <c r="L85" s="2476"/>
      <c r="M85" s="2476"/>
      <c r="N85" s="2476"/>
      <c r="O85" s="2476"/>
      <c r="P85" s="1384"/>
      <c r="Q85" s="8"/>
    </row>
    <row r="86" spans="1:17" ht="20.100000000000001" customHeight="1">
      <c r="A86" s="9"/>
      <c r="B86" s="548" t="s">
        <v>115</v>
      </c>
      <c r="C86" s="549"/>
      <c r="D86" s="549"/>
      <c r="E86" s="543"/>
      <c r="F86" s="543"/>
      <c r="G86" s="543"/>
      <c r="H86" s="543"/>
      <c r="I86" s="543"/>
      <c r="J86" s="543"/>
      <c r="K86" s="543"/>
      <c r="L86" s="543"/>
      <c r="M86" s="543"/>
      <c r="N86" s="543"/>
      <c r="O86" s="543"/>
      <c r="Q86" s="12"/>
    </row>
    <row r="87" spans="1:17" ht="18">
      <c r="A87" s="9"/>
      <c r="B87" s="550" t="s">
        <v>247</v>
      </c>
      <c r="C87" s="551"/>
      <c r="D87" s="551"/>
      <c r="E87" s="551"/>
      <c r="F87" s="551"/>
      <c r="G87" s="551"/>
      <c r="H87" s="551"/>
      <c r="I87" s="551"/>
      <c r="J87" s="551"/>
      <c r="K87" s="551"/>
      <c r="L87" s="551"/>
      <c r="M87" s="551"/>
      <c r="N87" s="831" t="s">
        <v>248</v>
      </c>
      <c r="O87" s="790" t="str">
        <f>IF(O89=O47,"3 OF 3","1 OF 1")</f>
        <v>3 OF 3</v>
      </c>
      <c r="Q87" s="12"/>
    </row>
    <row r="88" spans="1:17" ht="10.15" customHeight="1" thickBot="1">
      <c r="A88" s="9"/>
      <c r="B88" s="552"/>
      <c r="C88" s="543"/>
      <c r="D88" s="543"/>
      <c r="E88" s="543"/>
      <c r="F88" s="543"/>
      <c r="G88" s="543"/>
      <c r="H88" s="543"/>
      <c r="I88" s="543"/>
      <c r="J88" s="543"/>
      <c r="K88" s="543"/>
      <c r="L88" s="543"/>
      <c r="M88" s="543"/>
      <c r="N88" s="543"/>
      <c r="O88" s="543"/>
      <c r="Q88" s="12"/>
    </row>
    <row r="89" spans="1:17" ht="20.100000000000001" customHeight="1" thickBot="1">
      <c r="A89" s="9"/>
      <c r="B89" s="523" t="s">
        <v>249</v>
      </c>
      <c r="C89" s="524"/>
      <c r="D89" s="2477">
        <f>D47</f>
        <v>0</v>
      </c>
      <c r="E89" s="2478"/>
      <c r="F89" s="2478"/>
      <c r="G89" s="2478"/>
      <c r="H89" s="2478"/>
      <c r="I89" s="2478"/>
      <c r="J89" s="2478"/>
      <c r="K89" s="2479"/>
      <c r="L89" s="523" t="s">
        <v>413</v>
      </c>
      <c r="M89" s="832"/>
      <c r="N89" s="833"/>
      <c r="O89" s="794">
        <v>0</v>
      </c>
      <c r="Q89" s="12"/>
    </row>
    <row r="90" spans="1:17" ht="20.100000000000001" customHeight="1" thickBot="1">
      <c r="A90" s="9"/>
      <c r="B90" s="525" t="s">
        <v>250</v>
      </c>
      <c r="C90" s="526"/>
      <c r="D90" s="2480" t="str">
        <f>D48</f>
        <v xml:space="preserve"> </v>
      </c>
      <c r="E90" s="2481"/>
      <c r="F90" s="2481" t="str">
        <f>F48</f>
        <v xml:space="preserve"> </v>
      </c>
      <c r="G90" s="2481"/>
      <c r="H90" s="2481" t="str">
        <f>H48</f>
        <v xml:space="preserve"> </v>
      </c>
      <c r="I90" s="2481"/>
      <c r="J90" s="2482">
        <f>J48</f>
        <v>0</v>
      </c>
      <c r="K90" s="2483"/>
      <c r="L90" s="525" t="s">
        <v>251</v>
      </c>
      <c r="M90" s="834"/>
      <c r="N90" s="835"/>
      <c r="O90" s="532">
        <v>0</v>
      </c>
      <c r="Q90" s="12"/>
    </row>
    <row r="91" spans="1:17" ht="20.100000000000001" customHeight="1" thickBot="1">
      <c r="A91" s="9"/>
      <c r="B91" s="525" t="s">
        <v>252</v>
      </c>
      <c r="C91" s="526"/>
      <c r="D91" s="797" t="str">
        <f>IF(O90=O48,D49," ")</f>
        <v xml:space="preserve"> </v>
      </c>
      <c r="E91" s="799"/>
      <c r="F91" s="797" t="s">
        <v>1249</v>
      </c>
      <c r="G91" s="1383">
        <v>0</v>
      </c>
      <c r="H91" s="797" t="s">
        <v>218</v>
      </c>
      <c r="I91" s="797" t="s">
        <v>1250</v>
      </c>
      <c r="J91" s="544">
        <v>0</v>
      </c>
      <c r="K91" s="797" t="s">
        <v>1251</v>
      </c>
      <c r="L91" s="525" t="s">
        <v>253</v>
      </c>
      <c r="M91" s="834"/>
      <c r="N91" s="835"/>
      <c r="O91" s="800">
        <f>IF(O90=O48,O49,0)</f>
        <v>0</v>
      </c>
      <c r="Q91" s="12"/>
    </row>
    <row r="92" spans="1:17" ht="20.100000000000001" customHeight="1" thickBot="1">
      <c r="A92" s="9" t="s">
        <v>115</v>
      </c>
      <c r="B92" s="2472" t="s">
        <v>1082</v>
      </c>
      <c r="C92" s="2473"/>
      <c r="D92" s="801">
        <f>SUM(J96:J119)</f>
        <v>0</v>
      </c>
      <c r="E92" s="802" t="s">
        <v>966</v>
      </c>
      <c r="F92" s="803">
        <f>D92/0.0283</f>
        <v>0</v>
      </c>
      <c r="G92" s="802" t="s">
        <v>257</v>
      </c>
      <c r="H92" s="2474" t="s">
        <v>631</v>
      </c>
      <c r="I92" s="2475"/>
      <c r="J92" s="804" t="str">
        <f>J50</f>
        <v>Yes</v>
      </c>
      <c r="K92" s="797"/>
      <c r="L92" s="525" t="s">
        <v>258</v>
      </c>
      <c r="M92" s="834"/>
      <c r="N92" s="835" t="s">
        <v>115</v>
      </c>
      <c r="O92" s="805">
        <f>IF(O90=O48,O50,0)</f>
        <v>0</v>
      </c>
      <c r="P92" s="7" t="s">
        <v>115</v>
      </c>
      <c r="Q92" s="12"/>
    </row>
    <row r="93" spans="1:17" ht="10.15" customHeight="1" thickBot="1">
      <c r="A93" s="9"/>
      <c r="B93" s="528"/>
      <c r="C93" s="528"/>
      <c r="D93" s="806"/>
      <c r="E93" s="806"/>
      <c r="F93" s="806"/>
      <c r="G93" s="806"/>
      <c r="H93" s="806"/>
      <c r="I93" s="806"/>
      <c r="J93" s="806"/>
      <c r="K93" s="806"/>
      <c r="L93" s="806"/>
      <c r="M93" s="806"/>
      <c r="N93" s="806"/>
      <c r="O93" s="806"/>
      <c r="Q93" s="12"/>
    </row>
    <row r="94" spans="1:17" ht="15.9" thickBot="1">
      <c r="A94" s="9"/>
      <c r="B94" s="529" t="s">
        <v>117</v>
      </c>
      <c r="C94" s="530"/>
      <c r="D94" s="530" t="s">
        <v>259</v>
      </c>
      <c r="E94" s="530" t="s">
        <v>204</v>
      </c>
      <c r="F94" s="807" t="s">
        <v>260</v>
      </c>
      <c r="G94" s="808" t="s">
        <v>967</v>
      </c>
      <c r="H94" s="809"/>
      <c r="I94" s="810" t="s">
        <v>1612</v>
      </c>
      <c r="J94" s="811"/>
      <c r="K94" s="812"/>
      <c r="L94" s="813" t="s">
        <v>263</v>
      </c>
      <c r="M94" s="813" t="s">
        <v>263</v>
      </c>
      <c r="N94" s="813" t="s">
        <v>264</v>
      </c>
      <c r="O94" s="814" t="s">
        <v>265</v>
      </c>
      <c r="P94" s="2495" t="s">
        <v>1292</v>
      </c>
      <c r="Q94" s="2497" t="s">
        <v>1293</v>
      </c>
    </row>
    <row r="95" spans="1:17" ht="15" customHeight="1" thickBot="1">
      <c r="A95" s="9"/>
      <c r="B95" s="531" t="s">
        <v>266</v>
      </c>
      <c r="C95" s="532" t="s">
        <v>208</v>
      </c>
      <c r="D95" s="532" t="s">
        <v>267</v>
      </c>
      <c r="E95" s="532" t="s">
        <v>217</v>
      </c>
      <c r="F95" s="532" t="s">
        <v>217</v>
      </c>
      <c r="G95" s="532" t="s">
        <v>268</v>
      </c>
      <c r="H95" s="532" t="s">
        <v>269</v>
      </c>
      <c r="I95" s="532" t="s">
        <v>194</v>
      </c>
      <c r="J95" s="532" t="s">
        <v>270</v>
      </c>
      <c r="K95" s="532" t="s">
        <v>193</v>
      </c>
      <c r="L95" s="815" t="s">
        <v>271</v>
      </c>
      <c r="M95" s="815" t="s">
        <v>272</v>
      </c>
      <c r="N95" s="815" t="s">
        <v>273</v>
      </c>
      <c r="O95" s="816"/>
      <c r="P95" s="2496"/>
      <c r="Q95" s="2498"/>
    </row>
    <row r="96" spans="1:17" ht="20.100000000000001" customHeight="1" thickBot="1">
      <c r="A96" s="9"/>
      <c r="B96" s="1139"/>
      <c r="C96" s="237"/>
      <c r="D96" s="836" t="s">
        <v>115</v>
      </c>
      <c r="E96" s="837" t="s">
        <v>115</v>
      </c>
      <c r="F96" s="837">
        <v>0</v>
      </c>
      <c r="G96" s="838">
        <v>0</v>
      </c>
      <c r="H96" s="839">
        <v>0</v>
      </c>
      <c r="I96" s="840" t="s">
        <v>115</v>
      </c>
      <c r="J96" s="841">
        <f t="shared" ref="J96:J118" si="10">(L96/48)</f>
        <v>0</v>
      </c>
      <c r="K96" s="840" t="s">
        <v>115</v>
      </c>
      <c r="L96" s="926">
        <f t="shared" ref="L96:L118" si="11">M96*0.0266</f>
        <v>0</v>
      </c>
      <c r="M96" s="553">
        <f t="shared" ref="M96:M118" si="12">IF(G96=0,IF(E96=0,0,((E96/6.895)+14)*B96/17.5),SQRT((G96+14)*H96)*(B96*0.031))</f>
        <v>0</v>
      </c>
      <c r="N96" s="842">
        <f>IF(F96=0,0,IF(O91=0,0,((O91-F96)/O91)*100))</f>
        <v>0</v>
      </c>
      <c r="O96" s="843"/>
      <c r="P96" s="1390">
        <f t="shared" ref="P96:P119" si="13">IF(K96=0,0,(K96/(I96+K96)))</f>
        <v>0</v>
      </c>
      <c r="Q96" s="1389">
        <f t="shared" ref="Q96:Q119" si="14">IF(I96=0,0,IF(J96=0," ",J96/I96)*48)</f>
        <v>0</v>
      </c>
    </row>
    <row r="97" spans="1:17" ht="20.100000000000001" customHeight="1" thickBot="1">
      <c r="A97" s="9"/>
      <c r="B97" s="1139"/>
      <c r="C97" s="237"/>
      <c r="D97" s="836"/>
      <c r="E97" s="837"/>
      <c r="F97" s="837"/>
      <c r="G97" s="838" t="s">
        <v>115</v>
      </c>
      <c r="H97" s="839" t="s">
        <v>115</v>
      </c>
      <c r="I97" s="840"/>
      <c r="J97" s="841">
        <f t="shared" si="10"/>
        <v>0</v>
      </c>
      <c r="K97" s="840"/>
      <c r="L97" s="927">
        <f t="shared" si="11"/>
        <v>0</v>
      </c>
      <c r="M97" s="553">
        <f t="shared" si="12"/>
        <v>0</v>
      </c>
      <c r="N97" s="842">
        <f>IF(F97=0,0,IF(O91=0,0,((O91-F97)/O91)*100))</f>
        <v>0</v>
      </c>
      <c r="O97" s="843"/>
      <c r="P97" s="1390">
        <f t="shared" si="13"/>
        <v>0</v>
      </c>
      <c r="Q97" s="1389">
        <f t="shared" si="14"/>
        <v>0</v>
      </c>
    </row>
    <row r="98" spans="1:17" ht="20.100000000000001" customHeight="1" thickBot="1">
      <c r="A98" s="9"/>
      <c r="B98" s="1139"/>
      <c r="C98" s="237"/>
      <c r="D98" s="836"/>
      <c r="E98" s="837"/>
      <c r="F98" s="837"/>
      <c r="G98" s="838" t="s">
        <v>115</v>
      </c>
      <c r="H98" s="839" t="s">
        <v>115</v>
      </c>
      <c r="I98" s="840"/>
      <c r="J98" s="841">
        <f t="shared" si="10"/>
        <v>0</v>
      </c>
      <c r="K98" s="840"/>
      <c r="L98" s="927">
        <f t="shared" si="11"/>
        <v>0</v>
      </c>
      <c r="M98" s="553">
        <f t="shared" si="12"/>
        <v>0</v>
      </c>
      <c r="N98" s="842">
        <f>IF(F98=0,0,IF(O91=0,0,((O91-F98)/O91)*100))</f>
        <v>0</v>
      </c>
      <c r="O98" s="843"/>
      <c r="P98" s="1390">
        <f t="shared" si="13"/>
        <v>0</v>
      </c>
      <c r="Q98" s="1389">
        <f t="shared" si="14"/>
        <v>0</v>
      </c>
    </row>
    <row r="99" spans="1:17" ht="20.100000000000001" customHeight="1" thickBot="1">
      <c r="A99" s="9"/>
      <c r="B99" s="1139"/>
      <c r="C99" s="237"/>
      <c r="D99" s="836"/>
      <c r="E99" s="837"/>
      <c r="F99" s="837"/>
      <c r="G99" s="838" t="s">
        <v>115</v>
      </c>
      <c r="H99" s="839" t="s">
        <v>115</v>
      </c>
      <c r="I99" s="840"/>
      <c r="J99" s="841">
        <f t="shared" si="10"/>
        <v>0</v>
      </c>
      <c r="K99" s="840"/>
      <c r="L99" s="927">
        <f t="shared" si="11"/>
        <v>0</v>
      </c>
      <c r="M99" s="553">
        <f t="shared" si="12"/>
        <v>0</v>
      </c>
      <c r="N99" s="842">
        <f>IF(F99=0,0,IF(O91=0,0,((O91-F99)/O91)*100))</f>
        <v>0</v>
      </c>
      <c r="O99" s="843"/>
      <c r="P99" s="1390">
        <f t="shared" si="13"/>
        <v>0</v>
      </c>
      <c r="Q99" s="1389">
        <f t="shared" si="14"/>
        <v>0</v>
      </c>
    </row>
    <row r="100" spans="1:17" ht="20.100000000000001" customHeight="1" thickBot="1">
      <c r="A100" s="9"/>
      <c r="B100" s="1139"/>
      <c r="C100" s="237"/>
      <c r="D100" s="836"/>
      <c r="E100" s="837"/>
      <c r="F100" s="837"/>
      <c r="G100" s="838" t="s">
        <v>115</v>
      </c>
      <c r="H100" s="839" t="s">
        <v>115</v>
      </c>
      <c r="I100" s="840"/>
      <c r="J100" s="841">
        <f t="shared" si="10"/>
        <v>0</v>
      </c>
      <c r="K100" s="840"/>
      <c r="L100" s="927">
        <f t="shared" si="11"/>
        <v>0</v>
      </c>
      <c r="M100" s="553">
        <f t="shared" si="12"/>
        <v>0</v>
      </c>
      <c r="N100" s="842">
        <f>IF(F100=0,0,IF(O91=0,0,((O91-F100)/O91)*100))</f>
        <v>0</v>
      </c>
      <c r="O100" s="843"/>
      <c r="P100" s="1390">
        <f t="shared" si="13"/>
        <v>0</v>
      </c>
      <c r="Q100" s="1389">
        <f t="shared" si="14"/>
        <v>0</v>
      </c>
    </row>
    <row r="101" spans="1:17" ht="20.100000000000001" customHeight="1" thickBot="1">
      <c r="A101" s="9"/>
      <c r="B101" s="1139"/>
      <c r="C101" s="237"/>
      <c r="D101" s="836"/>
      <c r="E101" s="837"/>
      <c r="F101" s="837"/>
      <c r="G101" s="838" t="s">
        <v>115</v>
      </c>
      <c r="H101" s="839" t="s">
        <v>115</v>
      </c>
      <c r="I101" s="840"/>
      <c r="J101" s="841">
        <f t="shared" si="10"/>
        <v>0</v>
      </c>
      <c r="K101" s="840"/>
      <c r="L101" s="927">
        <f t="shared" si="11"/>
        <v>0</v>
      </c>
      <c r="M101" s="553">
        <f t="shared" si="12"/>
        <v>0</v>
      </c>
      <c r="N101" s="842">
        <f>IF(F101=0,0,IF(O91=0,0,((O91-F101)/O91)*100))</f>
        <v>0</v>
      </c>
      <c r="O101" s="843"/>
      <c r="P101" s="1390">
        <f t="shared" si="13"/>
        <v>0</v>
      </c>
      <c r="Q101" s="1389">
        <f t="shared" si="14"/>
        <v>0</v>
      </c>
    </row>
    <row r="102" spans="1:17" ht="20.100000000000001" customHeight="1" thickBot="1">
      <c r="A102" s="9"/>
      <c r="B102" s="1139"/>
      <c r="C102" s="237"/>
      <c r="D102" s="836"/>
      <c r="E102" s="837"/>
      <c r="F102" s="837"/>
      <c r="G102" s="838" t="s">
        <v>115</v>
      </c>
      <c r="H102" s="839" t="s">
        <v>115</v>
      </c>
      <c r="I102" s="840"/>
      <c r="J102" s="841">
        <f t="shared" si="10"/>
        <v>0</v>
      </c>
      <c r="K102" s="840"/>
      <c r="L102" s="927">
        <f t="shared" si="11"/>
        <v>0</v>
      </c>
      <c r="M102" s="553">
        <f t="shared" si="12"/>
        <v>0</v>
      </c>
      <c r="N102" s="842">
        <f>IF(F102=0,0,IF(O91=0,0,((O91-F102)/O91)*100))</f>
        <v>0</v>
      </c>
      <c r="O102" s="843"/>
      <c r="P102" s="1390">
        <f t="shared" si="13"/>
        <v>0</v>
      </c>
      <c r="Q102" s="1389">
        <f t="shared" si="14"/>
        <v>0</v>
      </c>
    </row>
    <row r="103" spans="1:17" ht="20.100000000000001" customHeight="1" thickBot="1">
      <c r="A103" s="9"/>
      <c r="B103" s="1139"/>
      <c r="C103" s="237"/>
      <c r="D103" s="836"/>
      <c r="E103" s="837"/>
      <c r="F103" s="837"/>
      <c r="G103" s="838" t="s">
        <v>115</v>
      </c>
      <c r="H103" s="839" t="s">
        <v>115</v>
      </c>
      <c r="I103" s="840"/>
      <c r="J103" s="841">
        <f t="shared" si="10"/>
        <v>0</v>
      </c>
      <c r="K103" s="840"/>
      <c r="L103" s="926">
        <f t="shared" si="11"/>
        <v>0</v>
      </c>
      <c r="M103" s="553">
        <f t="shared" si="12"/>
        <v>0</v>
      </c>
      <c r="N103" s="842">
        <f>IF(F103=0,0,IF(O91=0,0,((O91-F103)/O91)*100))</f>
        <v>0</v>
      </c>
      <c r="O103" s="843"/>
      <c r="P103" s="1390">
        <f t="shared" si="13"/>
        <v>0</v>
      </c>
      <c r="Q103" s="1389">
        <f t="shared" si="14"/>
        <v>0</v>
      </c>
    </row>
    <row r="104" spans="1:17" ht="20.100000000000001" customHeight="1" thickBot="1">
      <c r="A104" s="9"/>
      <c r="B104" s="1139"/>
      <c r="C104" s="237"/>
      <c r="D104" s="836"/>
      <c r="E104" s="837"/>
      <c r="F104" s="837"/>
      <c r="G104" s="838" t="s">
        <v>115</v>
      </c>
      <c r="H104" s="839" t="s">
        <v>115</v>
      </c>
      <c r="I104" s="840"/>
      <c r="J104" s="841">
        <f t="shared" si="10"/>
        <v>0</v>
      </c>
      <c r="K104" s="840"/>
      <c r="L104" s="926">
        <f t="shared" si="11"/>
        <v>0</v>
      </c>
      <c r="M104" s="553">
        <f t="shared" si="12"/>
        <v>0</v>
      </c>
      <c r="N104" s="842">
        <f>IF(F104=0,0,IF(O91=0,0,((O91-F104)/O91)*100))</f>
        <v>0</v>
      </c>
      <c r="O104" s="843"/>
      <c r="P104" s="1390">
        <f t="shared" si="13"/>
        <v>0</v>
      </c>
      <c r="Q104" s="1389">
        <f t="shared" si="14"/>
        <v>0</v>
      </c>
    </row>
    <row r="105" spans="1:17" ht="20.100000000000001" customHeight="1" thickBot="1">
      <c r="A105" s="9"/>
      <c r="B105" s="1139"/>
      <c r="C105" s="237"/>
      <c r="D105" s="836"/>
      <c r="E105" s="837"/>
      <c r="F105" s="837"/>
      <c r="G105" s="838" t="s">
        <v>115</v>
      </c>
      <c r="H105" s="839" t="s">
        <v>115</v>
      </c>
      <c r="I105" s="840"/>
      <c r="J105" s="841">
        <f t="shared" si="10"/>
        <v>0</v>
      </c>
      <c r="K105" s="840"/>
      <c r="L105" s="926">
        <f t="shared" si="11"/>
        <v>0</v>
      </c>
      <c r="M105" s="553">
        <f t="shared" si="12"/>
        <v>0</v>
      </c>
      <c r="N105" s="842">
        <f>IF(F105=0,0,IF(O91=0,0,((O91-F105)/O91)*100))</f>
        <v>0</v>
      </c>
      <c r="O105" s="843"/>
      <c r="P105" s="1390">
        <f t="shared" si="13"/>
        <v>0</v>
      </c>
      <c r="Q105" s="1389">
        <f t="shared" si="14"/>
        <v>0</v>
      </c>
    </row>
    <row r="106" spans="1:17" ht="20.100000000000001" customHeight="1" thickBot="1">
      <c r="A106" s="9"/>
      <c r="B106" s="1139"/>
      <c r="C106" s="237"/>
      <c r="D106" s="836"/>
      <c r="E106" s="837"/>
      <c r="F106" s="837"/>
      <c r="G106" s="838" t="s">
        <v>115</v>
      </c>
      <c r="H106" s="839" t="s">
        <v>115</v>
      </c>
      <c r="I106" s="840"/>
      <c r="J106" s="841">
        <f t="shared" si="10"/>
        <v>0</v>
      </c>
      <c r="K106" s="840"/>
      <c r="L106" s="926">
        <f t="shared" si="11"/>
        <v>0</v>
      </c>
      <c r="M106" s="553">
        <f t="shared" si="12"/>
        <v>0</v>
      </c>
      <c r="N106" s="842">
        <f>IF(F106=0,0,IF(O91=0,0,((O91-F106)/O91)*100))</f>
        <v>0</v>
      </c>
      <c r="O106" s="843"/>
      <c r="P106" s="1390">
        <f t="shared" si="13"/>
        <v>0</v>
      </c>
      <c r="Q106" s="1389">
        <f t="shared" si="14"/>
        <v>0</v>
      </c>
    </row>
    <row r="107" spans="1:17" ht="20.100000000000001" customHeight="1" thickBot="1">
      <c r="A107" s="9"/>
      <c r="B107" s="1139"/>
      <c r="C107" s="237"/>
      <c r="D107" s="836"/>
      <c r="E107" s="837"/>
      <c r="F107" s="837"/>
      <c r="G107" s="838" t="s">
        <v>115</v>
      </c>
      <c r="H107" s="839" t="s">
        <v>115</v>
      </c>
      <c r="I107" s="840"/>
      <c r="J107" s="841">
        <f t="shared" si="10"/>
        <v>0</v>
      </c>
      <c r="K107" s="840"/>
      <c r="L107" s="926">
        <f t="shared" si="11"/>
        <v>0</v>
      </c>
      <c r="M107" s="553">
        <f t="shared" si="12"/>
        <v>0</v>
      </c>
      <c r="N107" s="842">
        <f>IF(F107=0,0,IF(O91=0,0,((O91-F107)/O91)*100))</f>
        <v>0</v>
      </c>
      <c r="O107" s="843"/>
      <c r="P107" s="1390">
        <f t="shared" si="13"/>
        <v>0</v>
      </c>
      <c r="Q107" s="1389">
        <f t="shared" si="14"/>
        <v>0</v>
      </c>
    </row>
    <row r="108" spans="1:17" ht="20.100000000000001" customHeight="1" thickBot="1">
      <c r="A108" s="9"/>
      <c r="B108" s="1139"/>
      <c r="C108" s="237"/>
      <c r="D108" s="836"/>
      <c r="E108" s="837"/>
      <c r="F108" s="837"/>
      <c r="G108" s="838" t="s">
        <v>115</v>
      </c>
      <c r="H108" s="839" t="s">
        <v>115</v>
      </c>
      <c r="I108" s="840"/>
      <c r="J108" s="841">
        <f t="shared" si="10"/>
        <v>0</v>
      </c>
      <c r="K108" s="840"/>
      <c r="L108" s="926">
        <f t="shared" si="11"/>
        <v>0</v>
      </c>
      <c r="M108" s="553">
        <f t="shared" si="12"/>
        <v>0</v>
      </c>
      <c r="N108" s="842">
        <f>IF(F108=0,0,IF(O91=0,0,((O91-F108)/O91)*100))</f>
        <v>0</v>
      </c>
      <c r="O108" s="843"/>
      <c r="P108" s="1390">
        <f t="shared" si="13"/>
        <v>0</v>
      </c>
      <c r="Q108" s="1389">
        <f t="shared" si="14"/>
        <v>0</v>
      </c>
    </row>
    <row r="109" spans="1:17" ht="20.100000000000001" customHeight="1" thickBot="1">
      <c r="A109" s="9"/>
      <c r="B109" s="1139"/>
      <c r="C109" s="237"/>
      <c r="D109" s="836"/>
      <c r="E109" s="837"/>
      <c r="F109" s="837"/>
      <c r="G109" s="838"/>
      <c r="H109" s="839"/>
      <c r="I109" s="840"/>
      <c r="J109" s="841">
        <f>(L109/48)</f>
        <v>0</v>
      </c>
      <c r="K109" s="840"/>
      <c r="L109" s="926">
        <f>M109*0.0266</f>
        <v>0</v>
      </c>
      <c r="M109" s="553">
        <f>IF(G109=0,IF(E109=0,0,((E109/6.895)+14)*B109/17.5),SQRT((G109+14)*H109)*(B109*0.031))</f>
        <v>0</v>
      </c>
      <c r="N109" s="842">
        <f>IF(F109=0,0,IF(O91=0,0,((O91-F109)/O91)*100))</f>
        <v>0</v>
      </c>
      <c r="O109" s="843"/>
      <c r="P109" s="1390">
        <f t="shared" si="13"/>
        <v>0</v>
      </c>
      <c r="Q109" s="1389">
        <f t="shared" si="14"/>
        <v>0</v>
      </c>
    </row>
    <row r="110" spans="1:17" ht="20.100000000000001" customHeight="1" thickBot="1">
      <c r="A110" s="9"/>
      <c r="B110" s="1139"/>
      <c r="C110" s="237"/>
      <c r="D110" s="836"/>
      <c r="E110" s="837"/>
      <c r="F110" s="837"/>
      <c r="G110" s="838"/>
      <c r="H110" s="839"/>
      <c r="I110" s="840"/>
      <c r="J110" s="841">
        <f>(L110/48)</f>
        <v>0</v>
      </c>
      <c r="K110" s="840"/>
      <c r="L110" s="926">
        <f>M110*0.0266</f>
        <v>0</v>
      </c>
      <c r="M110" s="553">
        <f>IF(G110=0,IF(E110=0,0,((E110/6.895)+14)*B110/17.5),SQRT((G110+14)*H110)*(B110*0.031))</f>
        <v>0</v>
      </c>
      <c r="N110" s="842">
        <f>IF(F110=0,0,IF(O91=0,0,((O91-F110)/O91)*100))</f>
        <v>0</v>
      </c>
      <c r="O110" s="843"/>
      <c r="P110" s="1390">
        <f t="shared" si="13"/>
        <v>0</v>
      </c>
      <c r="Q110" s="1389">
        <f t="shared" si="14"/>
        <v>0</v>
      </c>
    </row>
    <row r="111" spans="1:17" ht="20.100000000000001" customHeight="1" thickBot="1">
      <c r="A111" s="9"/>
      <c r="B111" s="1139"/>
      <c r="C111" s="237"/>
      <c r="D111" s="836"/>
      <c r="E111" s="837"/>
      <c r="F111" s="837"/>
      <c r="G111" s="838"/>
      <c r="H111" s="839"/>
      <c r="I111" s="840"/>
      <c r="J111" s="841">
        <f>(L111/48)</f>
        <v>0</v>
      </c>
      <c r="K111" s="840"/>
      <c r="L111" s="926">
        <f>M111*0.0266</f>
        <v>0</v>
      </c>
      <c r="M111" s="553">
        <f>IF(G111=0,IF(E111=0,0,((E111/6.895)+14)*B111/17.5),SQRT((G111+14)*H111)*(B111*0.031))</f>
        <v>0</v>
      </c>
      <c r="N111" s="842">
        <f>IF(F111=0,0,IF(O91=0,0,((O91-F111)/O91)*100))</f>
        <v>0</v>
      </c>
      <c r="O111" s="843"/>
      <c r="P111" s="1390">
        <f t="shared" si="13"/>
        <v>0</v>
      </c>
      <c r="Q111" s="1389">
        <f t="shared" si="14"/>
        <v>0</v>
      </c>
    </row>
    <row r="112" spans="1:17" ht="20.100000000000001" customHeight="1" thickBot="1">
      <c r="A112" s="9"/>
      <c r="B112" s="1139"/>
      <c r="C112" s="237"/>
      <c r="D112" s="836"/>
      <c r="E112" s="837"/>
      <c r="F112" s="837"/>
      <c r="G112" s="838"/>
      <c r="H112" s="839"/>
      <c r="I112" s="840"/>
      <c r="J112" s="841">
        <f>(L112/48)</f>
        <v>0</v>
      </c>
      <c r="K112" s="840"/>
      <c r="L112" s="926">
        <f>M112*0.0266</f>
        <v>0</v>
      </c>
      <c r="M112" s="553">
        <f>IF(G112=0,IF(E112=0,0,((E112/6.895)+14)*B112/17.5),SQRT((G112+14)*H112)*(B112*0.031))</f>
        <v>0</v>
      </c>
      <c r="N112" s="842">
        <f>IF(F112=0,0,IF(O91=0,0,((O91-F112)/O91)*100))</f>
        <v>0</v>
      </c>
      <c r="O112" s="843"/>
      <c r="P112" s="1390">
        <f t="shared" si="13"/>
        <v>0</v>
      </c>
      <c r="Q112" s="1389">
        <f t="shared" si="14"/>
        <v>0</v>
      </c>
    </row>
    <row r="113" spans="1:17" ht="20.100000000000001" customHeight="1" thickBot="1">
      <c r="A113" s="9"/>
      <c r="B113" s="1139"/>
      <c r="C113" s="237"/>
      <c r="D113" s="836"/>
      <c r="E113" s="837"/>
      <c r="F113" s="837"/>
      <c r="G113" s="838" t="s">
        <v>115</v>
      </c>
      <c r="H113" s="839" t="s">
        <v>115</v>
      </c>
      <c r="I113" s="840"/>
      <c r="J113" s="841">
        <f t="shared" si="10"/>
        <v>0</v>
      </c>
      <c r="K113" s="840"/>
      <c r="L113" s="926">
        <f t="shared" si="11"/>
        <v>0</v>
      </c>
      <c r="M113" s="553">
        <f t="shared" si="12"/>
        <v>0</v>
      </c>
      <c r="N113" s="842">
        <f>IF(F113=0,0,IF(O91=0,0,((O91-F113)/O91)*100))</f>
        <v>0</v>
      </c>
      <c r="O113" s="843"/>
      <c r="P113" s="1390">
        <f t="shared" si="13"/>
        <v>0</v>
      </c>
      <c r="Q113" s="1389">
        <f t="shared" si="14"/>
        <v>0</v>
      </c>
    </row>
    <row r="114" spans="1:17" ht="20.100000000000001" customHeight="1" thickBot="1">
      <c r="A114" s="9"/>
      <c r="B114" s="1139"/>
      <c r="C114" s="237"/>
      <c r="D114" s="836"/>
      <c r="E114" s="837"/>
      <c r="F114" s="837"/>
      <c r="G114" s="838" t="s">
        <v>115</v>
      </c>
      <c r="H114" s="839" t="s">
        <v>115</v>
      </c>
      <c r="I114" s="840"/>
      <c r="J114" s="841">
        <f t="shared" si="10"/>
        <v>0</v>
      </c>
      <c r="K114" s="840"/>
      <c r="L114" s="926">
        <f t="shared" si="11"/>
        <v>0</v>
      </c>
      <c r="M114" s="553">
        <f t="shared" si="12"/>
        <v>0</v>
      </c>
      <c r="N114" s="842">
        <f>IF(F114=0,0,IF(O91=0,0,((O91-F114)/O91)*100))</f>
        <v>0</v>
      </c>
      <c r="O114" s="843"/>
      <c r="P114" s="1390">
        <f t="shared" si="13"/>
        <v>0</v>
      </c>
      <c r="Q114" s="1389">
        <f t="shared" si="14"/>
        <v>0</v>
      </c>
    </row>
    <row r="115" spans="1:17" ht="20.100000000000001" customHeight="1" thickBot="1">
      <c r="A115" s="9"/>
      <c r="B115" s="1139"/>
      <c r="C115" s="237"/>
      <c r="D115" s="836"/>
      <c r="E115" s="837"/>
      <c r="F115" s="837"/>
      <c r="G115" s="838" t="s">
        <v>115</v>
      </c>
      <c r="H115" s="839" t="s">
        <v>115</v>
      </c>
      <c r="I115" s="840"/>
      <c r="J115" s="841">
        <f t="shared" si="10"/>
        <v>0</v>
      </c>
      <c r="K115" s="840"/>
      <c r="L115" s="926">
        <f t="shared" si="11"/>
        <v>0</v>
      </c>
      <c r="M115" s="553">
        <f t="shared" si="12"/>
        <v>0</v>
      </c>
      <c r="N115" s="842">
        <f>IF(F115=0,0,IF(O91=0,0,((O91-F115)/O91)*100))</f>
        <v>0</v>
      </c>
      <c r="O115" s="843"/>
      <c r="P115" s="1390">
        <f t="shared" si="13"/>
        <v>0</v>
      </c>
      <c r="Q115" s="1389">
        <f t="shared" si="14"/>
        <v>0</v>
      </c>
    </row>
    <row r="116" spans="1:17" ht="20.100000000000001" customHeight="1" thickBot="1">
      <c r="A116" s="9"/>
      <c r="B116" s="1139"/>
      <c r="C116" s="237"/>
      <c r="D116" s="836"/>
      <c r="E116" s="837"/>
      <c r="F116" s="837"/>
      <c r="G116" s="838" t="s">
        <v>115</v>
      </c>
      <c r="H116" s="839" t="s">
        <v>115</v>
      </c>
      <c r="I116" s="840"/>
      <c r="J116" s="841">
        <f t="shared" si="10"/>
        <v>0</v>
      </c>
      <c r="K116" s="840"/>
      <c r="L116" s="926">
        <f t="shared" si="11"/>
        <v>0</v>
      </c>
      <c r="M116" s="553">
        <f t="shared" si="12"/>
        <v>0</v>
      </c>
      <c r="N116" s="842">
        <f>IF(F116=0,0,IF(O91=0,0,((O91-F116)/O91)*100))</f>
        <v>0</v>
      </c>
      <c r="O116" s="843"/>
      <c r="P116" s="1390">
        <f t="shared" si="13"/>
        <v>0</v>
      </c>
      <c r="Q116" s="1389">
        <f t="shared" si="14"/>
        <v>0</v>
      </c>
    </row>
    <row r="117" spans="1:17" ht="20.100000000000001" customHeight="1" thickBot="1">
      <c r="A117" s="9"/>
      <c r="B117" s="1139"/>
      <c r="C117" s="237"/>
      <c r="D117" s="836"/>
      <c r="E117" s="837"/>
      <c r="F117" s="837"/>
      <c r="G117" s="838" t="s">
        <v>115</v>
      </c>
      <c r="H117" s="839" t="s">
        <v>115</v>
      </c>
      <c r="I117" s="840"/>
      <c r="J117" s="841">
        <f t="shared" si="10"/>
        <v>0</v>
      </c>
      <c r="K117" s="840"/>
      <c r="L117" s="926">
        <f t="shared" si="11"/>
        <v>0</v>
      </c>
      <c r="M117" s="553">
        <f t="shared" si="12"/>
        <v>0</v>
      </c>
      <c r="N117" s="842">
        <f>IF(F117=0,0,IF(O91=0,0,((O91-F117)/O91)*100))</f>
        <v>0</v>
      </c>
      <c r="O117" s="843"/>
      <c r="P117" s="1390">
        <f t="shared" si="13"/>
        <v>0</v>
      </c>
      <c r="Q117" s="1389">
        <f t="shared" si="14"/>
        <v>0</v>
      </c>
    </row>
    <row r="118" spans="1:17" ht="20.100000000000001" customHeight="1" thickBot="1">
      <c r="A118" s="9"/>
      <c r="B118" s="1139"/>
      <c r="C118" s="237"/>
      <c r="D118" s="836"/>
      <c r="E118" s="837"/>
      <c r="F118" s="837"/>
      <c r="G118" s="838" t="s">
        <v>115</v>
      </c>
      <c r="H118" s="839" t="s">
        <v>115</v>
      </c>
      <c r="I118" s="840"/>
      <c r="J118" s="841">
        <f t="shared" si="10"/>
        <v>0</v>
      </c>
      <c r="K118" s="840"/>
      <c r="L118" s="926">
        <f t="shared" si="11"/>
        <v>0</v>
      </c>
      <c r="M118" s="553">
        <f t="shared" si="12"/>
        <v>0</v>
      </c>
      <c r="N118" s="842">
        <f>IF(F118=0,0,IF(O91=0,0,((O91-F118)/O91)*100))</f>
        <v>0</v>
      </c>
      <c r="O118" s="843"/>
      <c r="P118" s="1390">
        <f t="shared" si="13"/>
        <v>0</v>
      </c>
      <c r="Q118" s="1389">
        <f t="shared" si="14"/>
        <v>0</v>
      </c>
    </row>
    <row r="119" spans="1:17" ht="20.100000000000001" customHeight="1" thickBot="1">
      <c r="A119" s="9"/>
      <c r="B119" s="1139"/>
      <c r="C119" s="237"/>
      <c r="D119" s="836"/>
      <c r="E119" s="837"/>
      <c r="F119" s="837"/>
      <c r="G119" s="838"/>
      <c r="H119" s="839"/>
      <c r="I119" s="840"/>
      <c r="J119" s="841">
        <f>(L119/48)</f>
        <v>0</v>
      </c>
      <c r="K119" s="840"/>
      <c r="L119" s="926">
        <f>M119*0.0266</f>
        <v>0</v>
      </c>
      <c r="M119" s="553">
        <f>IF(G119=0,IF(E119=0,0,((E119/6.895)+14)*B119/17.5),SQRT((G119+14)*H119)*(B119*0.031))</f>
        <v>0</v>
      </c>
      <c r="N119" s="842">
        <f>IF(F119=0,0,IF(O91=0,0,((O91-F119)/O91)*100))</f>
        <v>0</v>
      </c>
      <c r="O119" s="843"/>
      <c r="P119" s="1390">
        <f t="shared" si="13"/>
        <v>0</v>
      </c>
      <c r="Q119" s="1389">
        <f t="shared" si="14"/>
        <v>0</v>
      </c>
    </row>
    <row r="120" spans="1:17" ht="20.100000000000001" customHeight="1">
      <c r="A120" s="9"/>
      <c r="B120" s="533" t="s">
        <v>274</v>
      </c>
      <c r="C120" s="534" t="str">
        <f>IF(G94="Separator (Metric)"," ","Tbg/Csg pressures in kPa; Static &amp; Diff in English;")</f>
        <v xml:space="preserve"> </v>
      </c>
      <c r="D120" s="535"/>
      <c r="E120" s="536"/>
      <c r="F120" s="536"/>
      <c r="G120" s="537" t="str">
        <f>IF(J92="Yes","In the event this report differs from Tester's Notes, the Tester's Notes should be used as the absolute"," ")</f>
        <v>In the event this report differs from Tester's Notes, the Tester's Notes should be used as the absolute</v>
      </c>
      <c r="H120" s="536"/>
      <c r="I120" s="538"/>
      <c r="J120" s="538"/>
      <c r="K120" s="538"/>
      <c r="L120" s="538"/>
      <c r="M120" s="538"/>
      <c r="N120" s="538"/>
      <c r="O120" s="825"/>
      <c r="Q120" s="12"/>
    </row>
    <row r="121" spans="1:17" ht="20.100000000000001" customHeight="1">
      <c r="A121" s="9"/>
      <c r="B121" s="527"/>
      <c r="C121" s="539" t="s">
        <v>414</v>
      </c>
      <c r="D121" s="825"/>
      <c r="E121" s="825"/>
      <c r="F121" s="825"/>
      <c r="G121" s="825"/>
      <c r="H121" s="825"/>
      <c r="I121" s="825"/>
      <c r="J121" s="825"/>
      <c r="K121" s="825"/>
      <c r="L121" s="825"/>
      <c r="M121" s="825"/>
      <c r="N121" s="825"/>
      <c r="O121" s="825"/>
      <c r="Q121" s="12"/>
    </row>
    <row r="122" spans="1:17" ht="20.100000000000001" customHeight="1">
      <c r="A122" s="9"/>
      <c r="B122" s="527"/>
      <c r="C122" s="540" t="s">
        <v>115</v>
      </c>
      <c r="D122" s="825"/>
      <c r="E122" s="825"/>
      <c r="F122" s="825"/>
      <c r="G122" s="825"/>
      <c r="H122" s="825"/>
      <c r="I122" s="541"/>
      <c r="J122" s="1316"/>
      <c r="K122" s="541"/>
      <c r="L122" s="825"/>
      <c r="M122" s="825"/>
      <c r="N122" s="825"/>
      <c r="O122" s="825"/>
      <c r="Q122" s="12"/>
    </row>
    <row r="123" spans="1:17" ht="20.100000000000001" customHeight="1">
      <c r="A123" s="9"/>
      <c r="B123" s="527"/>
      <c r="C123" s="1386"/>
      <c r="D123" s="1387"/>
      <c r="E123" s="1387"/>
      <c r="F123" s="1387"/>
      <c r="G123" s="1387"/>
      <c r="H123" s="1387"/>
      <c r="I123" s="1316"/>
      <c r="J123" s="1316"/>
      <c r="K123" s="1316"/>
      <c r="L123" s="1387"/>
      <c r="M123" s="1387"/>
      <c r="N123" s="1387"/>
      <c r="O123" s="1387"/>
      <c r="Q123" s="12"/>
    </row>
    <row r="124" spans="1:17" ht="20.100000000000001" customHeight="1" thickBot="1">
      <c r="A124" s="9"/>
      <c r="B124" s="527"/>
      <c r="C124" s="1386"/>
      <c r="D124" s="1387"/>
      <c r="E124" s="1387"/>
      <c r="F124" s="1387"/>
      <c r="G124" s="1387"/>
      <c r="H124" s="1387"/>
      <c r="I124" s="1316"/>
      <c r="J124" s="1316"/>
      <c r="K124" s="1316"/>
      <c r="L124" s="1387"/>
      <c r="M124" s="1387"/>
      <c r="N124" s="1387"/>
      <c r="O124" s="1387"/>
      <c r="Q124" s="12"/>
    </row>
    <row r="125" spans="1:17" ht="20.100000000000001" customHeight="1" thickBot="1">
      <c r="A125" s="9"/>
      <c r="B125" s="542" t="s">
        <v>275</v>
      </c>
      <c r="C125" s="543" t="s">
        <v>1083</v>
      </c>
      <c r="D125" s="826">
        <f>SUM(K96:K119)</f>
        <v>0</v>
      </c>
      <c r="E125" s="806" t="s">
        <v>218</v>
      </c>
      <c r="F125" s="806" t="s">
        <v>1084</v>
      </c>
      <c r="G125" s="827">
        <f>SUM(I96:I119)</f>
        <v>0</v>
      </c>
      <c r="H125" s="806" t="s">
        <v>218</v>
      </c>
      <c r="I125" s="1317" t="s">
        <v>1087</v>
      </c>
      <c r="J125" s="1318">
        <f>IF(O89=O47,J83+D92,D92)</f>
        <v>0</v>
      </c>
      <c r="K125" s="544" t="s">
        <v>966</v>
      </c>
      <c r="L125" s="543"/>
      <c r="M125" s="545" t="s">
        <v>151</v>
      </c>
      <c r="N125" s="546"/>
      <c r="O125" s="828" t="str">
        <f>O83</f>
        <v>Rick Johnson</v>
      </c>
      <c r="Q125" s="12"/>
    </row>
    <row r="126" spans="1:17" ht="15.25" thickBot="1">
      <c r="A126" s="16"/>
      <c r="B126" s="547"/>
      <c r="C126" s="1315" t="s">
        <v>1085</v>
      </c>
      <c r="D126" s="826">
        <f>IF(O89=O47,D84+D125,D125)</f>
        <v>0</v>
      </c>
      <c r="E126" s="829" t="s">
        <v>218</v>
      </c>
      <c r="F126" s="829" t="s">
        <v>1086</v>
      </c>
      <c r="G126" s="830">
        <f>IF(O89=O47,G84+G125,G125)</f>
        <v>0</v>
      </c>
      <c r="H126" s="829" t="s">
        <v>218</v>
      </c>
      <c r="I126" s="829" t="s">
        <v>1365</v>
      </c>
      <c r="J126" s="1341"/>
      <c r="K126" s="2490" t="s">
        <v>1362</v>
      </c>
      <c r="L126" s="2491"/>
      <c r="M126" s="826">
        <f>IF(J126=0,0,((D126+G126)/J126)*24)</f>
        <v>0</v>
      </c>
      <c r="N126" s="1342" t="s">
        <v>1366</v>
      </c>
      <c r="O126" s="1382">
        <f>IF(D126=0,0,D126/(D126+G126))</f>
        <v>0</v>
      </c>
      <c r="P126" s="1385"/>
      <c r="Q126" s="17"/>
    </row>
    <row r="127" spans="1:17" ht="20.100000000000001" customHeight="1">
      <c r="A127" s="6"/>
      <c r="B127" s="2485">
        <f>B85</f>
        <v>0</v>
      </c>
      <c r="C127" s="2485"/>
      <c r="D127" s="2485"/>
      <c r="E127" s="2485"/>
      <c r="F127" s="2485"/>
      <c r="G127" s="2485"/>
      <c r="H127" s="2485"/>
      <c r="I127" s="2485"/>
      <c r="J127" s="2485"/>
      <c r="K127" s="2485"/>
      <c r="L127" s="2485"/>
      <c r="M127" s="2485"/>
      <c r="N127" s="2485"/>
      <c r="O127" s="2485"/>
      <c r="P127" s="1384"/>
      <c r="Q127" s="8"/>
    </row>
    <row r="128" spans="1:17" ht="20.100000000000001" customHeight="1">
      <c r="A128" s="9"/>
      <c r="B128" s="10" t="s">
        <v>115</v>
      </c>
      <c r="C128" s="11"/>
      <c r="D128" s="11"/>
      <c r="Q128" s="12"/>
    </row>
    <row r="129" spans="1:17" ht="18">
      <c r="A129" s="9"/>
      <c r="B129" s="13" t="s">
        <v>247</v>
      </c>
      <c r="C129" s="14"/>
      <c r="D129" s="14"/>
      <c r="E129" s="14"/>
      <c r="F129" s="14"/>
      <c r="G129" s="14"/>
      <c r="H129" s="14"/>
      <c r="I129" s="14"/>
      <c r="J129" s="14"/>
      <c r="K129" s="14"/>
      <c r="L129" s="14"/>
      <c r="M129" s="14"/>
      <c r="N129" s="789" t="s">
        <v>248</v>
      </c>
      <c r="O129" s="790" t="str">
        <f>IF(O213="3 OF 3","1 OF 3",IF(O171="2 OF 2","1 OF 2","1 OF 1"))</f>
        <v>1 OF 3</v>
      </c>
      <c r="Q129" s="12"/>
    </row>
    <row r="130" spans="1:17" ht="10.15" customHeight="1" thickBot="1">
      <c r="A130" s="9"/>
      <c r="B130" s="15"/>
      <c r="Q130" s="12"/>
    </row>
    <row r="131" spans="1:17" ht="20.100000000000001" customHeight="1" thickBot="1">
      <c r="A131" s="9"/>
      <c r="B131" s="523" t="s">
        <v>249</v>
      </c>
      <c r="C131" s="524"/>
      <c r="D131" s="2477">
        <f>D89</f>
        <v>0</v>
      </c>
      <c r="E131" s="2478"/>
      <c r="F131" s="2478"/>
      <c r="G131" s="2478"/>
      <c r="H131" s="2478"/>
      <c r="I131" s="2478"/>
      <c r="J131" s="2478"/>
      <c r="K131" s="2479"/>
      <c r="L131" s="791" t="s">
        <v>413</v>
      </c>
      <c r="M131" s="792"/>
      <c r="N131" s="793"/>
      <c r="O131" s="794"/>
      <c r="Q131" s="12"/>
    </row>
    <row r="132" spans="1:17" ht="20.100000000000001" customHeight="1" thickBot="1">
      <c r="A132" s="9"/>
      <c r="B132" s="525" t="s">
        <v>250</v>
      </c>
      <c r="C132" s="526"/>
      <c r="D132" s="2480" t="str">
        <f>D90</f>
        <v xml:space="preserve"> </v>
      </c>
      <c r="E132" s="2481"/>
      <c r="F132" s="2481" t="str">
        <f>F90</f>
        <v xml:space="preserve"> </v>
      </c>
      <c r="G132" s="2481"/>
      <c r="H132" s="2481" t="str">
        <f>H90</f>
        <v xml:space="preserve"> </v>
      </c>
      <c r="I132" s="2481"/>
      <c r="J132" s="2484">
        <f>J90</f>
        <v>0</v>
      </c>
      <c r="K132" s="2483"/>
      <c r="L132" s="796" t="s">
        <v>251</v>
      </c>
      <c r="M132" s="797"/>
      <c r="N132" s="798"/>
      <c r="O132" s="532">
        <v>0</v>
      </c>
      <c r="Q132" s="12"/>
    </row>
    <row r="133" spans="1:17" ht="20.100000000000001" customHeight="1" thickBot="1">
      <c r="A133" s="9"/>
      <c r="B133" s="525" t="s">
        <v>252</v>
      </c>
      <c r="C133" s="526"/>
      <c r="D133" s="797" t="s">
        <v>115</v>
      </c>
      <c r="E133" s="799"/>
      <c r="F133" s="797" t="s">
        <v>1249</v>
      </c>
      <c r="G133" s="1383">
        <v>0</v>
      </c>
      <c r="H133" s="797" t="s">
        <v>218</v>
      </c>
      <c r="I133" s="797" t="s">
        <v>1250</v>
      </c>
      <c r="J133" s="544">
        <v>0</v>
      </c>
      <c r="K133" s="797" t="s">
        <v>1251</v>
      </c>
      <c r="L133" s="525" t="s">
        <v>253</v>
      </c>
      <c r="M133" s="834"/>
      <c r="N133" s="835"/>
      <c r="O133" s="800">
        <v>0</v>
      </c>
      <c r="Q133" s="12"/>
    </row>
    <row r="134" spans="1:17" ht="20.100000000000001" customHeight="1" thickBot="1">
      <c r="A134" s="9" t="s">
        <v>115</v>
      </c>
      <c r="B134" s="2472" t="s">
        <v>1082</v>
      </c>
      <c r="C134" s="2473"/>
      <c r="D134" s="801">
        <f>SUM(J138:J161)</f>
        <v>0</v>
      </c>
      <c r="E134" s="802" t="s">
        <v>966</v>
      </c>
      <c r="F134" s="803">
        <f>D134/0.0283</f>
        <v>0</v>
      </c>
      <c r="G134" s="802" t="s">
        <v>257</v>
      </c>
      <c r="H134" s="2474" t="s">
        <v>631</v>
      </c>
      <c r="I134" s="2475"/>
      <c r="J134" s="804" t="str">
        <f>J92</f>
        <v>Yes</v>
      </c>
      <c r="K134" s="797"/>
      <c r="L134" s="525" t="s">
        <v>258</v>
      </c>
      <c r="M134" s="834"/>
      <c r="N134" s="835" t="s">
        <v>115</v>
      </c>
      <c r="O134" s="805">
        <v>0</v>
      </c>
      <c r="P134" s="7" t="s">
        <v>115</v>
      </c>
      <c r="Q134" s="12"/>
    </row>
    <row r="135" spans="1:17" ht="10.15" customHeight="1" thickBot="1">
      <c r="A135" s="9"/>
      <c r="B135" s="528"/>
      <c r="C135" s="528"/>
      <c r="D135" s="806"/>
      <c r="E135" s="806"/>
      <c r="F135" s="806"/>
      <c r="G135" s="806"/>
      <c r="H135" s="806"/>
      <c r="I135" s="806"/>
      <c r="J135" s="806"/>
      <c r="K135" s="806"/>
      <c r="L135" s="806"/>
      <c r="M135" s="806"/>
      <c r="N135" s="806"/>
      <c r="O135" s="806"/>
      <c r="Q135" s="12"/>
    </row>
    <row r="136" spans="1:17" ht="15.9" thickBot="1">
      <c r="A136" s="9"/>
      <c r="B136" s="529" t="s">
        <v>117</v>
      </c>
      <c r="C136" s="530"/>
      <c r="D136" s="530" t="s">
        <v>259</v>
      </c>
      <c r="E136" s="530" t="s">
        <v>204</v>
      </c>
      <c r="F136" s="807" t="s">
        <v>260</v>
      </c>
      <c r="G136" s="808" t="s">
        <v>967</v>
      </c>
      <c r="H136" s="809"/>
      <c r="I136" s="810" t="s">
        <v>1612</v>
      </c>
      <c r="J136" s="811"/>
      <c r="K136" s="812"/>
      <c r="L136" s="813" t="s">
        <v>263</v>
      </c>
      <c r="M136" s="813" t="s">
        <v>263</v>
      </c>
      <c r="N136" s="813" t="s">
        <v>264</v>
      </c>
      <c r="O136" s="814" t="s">
        <v>265</v>
      </c>
      <c r="P136" s="2495" t="s">
        <v>1292</v>
      </c>
      <c r="Q136" s="2497" t="s">
        <v>1293</v>
      </c>
    </row>
    <row r="137" spans="1:17" ht="15" customHeight="1" thickBot="1">
      <c r="A137" s="9"/>
      <c r="B137" s="531" t="s">
        <v>266</v>
      </c>
      <c r="C137" s="532" t="s">
        <v>208</v>
      </c>
      <c r="D137" s="532" t="s">
        <v>267</v>
      </c>
      <c r="E137" s="532" t="s">
        <v>217</v>
      </c>
      <c r="F137" s="532" t="s">
        <v>217</v>
      </c>
      <c r="G137" s="532" t="s">
        <v>268</v>
      </c>
      <c r="H137" s="532" t="s">
        <v>269</v>
      </c>
      <c r="I137" s="532" t="s">
        <v>194</v>
      </c>
      <c r="J137" s="532" t="s">
        <v>270</v>
      </c>
      <c r="K137" s="532" t="s">
        <v>193</v>
      </c>
      <c r="L137" s="815" t="s">
        <v>271</v>
      </c>
      <c r="M137" s="815" t="s">
        <v>272</v>
      </c>
      <c r="N137" s="815" t="s">
        <v>273</v>
      </c>
      <c r="O137" s="816"/>
      <c r="P137" s="2496"/>
      <c r="Q137" s="2498"/>
    </row>
    <row r="138" spans="1:17" ht="20.100000000000001" customHeight="1" thickBot="1">
      <c r="A138" s="9"/>
      <c r="B138" s="1139"/>
      <c r="C138" s="237"/>
      <c r="D138" s="817" t="s">
        <v>115</v>
      </c>
      <c r="E138" s="818" t="s">
        <v>115</v>
      </c>
      <c r="F138" s="818">
        <v>0</v>
      </c>
      <c r="G138" s="819">
        <v>0</v>
      </c>
      <c r="H138" s="820">
        <v>0</v>
      </c>
      <c r="I138" s="821" t="s">
        <v>115</v>
      </c>
      <c r="J138" s="822">
        <f t="shared" ref="J138:J161" si="15">(L138/48)</f>
        <v>0</v>
      </c>
      <c r="K138" s="821" t="s">
        <v>115</v>
      </c>
      <c r="L138" s="926">
        <f t="shared" ref="L138:L161" si="16">M138*0.0266</f>
        <v>0</v>
      </c>
      <c r="M138" s="236">
        <f t="shared" ref="M138:M161" si="17">IF(G138=0,IF(E138=0,0,((E138/6.895)+14)*B138/17.5),SQRT((G138+14)*H138)*(B138*0.031))</f>
        <v>0</v>
      </c>
      <c r="N138" s="823">
        <f>IF(F138=0,0,IF(O133=0,0,((O133-F138)/O133)*100))</f>
        <v>0</v>
      </c>
      <c r="O138" s="824"/>
      <c r="P138" s="1390">
        <f t="shared" ref="P138:P161" si="18">IF(K138=0,0,(K138/(I138+K138)))</f>
        <v>0</v>
      </c>
      <c r="Q138" s="1389">
        <f t="shared" ref="Q138:Q161" si="19">IF(I138=0,0,IF(J138=0," ",J138/I138)*48)</f>
        <v>0</v>
      </c>
    </row>
    <row r="139" spans="1:17" ht="20.100000000000001" customHeight="1" thickBot="1">
      <c r="A139" s="9"/>
      <c r="B139" s="1139"/>
      <c r="C139" s="237"/>
      <c r="D139" s="817"/>
      <c r="E139" s="818"/>
      <c r="F139" s="818"/>
      <c r="G139" s="819" t="s">
        <v>115</v>
      </c>
      <c r="H139" s="820" t="s">
        <v>115</v>
      </c>
      <c r="I139" s="821"/>
      <c r="J139" s="822">
        <f t="shared" si="15"/>
        <v>0</v>
      </c>
      <c r="K139" s="821"/>
      <c r="L139" s="927">
        <f t="shared" si="16"/>
        <v>0</v>
      </c>
      <c r="M139" s="236">
        <f t="shared" si="17"/>
        <v>0</v>
      </c>
      <c r="N139" s="823">
        <f>IF(F139=0,0,IF(O133=0,0,((O133-F139)/O133)*100))</f>
        <v>0</v>
      </c>
      <c r="O139" s="824"/>
      <c r="P139" s="1390">
        <f t="shared" si="18"/>
        <v>0</v>
      </c>
      <c r="Q139" s="1389">
        <f t="shared" si="19"/>
        <v>0</v>
      </c>
    </row>
    <row r="140" spans="1:17" ht="20.100000000000001" customHeight="1" thickBot="1">
      <c r="A140" s="9"/>
      <c r="B140" s="1139"/>
      <c r="C140" s="237"/>
      <c r="D140" s="817"/>
      <c r="E140" s="818"/>
      <c r="F140" s="818"/>
      <c r="G140" s="819" t="s">
        <v>115</v>
      </c>
      <c r="H140" s="820" t="s">
        <v>115</v>
      </c>
      <c r="I140" s="821"/>
      <c r="J140" s="822">
        <f t="shared" si="15"/>
        <v>0</v>
      </c>
      <c r="K140" s="821"/>
      <c r="L140" s="927">
        <f t="shared" si="16"/>
        <v>0</v>
      </c>
      <c r="M140" s="236">
        <f t="shared" si="17"/>
        <v>0</v>
      </c>
      <c r="N140" s="823">
        <f>IF(F140=0,0,IF(O133=0,0,((O133-F140)/O133)*100))</f>
        <v>0</v>
      </c>
      <c r="O140" s="824"/>
      <c r="P140" s="1390">
        <f t="shared" si="18"/>
        <v>0</v>
      </c>
      <c r="Q140" s="1389">
        <f t="shared" si="19"/>
        <v>0</v>
      </c>
    </row>
    <row r="141" spans="1:17" ht="20.100000000000001" customHeight="1" thickBot="1">
      <c r="A141" s="9"/>
      <c r="B141" s="1139"/>
      <c r="C141" s="237"/>
      <c r="D141" s="817"/>
      <c r="E141" s="818"/>
      <c r="F141" s="818"/>
      <c r="G141" s="819" t="s">
        <v>115</v>
      </c>
      <c r="H141" s="820" t="s">
        <v>115</v>
      </c>
      <c r="I141" s="821"/>
      <c r="J141" s="822">
        <f t="shared" si="15"/>
        <v>0</v>
      </c>
      <c r="K141" s="821"/>
      <c r="L141" s="927">
        <f t="shared" si="16"/>
        <v>0</v>
      </c>
      <c r="M141" s="236">
        <f t="shared" si="17"/>
        <v>0</v>
      </c>
      <c r="N141" s="823">
        <f>IF(F141=0,0,IF(O133=0,0,((O133-F141)/O133)*100))</f>
        <v>0</v>
      </c>
      <c r="O141" s="824"/>
      <c r="P141" s="1390">
        <f t="shared" si="18"/>
        <v>0</v>
      </c>
      <c r="Q141" s="1389">
        <f t="shared" si="19"/>
        <v>0</v>
      </c>
    </row>
    <row r="142" spans="1:17" ht="20.100000000000001" customHeight="1" thickBot="1">
      <c r="A142" s="9"/>
      <c r="B142" s="1139"/>
      <c r="C142" s="237"/>
      <c r="D142" s="817"/>
      <c r="E142" s="818"/>
      <c r="F142" s="818"/>
      <c r="G142" s="819" t="s">
        <v>115</v>
      </c>
      <c r="H142" s="820" t="s">
        <v>115</v>
      </c>
      <c r="I142" s="821"/>
      <c r="J142" s="822">
        <f t="shared" si="15"/>
        <v>0</v>
      </c>
      <c r="K142" s="821"/>
      <c r="L142" s="927">
        <f t="shared" si="16"/>
        <v>0</v>
      </c>
      <c r="M142" s="236">
        <f t="shared" si="17"/>
        <v>0</v>
      </c>
      <c r="N142" s="823">
        <f>IF(F142=0,0,IF(O133=0,0,((O133-F142)/O133)*100))</f>
        <v>0</v>
      </c>
      <c r="O142" s="824"/>
      <c r="P142" s="1390">
        <f t="shared" si="18"/>
        <v>0</v>
      </c>
      <c r="Q142" s="1389">
        <f t="shared" si="19"/>
        <v>0</v>
      </c>
    </row>
    <row r="143" spans="1:17" ht="20.100000000000001" customHeight="1" thickBot="1">
      <c r="A143" s="9"/>
      <c r="B143" s="1139"/>
      <c r="C143" s="237"/>
      <c r="D143" s="817"/>
      <c r="E143" s="818"/>
      <c r="F143" s="818"/>
      <c r="G143" s="819" t="s">
        <v>115</v>
      </c>
      <c r="H143" s="820" t="s">
        <v>115</v>
      </c>
      <c r="I143" s="821"/>
      <c r="J143" s="822">
        <f t="shared" si="15"/>
        <v>0</v>
      </c>
      <c r="K143" s="821"/>
      <c r="L143" s="927">
        <f t="shared" si="16"/>
        <v>0</v>
      </c>
      <c r="M143" s="236">
        <f t="shared" si="17"/>
        <v>0</v>
      </c>
      <c r="N143" s="823">
        <f>IF(F143=0,0,IF(O133=0,0,((O133-F143)/O133)*100))</f>
        <v>0</v>
      </c>
      <c r="O143" s="824"/>
      <c r="P143" s="1390">
        <f t="shared" si="18"/>
        <v>0</v>
      </c>
      <c r="Q143" s="1389">
        <f t="shared" si="19"/>
        <v>0</v>
      </c>
    </row>
    <row r="144" spans="1:17" ht="20.100000000000001" customHeight="1" thickBot="1">
      <c r="A144" s="9"/>
      <c r="B144" s="1139"/>
      <c r="C144" s="237"/>
      <c r="D144" s="817"/>
      <c r="E144" s="818"/>
      <c r="F144" s="818"/>
      <c r="G144" s="819" t="s">
        <v>115</v>
      </c>
      <c r="H144" s="820" t="s">
        <v>115</v>
      </c>
      <c r="I144" s="821"/>
      <c r="J144" s="822">
        <f t="shared" si="15"/>
        <v>0</v>
      </c>
      <c r="K144" s="821"/>
      <c r="L144" s="927">
        <f t="shared" si="16"/>
        <v>0</v>
      </c>
      <c r="M144" s="236">
        <f t="shared" si="17"/>
        <v>0</v>
      </c>
      <c r="N144" s="823">
        <f>IF(F144=0,0,IF(O133=0,0,((O133-F144)/O133)*100))</f>
        <v>0</v>
      </c>
      <c r="O144" s="824"/>
      <c r="P144" s="1390">
        <f t="shared" si="18"/>
        <v>0</v>
      </c>
      <c r="Q144" s="1389">
        <f t="shared" si="19"/>
        <v>0</v>
      </c>
    </row>
    <row r="145" spans="1:17" ht="20.100000000000001" customHeight="1" thickBot="1">
      <c r="A145" s="9"/>
      <c r="B145" s="1139"/>
      <c r="C145" s="237"/>
      <c r="D145" s="817"/>
      <c r="E145" s="818"/>
      <c r="F145" s="818"/>
      <c r="G145" s="819" t="s">
        <v>115</v>
      </c>
      <c r="H145" s="820" t="s">
        <v>115</v>
      </c>
      <c r="I145" s="821"/>
      <c r="J145" s="822">
        <f t="shared" si="15"/>
        <v>0</v>
      </c>
      <c r="K145" s="821"/>
      <c r="L145" s="926">
        <f t="shared" si="16"/>
        <v>0</v>
      </c>
      <c r="M145" s="236">
        <f t="shared" si="17"/>
        <v>0</v>
      </c>
      <c r="N145" s="823">
        <f>IF(F145=0,0,IF(O133=0,0,((O133-F145)/O133)*100))</f>
        <v>0</v>
      </c>
      <c r="O145" s="824"/>
      <c r="P145" s="1390">
        <f t="shared" si="18"/>
        <v>0</v>
      </c>
      <c r="Q145" s="1389">
        <f t="shared" si="19"/>
        <v>0</v>
      </c>
    </row>
    <row r="146" spans="1:17" ht="20.100000000000001" customHeight="1" thickBot="1">
      <c r="A146" s="9"/>
      <c r="B146" s="1139"/>
      <c r="C146" s="237"/>
      <c r="D146" s="817"/>
      <c r="E146" s="818"/>
      <c r="F146" s="818"/>
      <c r="G146" s="819" t="s">
        <v>115</v>
      </c>
      <c r="H146" s="820" t="s">
        <v>115</v>
      </c>
      <c r="I146" s="821"/>
      <c r="J146" s="822">
        <f t="shared" si="15"/>
        <v>0</v>
      </c>
      <c r="K146" s="821"/>
      <c r="L146" s="926">
        <f t="shared" si="16"/>
        <v>0</v>
      </c>
      <c r="M146" s="236">
        <f t="shared" si="17"/>
        <v>0</v>
      </c>
      <c r="N146" s="823">
        <f>IF(F146=0,0,IF(O133=0,0,((O133-F146)/O133)*100))</f>
        <v>0</v>
      </c>
      <c r="O146" s="824"/>
      <c r="P146" s="1390">
        <f t="shared" si="18"/>
        <v>0</v>
      </c>
      <c r="Q146" s="1389">
        <f t="shared" si="19"/>
        <v>0</v>
      </c>
    </row>
    <row r="147" spans="1:17" ht="20.100000000000001" customHeight="1" thickBot="1">
      <c r="A147" s="9"/>
      <c r="B147" s="1139"/>
      <c r="C147" s="237"/>
      <c r="D147" s="817"/>
      <c r="E147" s="818"/>
      <c r="F147" s="818"/>
      <c r="G147" s="819" t="s">
        <v>115</v>
      </c>
      <c r="H147" s="820" t="s">
        <v>115</v>
      </c>
      <c r="I147" s="821"/>
      <c r="J147" s="822">
        <f t="shared" si="15"/>
        <v>0</v>
      </c>
      <c r="K147" s="821"/>
      <c r="L147" s="926">
        <f t="shared" si="16"/>
        <v>0</v>
      </c>
      <c r="M147" s="236">
        <f t="shared" si="17"/>
        <v>0</v>
      </c>
      <c r="N147" s="823">
        <f>IF(F147=0,0,IF(O133=0,0,((O133-F147)/O133)*100))</f>
        <v>0</v>
      </c>
      <c r="O147" s="824"/>
      <c r="P147" s="1390">
        <f t="shared" si="18"/>
        <v>0</v>
      </c>
      <c r="Q147" s="1389">
        <f t="shared" si="19"/>
        <v>0</v>
      </c>
    </row>
    <row r="148" spans="1:17" ht="20.100000000000001" customHeight="1" thickBot="1">
      <c r="A148" s="9"/>
      <c r="B148" s="1139"/>
      <c r="C148" s="237"/>
      <c r="D148" s="817"/>
      <c r="E148" s="818"/>
      <c r="F148" s="818"/>
      <c r="G148" s="819" t="s">
        <v>115</v>
      </c>
      <c r="H148" s="820" t="s">
        <v>115</v>
      </c>
      <c r="I148" s="821"/>
      <c r="J148" s="822">
        <f t="shared" si="15"/>
        <v>0</v>
      </c>
      <c r="K148" s="821"/>
      <c r="L148" s="926">
        <f t="shared" si="16"/>
        <v>0</v>
      </c>
      <c r="M148" s="236">
        <f t="shared" si="17"/>
        <v>0</v>
      </c>
      <c r="N148" s="823">
        <f>IF(F148=0,0,IF(O133=0,0,((O133-F148)/O133)*100))</f>
        <v>0</v>
      </c>
      <c r="O148" s="824"/>
      <c r="P148" s="1390">
        <f t="shared" si="18"/>
        <v>0</v>
      </c>
      <c r="Q148" s="1389">
        <f t="shared" si="19"/>
        <v>0</v>
      </c>
    </row>
    <row r="149" spans="1:17" ht="20.100000000000001" customHeight="1" thickBot="1">
      <c r="A149" s="9"/>
      <c r="B149" s="1139"/>
      <c r="C149" s="237"/>
      <c r="D149" s="817"/>
      <c r="E149" s="818"/>
      <c r="F149" s="818"/>
      <c r="G149" s="819" t="s">
        <v>115</v>
      </c>
      <c r="H149" s="820" t="s">
        <v>115</v>
      </c>
      <c r="I149" s="821"/>
      <c r="J149" s="822">
        <f t="shared" si="15"/>
        <v>0</v>
      </c>
      <c r="K149" s="821"/>
      <c r="L149" s="926">
        <f t="shared" si="16"/>
        <v>0</v>
      </c>
      <c r="M149" s="236">
        <f t="shared" si="17"/>
        <v>0</v>
      </c>
      <c r="N149" s="823">
        <f>IF(F149=0,0,IF(O133=0,0,((O133-F149)/O133)*100))</f>
        <v>0</v>
      </c>
      <c r="O149" s="824"/>
      <c r="P149" s="1390">
        <f t="shared" si="18"/>
        <v>0</v>
      </c>
      <c r="Q149" s="1389">
        <f t="shared" si="19"/>
        <v>0</v>
      </c>
    </row>
    <row r="150" spans="1:17" ht="20.100000000000001" customHeight="1" thickBot="1">
      <c r="A150" s="9"/>
      <c r="B150" s="1139"/>
      <c r="C150" s="237"/>
      <c r="D150" s="817"/>
      <c r="E150" s="818"/>
      <c r="F150" s="818"/>
      <c r="G150" s="819" t="s">
        <v>115</v>
      </c>
      <c r="H150" s="820" t="s">
        <v>115</v>
      </c>
      <c r="I150" s="821"/>
      <c r="J150" s="822">
        <f t="shared" si="15"/>
        <v>0</v>
      </c>
      <c r="K150" s="821"/>
      <c r="L150" s="926">
        <f t="shared" si="16"/>
        <v>0</v>
      </c>
      <c r="M150" s="236">
        <f t="shared" si="17"/>
        <v>0</v>
      </c>
      <c r="N150" s="823">
        <f>IF(F150=0,0,IF(O133=0,0,((O133-F150)/O133)*100))</f>
        <v>0</v>
      </c>
      <c r="O150" s="824"/>
      <c r="P150" s="1390">
        <f t="shared" si="18"/>
        <v>0</v>
      </c>
      <c r="Q150" s="1389">
        <f t="shared" si="19"/>
        <v>0</v>
      </c>
    </row>
    <row r="151" spans="1:17" ht="20.100000000000001" customHeight="1" thickBot="1">
      <c r="A151" s="9"/>
      <c r="B151" s="1139"/>
      <c r="C151" s="237"/>
      <c r="D151" s="817"/>
      <c r="E151" s="818"/>
      <c r="F151" s="818"/>
      <c r="G151" s="819"/>
      <c r="H151" s="820"/>
      <c r="I151" s="821"/>
      <c r="J151" s="822">
        <f t="shared" ref="J151:J156" si="20">(L151/48)</f>
        <v>0</v>
      </c>
      <c r="K151" s="821"/>
      <c r="L151" s="926">
        <f t="shared" ref="L151:L156" si="21">M151*0.0266</f>
        <v>0</v>
      </c>
      <c r="M151" s="236">
        <f t="shared" ref="M151:M156" si="22">IF(G151=0,IF(E151=0,0,((E151/6.895)+14)*B151/17.5),SQRT((G151+14)*H151)*(B151*0.031))</f>
        <v>0</v>
      </c>
      <c r="N151" s="823">
        <f>IF(F151=0,0,IF(O133=0,0,((O133-F151)/O133)*100))</f>
        <v>0</v>
      </c>
      <c r="O151" s="824"/>
      <c r="P151" s="1390">
        <f t="shared" si="18"/>
        <v>0</v>
      </c>
      <c r="Q151" s="1389">
        <f t="shared" si="19"/>
        <v>0</v>
      </c>
    </row>
    <row r="152" spans="1:17" ht="20.100000000000001" customHeight="1" thickBot="1">
      <c r="A152" s="9"/>
      <c r="B152" s="1139"/>
      <c r="C152" s="237"/>
      <c r="D152" s="817"/>
      <c r="E152" s="818"/>
      <c r="F152" s="818"/>
      <c r="G152" s="819"/>
      <c r="H152" s="820"/>
      <c r="I152" s="821"/>
      <c r="J152" s="822">
        <f t="shared" si="20"/>
        <v>0</v>
      </c>
      <c r="K152" s="821"/>
      <c r="L152" s="926">
        <f t="shared" si="21"/>
        <v>0</v>
      </c>
      <c r="M152" s="236">
        <f t="shared" si="22"/>
        <v>0</v>
      </c>
      <c r="N152" s="823">
        <f>IF(F152=0,0,IF(O133=0,0,((O133-F152)/O133)*100))</f>
        <v>0</v>
      </c>
      <c r="O152" s="824"/>
      <c r="P152" s="1390">
        <f t="shared" si="18"/>
        <v>0</v>
      </c>
      <c r="Q152" s="1389">
        <f t="shared" si="19"/>
        <v>0</v>
      </c>
    </row>
    <row r="153" spans="1:17" ht="20.100000000000001" customHeight="1" thickBot="1">
      <c r="A153" s="9"/>
      <c r="B153" s="1139"/>
      <c r="C153" s="237"/>
      <c r="D153" s="817"/>
      <c r="E153" s="818"/>
      <c r="F153" s="818"/>
      <c r="G153" s="819"/>
      <c r="H153" s="820"/>
      <c r="I153" s="821"/>
      <c r="J153" s="822">
        <f t="shared" si="20"/>
        <v>0</v>
      </c>
      <c r="K153" s="821"/>
      <c r="L153" s="926">
        <f t="shared" si="21"/>
        <v>0</v>
      </c>
      <c r="M153" s="236">
        <f t="shared" si="22"/>
        <v>0</v>
      </c>
      <c r="N153" s="823">
        <f>IF(F153=0,0,IF(O133=0,0,((O133-F153)/O133)*100))</f>
        <v>0</v>
      </c>
      <c r="O153" s="824"/>
      <c r="P153" s="1390">
        <f t="shared" si="18"/>
        <v>0</v>
      </c>
      <c r="Q153" s="1389">
        <f t="shared" si="19"/>
        <v>0</v>
      </c>
    </row>
    <row r="154" spans="1:17" ht="20.100000000000001" customHeight="1" thickBot="1">
      <c r="A154" s="9"/>
      <c r="B154" s="1139"/>
      <c r="C154" s="237"/>
      <c r="D154" s="817"/>
      <c r="E154" s="818"/>
      <c r="F154" s="818"/>
      <c r="G154" s="819"/>
      <c r="H154" s="820"/>
      <c r="I154" s="821"/>
      <c r="J154" s="822">
        <f t="shared" si="20"/>
        <v>0</v>
      </c>
      <c r="K154" s="821"/>
      <c r="L154" s="926">
        <f t="shared" si="21"/>
        <v>0</v>
      </c>
      <c r="M154" s="236">
        <f t="shared" si="22"/>
        <v>0</v>
      </c>
      <c r="N154" s="823">
        <f>IF(F154=0,0,IF(O133=0,0,((O133-F154)/O133)*100))</f>
        <v>0</v>
      </c>
      <c r="O154" s="824"/>
      <c r="P154" s="1390">
        <f t="shared" si="18"/>
        <v>0</v>
      </c>
      <c r="Q154" s="1389">
        <f t="shared" si="19"/>
        <v>0</v>
      </c>
    </row>
    <row r="155" spans="1:17" ht="20.100000000000001" customHeight="1" thickBot="1">
      <c r="A155" s="9"/>
      <c r="B155" s="1139"/>
      <c r="C155" s="237"/>
      <c r="D155" s="817"/>
      <c r="E155" s="818"/>
      <c r="F155" s="818"/>
      <c r="G155" s="819"/>
      <c r="H155" s="820"/>
      <c r="I155" s="821"/>
      <c r="J155" s="822">
        <f t="shared" si="20"/>
        <v>0</v>
      </c>
      <c r="K155" s="821"/>
      <c r="L155" s="926">
        <f t="shared" si="21"/>
        <v>0</v>
      </c>
      <c r="M155" s="236">
        <f t="shared" si="22"/>
        <v>0</v>
      </c>
      <c r="N155" s="823">
        <f>IF(F155=0,0,IF(O133=0,0,((O133-F155)/O133)*100))</f>
        <v>0</v>
      </c>
      <c r="O155" s="824"/>
      <c r="P155" s="1390">
        <f t="shared" si="18"/>
        <v>0</v>
      </c>
      <c r="Q155" s="1389">
        <f t="shared" si="19"/>
        <v>0</v>
      </c>
    </row>
    <row r="156" spans="1:17" ht="20.100000000000001" customHeight="1" thickBot="1">
      <c r="A156" s="9"/>
      <c r="B156" s="1139"/>
      <c r="C156" s="237"/>
      <c r="D156" s="817"/>
      <c r="E156" s="818"/>
      <c r="F156" s="818"/>
      <c r="G156" s="819" t="s">
        <v>115</v>
      </c>
      <c r="H156" s="820" t="s">
        <v>115</v>
      </c>
      <c r="I156" s="821"/>
      <c r="J156" s="822">
        <f t="shared" si="20"/>
        <v>0</v>
      </c>
      <c r="K156" s="821"/>
      <c r="L156" s="926">
        <f t="shared" si="21"/>
        <v>0</v>
      </c>
      <c r="M156" s="236">
        <f t="shared" si="22"/>
        <v>0</v>
      </c>
      <c r="N156" s="823">
        <f>IF(F156=0,0,IF(O133=0,0,((O133-F156)/O133)*100))</f>
        <v>0</v>
      </c>
      <c r="O156" s="824"/>
      <c r="P156" s="1390">
        <f t="shared" si="18"/>
        <v>0</v>
      </c>
      <c r="Q156" s="1389">
        <f t="shared" si="19"/>
        <v>0</v>
      </c>
    </row>
    <row r="157" spans="1:17" ht="20.100000000000001" customHeight="1" thickBot="1">
      <c r="A157" s="9"/>
      <c r="B157" s="1139"/>
      <c r="C157" s="237"/>
      <c r="D157" s="817"/>
      <c r="E157" s="818"/>
      <c r="F157" s="818"/>
      <c r="G157" s="819" t="s">
        <v>115</v>
      </c>
      <c r="H157" s="820" t="s">
        <v>115</v>
      </c>
      <c r="I157" s="821"/>
      <c r="J157" s="822">
        <f t="shared" si="15"/>
        <v>0</v>
      </c>
      <c r="K157" s="821"/>
      <c r="L157" s="926">
        <f t="shared" si="16"/>
        <v>0</v>
      </c>
      <c r="M157" s="236">
        <f t="shared" si="17"/>
        <v>0</v>
      </c>
      <c r="N157" s="823">
        <f>IF(F157=0,0,IF(O133=0,0,((O133-F157)/O133)*100))</f>
        <v>0</v>
      </c>
      <c r="O157" s="824"/>
      <c r="P157" s="1390">
        <f t="shared" si="18"/>
        <v>0</v>
      </c>
      <c r="Q157" s="1389">
        <f t="shared" si="19"/>
        <v>0</v>
      </c>
    </row>
    <row r="158" spans="1:17" ht="20.100000000000001" customHeight="1" thickBot="1">
      <c r="A158" s="9"/>
      <c r="B158" s="1139"/>
      <c r="C158" s="237"/>
      <c r="D158" s="817"/>
      <c r="E158" s="818"/>
      <c r="F158" s="818"/>
      <c r="G158" s="819" t="s">
        <v>115</v>
      </c>
      <c r="H158" s="820" t="s">
        <v>115</v>
      </c>
      <c r="I158" s="821"/>
      <c r="J158" s="822">
        <f t="shared" si="15"/>
        <v>0</v>
      </c>
      <c r="K158" s="821"/>
      <c r="L158" s="926">
        <f t="shared" si="16"/>
        <v>0</v>
      </c>
      <c r="M158" s="236">
        <f t="shared" si="17"/>
        <v>0</v>
      </c>
      <c r="N158" s="823">
        <f>IF(F158=0,0,IF(O133=0,0,((O133-F158)/O133)*100))</f>
        <v>0</v>
      </c>
      <c r="O158" s="824"/>
      <c r="P158" s="1390">
        <f t="shared" si="18"/>
        <v>0</v>
      </c>
      <c r="Q158" s="1389">
        <f t="shared" si="19"/>
        <v>0</v>
      </c>
    </row>
    <row r="159" spans="1:17" ht="20.100000000000001" customHeight="1" thickBot="1">
      <c r="A159" s="9"/>
      <c r="B159" s="1139"/>
      <c r="C159" s="237"/>
      <c r="D159" s="817"/>
      <c r="E159" s="818"/>
      <c r="F159" s="818"/>
      <c r="G159" s="819" t="s">
        <v>115</v>
      </c>
      <c r="H159" s="820" t="s">
        <v>115</v>
      </c>
      <c r="I159" s="821"/>
      <c r="J159" s="822">
        <f t="shared" si="15"/>
        <v>0</v>
      </c>
      <c r="K159" s="821"/>
      <c r="L159" s="926">
        <f t="shared" si="16"/>
        <v>0</v>
      </c>
      <c r="M159" s="236">
        <f t="shared" si="17"/>
        <v>0</v>
      </c>
      <c r="N159" s="823">
        <f>IF(F159=0,0,IF(O133=0,0,((O133-F159)/O133)*100))</f>
        <v>0</v>
      </c>
      <c r="O159" s="824"/>
      <c r="P159" s="1390">
        <f t="shared" si="18"/>
        <v>0</v>
      </c>
      <c r="Q159" s="1389">
        <f t="shared" si="19"/>
        <v>0</v>
      </c>
    </row>
    <row r="160" spans="1:17" ht="20.100000000000001" customHeight="1" thickBot="1">
      <c r="A160" s="9"/>
      <c r="B160" s="1139"/>
      <c r="C160" s="237"/>
      <c r="D160" s="817"/>
      <c r="E160" s="818"/>
      <c r="F160" s="818"/>
      <c r="G160" s="819" t="s">
        <v>115</v>
      </c>
      <c r="H160" s="820" t="s">
        <v>115</v>
      </c>
      <c r="I160" s="821"/>
      <c r="J160" s="822">
        <f t="shared" si="15"/>
        <v>0</v>
      </c>
      <c r="K160" s="821"/>
      <c r="L160" s="926">
        <f t="shared" si="16"/>
        <v>0</v>
      </c>
      <c r="M160" s="236">
        <f t="shared" si="17"/>
        <v>0</v>
      </c>
      <c r="N160" s="823">
        <f>IF(F160=0,0,IF(O133=0,0,((O133-F160)/O133)*100))</f>
        <v>0</v>
      </c>
      <c r="O160" s="824"/>
      <c r="P160" s="1390">
        <f t="shared" si="18"/>
        <v>0</v>
      </c>
      <c r="Q160" s="1389">
        <f t="shared" si="19"/>
        <v>0</v>
      </c>
    </row>
    <row r="161" spans="1:17" ht="20.100000000000001" customHeight="1" thickBot="1">
      <c r="A161" s="9"/>
      <c r="B161" s="1139"/>
      <c r="C161" s="237"/>
      <c r="D161" s="817"/>
      <c r="E161" s="818"/>
      <c r="F161" s="818"/>
      <c r="G161" s="819" t="s">
        <v>115</v>
      </c>
      <c r="H161" s="820" t="s">
        <v>115</v>
      </c>
      <c r="I161" s="821"/>
      <c r="J161" s="822">
        <f t="shared" si="15"/>
        <v>0</v>
      </c>
      <c r="K161" s="821"/>
      <c r="L161" s="926">
        <f t="shared" si="16"/>
        <v>0</v>
      </c>
      <c r="M161" s="236">
        <f t="shared" si="17"/>
        <v>0</v>
      </c>
      <c r="N161" s="823">
        <f>IF(F161=0,0,IF(O133=0,0,((O133-F161)/O133)*100))</f>
        <v>0</v>
      </c>
      <c r="O161" s="824"/>
      <c r="P161" s="1390">
        <f t="shared" si="18"/>
        <v>0</v>
      </c>
      <c r="Q161" s="1389">
        <f t="shared" si="19"/>
        <v>0</v>
      </c>
    </row>
    <row r="162" spans="1:17" ht="20.100000000000001" customHeight="1">
      <c r="A162" s="9"/>
      <c r="B162" s="533" t="s">
        <v>274</v>
      </c>
      <c r="C162" s="534" t="str">
        <f>IF(G136="Separator (Metric)"," ","Tbg/Csg pressures in kPa; Static &amp; Diff in English;")</f>
        <v xml:space="preserve"> </v>
      </c>
      <c r="D162" s="535"/>
      <c r="E162" s="536"/>
      <c r="F162" s="536"/>
      <c r="G162" s="537" t="str">
        <f>IF(J134="Yes","In the event this report differs from Tester's Notes, the Tester's Notes should be used as the absolute"," ")</f>
        <v>In the event this report differs from Tester's Notes, the Tester's Notes should be used as the absolute</v>
      </c>
      <c r="H162" s="536"/>
      <c r="I162" s="538"/>
      <c r="J162" s="538"/>
      <c r="K162" s="538"/>
      <c r="L162" s="538"/>
      <c r="M162" s="538"/>
      <c r="N162" s="538"/>
      <c r="O162" s="825"/>
      <c r="Q162" s="12"/>
    </row>
    <row r="163" spans="1:17" ht="20.100000000000001" customHeight="1">
      <c r="A163" s="9"/>
      <c r="B163" s="527"/>
      <c r="C163" s="539" t="s">
        <v>414</v>
      </c>
      <c r="D163" s="825"/>
      <c r="E163" s="825"/>
      <c r="F163" s="825"/>
      <c r="G163" s="825"/>
      <c r="H163" s="825"/>
      <c r="I163" s="825"/>
      <c r="J163" s="825"/>
      <c r="K163" s="825"/>
      <c r="L163" s="825"/>
      <c r="M163" s="825"/>
      <c r="N163" s="825"/>
      <c r="O163" s="825"/>
      <c r="Q163" s="12"/>
    </row>
    <row r="164" spans="1:17" ht="20.100000000000001" customHeight="1">
      <c r="A164" s="9"/>
      <c r="B164" s="527"/>
      <c r="C164" s="540" t="s">
        <v>115</v>
      </c>
      <c r="D164" s="825"/>
      <c r="E164" s="825"/>
      <c r="F164" s="825"/>
      <c r="G164" s="825"/>
      <c r="H164" s="825"/>
      <c r="I164" s="541"/>
      <c r="J164" s="541"/>
      <c r="K164" s="541"/>
      <c r="L164" s="825"/>
      <c r="M164" s="825"/>
      <c r="N164" s="825"/>
      <c r="O164" s="825"/>
      <c r="Q164" s="12"/>
    </row>
    <row r="165" spans="1:17" ht="20.100000000000001" customHeight="1">
      <c r="A165" s="9"/>
      <c r="B165" s="527"/>
      <c r="C165" s="1386"/>
      <c r="D165" s="1387"/>
      <c r="E165" s="1387"/>
      <c r="F165" s="1387"/>
      <c r="G165" s="1387"/>
      <c r="H165" s="1387"/>
      <c r="I165" s="1316"/>
      <c r="J165" s="1316"/>
      <c r="K165" s="1316"/>
      <c r="L165" s="1387"/>
      <c r="M165" s="1387"/>
      <c r="N165" s="1387"/>
      <c r="O165" s="1387"/>
      <c r="Q165" s="12"/>
    </row>
    <row r="166" spans="1:17" ht="20.100000000000001" customHeight="1" thickBot="1">
      <c r="A166" s="9"/>
      <c r="B166" s="527"/>
      <c r="C166" s="1386"/>
      <c r="D166" s="1387"/>
      <c r="E166" s="1387"/>
      <c r="F166" s="1387"/>
      <c r="G166" s="1387"/>
      <c r="H166" s="1387"/>
      <c r="I166" s="1316"/>
      <c r="J166" s="1316"/>
      <c r="K166" s="1316"/>
      <c r="L166" s="1387"/>
      <c r="M166" s="1387"/>
      <c r="N166" s="1387"/>
      <c r="O166" s="1387"/>
      <c r="Q166" s="12"/>
    </row>
    <row r="167" spans="1:17" ht="20.100000000000001" customHeight="1" thickBot="1">
      <c r="A167" s="9"/>
      <c r="B167" s="542" t="s">
        <v>275</v>
      </c>
      <c r="C167" s="543" t="s">
        <v>1083</v>
      </c>
      <c r="D167" s="826">
        <f>SUM(K138:K161)</f>
        <v>0</v>
      </c>
      <c r="E167" s="806" t="s">
        <v>218</v>
      </c>
      <c r="F167" s="806" t="s">
        <v>1084</v>
      </c>
      <c r="G167" s="827">
        <f>SUM(I138:I161)</f>
        <v>0</v>
      </c>
      <c r="H167" s="806" t="s">
        <v>218</v>
      </c>
      <c r="I167" s="544"/>
      <c r="J167" s="1317" t="s">
        <v>1087</v>
      </c>
      <c r="K167" s="1318">
        <f>D134</f>
        <v>0</v>
      </c>
      <c r="L167" s="544" t="s">
        <v>966</v>
      </c>
      <c r="M167" s="545" t="s">
        <v>151</v>
      </c>
      <c r="N167" s="546"/>
      <c r="O167" s="828" t="str">
        <f>O125</f>
        <v>Rick Johnson</v>
      </c>
      <c r="Q167" s="12"/>
    </row>
    <row r="168" spans="1:17" ht="15.25" thickBot="1">
      <c r="A168" s="16"/>
      <c r="B168" s="547"/>
      <c r="C168" s="1315" t="s">
        <v>1085</v>
      </c>
      <c r="D168" s="826">
        <f>D167</f>
        <v>0</v>
      </c>
      <c r="E168" s="829" t="s">
        <v>218</v>
      </c>
      <c r="F168" s="829" t="s">
        <v>1086</v>
      </c>
      <c r="G168" s="830">
        <f>G167</f>
        <v>0</v>
      </c>
      <c r="H168" s="829" t="s">
        <v>218</v>
      </c>
      <c r="I168" s="829" t="s">
        <v>1365</v>
      </c>
      <c r="J168" s="1341"/>
      <c r="K168" s="2490" t="s">
        <v>1362</v>
      </c>
      <c r="L168" s="2491"/>
      <c r="M168" s="826">
        <f>IF(J168=0,0,((D168+G168)/J168)*24)</f>
        <v>0</v>
      </c>
      <c r="N168" s="1342" t="s">
        <v>1366</v>
      </c>
      <c r="O168" s="1382">
        <f>IF(D168=0,0,D168/(D168+G168))</f>
        <v>0</v>
      </c>
      <c r="P168" s="1385"/>
      <c r="Q168" s="17"/>
    </row>
    <row r="169" spans="1:17" ht="20.100000000000001" customHeight="1">
      <c r="A169" s="6"/>
      <c r="B169" s="2476">
        <f>B127</f>
        <v>0</v>
      </c>
      <c r="C169" s="2476"/>
      <c r="D169" s="2476"/>
      <c r="E169" s="2476"/>
      <c r="F169" s="2476"/>
      <c r="G169" s="2476"/>
      <c r="H169" s="2476"/>
      <c r="I169" s="2476"/>
      <c r="J169" s="2476"/>
      <c r="K169" s="2476"/>
      <c r="L169" s="2476"/>
      <c r="M169" s="2476"/>
      <c r="N169" s="2476"/>
      <c r="O169" s="2476"/>
      <c r="P169" s="1384"/>
      <c r="Q169" s="8"/>
    </row>
    <row r="170" spans="1:17" ht="20.100000000000001" customHeight="1">
      <c r="A170" s="9"/>
      <c r="B170" s="548" t="s">
        <v>115</v>
      </c>
      <c r="C170" s="549"/>
      <c r="D170" s="549"/>
      <c r="E170" s="543"/>
      <c r="F170" s="543"/>
      <c r="G170" s="543"/>
      <c r="H170" s="543"/>
      <c r="I170" s="543"/>
      <c r="J170" s="543"/>
      <c r="K170" s="543"/>
      <c r="L170" s="543"/>
      <c r="M170" s="543"/>
      <c r="N170" s="543"/>
      <c r="O170" s="543"/>
      <c r="Q170" s="12"/>
    </row>
    <row r="171" spans="1:17" ht="18">
      <c r="A171" s="9"/>
      <c r="B171" s="550" t="s">
        <v>247</v>
      </c>
      <c r="C171" s="551"/>
      <c r="D171" s="551"/>
      <c r="E171" s="551"/>
      <c r="F171" s="551"/>
      <c r="G171" s="551"/>
      <c r="H171" s="551"/>
      <c r="I171" s="551"/>
      <c r="J171" s="551"/>
      <c r="K171" s="551"/>
      <c r="L171" s="551"/>
      <c r="M171" s="551"/>
      <c r="N171" s="831" t="s">
        <v>248</v>
      </c>
      <c r="O171" s="790" t="str">
        <f>IF(O173=O131,    IF(O213="3 OF 3","2 OF 3","2 OF 2"),        "1 OF 1")</f>
        <v>2 OF 3</v>
      </c>
      <c r="Q171" s="12"/>
    </row>
    <row r="172" spans="1:17" ht="10.15" customHeight="1" thickBot="1">
      <c r="A172" s="9"/>
      <c r="B172" s="552"/>
      <c r="C172" s="543"/>
      <c r="D172" s="543"/>
      <c r="E172" s="543"/>
      <c r="F172" s="543"/>
      <c r="G172" s="543"/>
      <c r="H172" s="543"/>
      <c r="I172" s="543"/>
      <c r="J172" s="543"/>
      <c r="K172" s="543"/>
      <c r="L172" s="543"/>
      <c r="M172" s="543"/>
      <c r="N172" s="543"/>
      <c r="O172" s="543"/>
      <c r="Q172" s="12"/>
    </row>
    <row r="173" spans="1:17" ht="20.100000000000001" customHeight="1" thickBot="1">
      <c r="A173" s="9"/>
      <c r="B173" s="523" t="s">
        <v>249</v>
      </c>
      <c r="C173" s="524"/>
      <c r="D173" s="2477">
        <f>D131</f>
        <v>0</v>
      </c>
      <c r="E173" s="2478"/>
      <c r="F173" s="2478"/>
      <c r="G173" s="2478"/>
      <c r="H173" s="2478"/>
      <c r="I173" s="2478"/>
      <c r="J173" s="2478"/>
      <c r="K173" s="2479"/>
      <c r="L173" s="523" t="s">
        <v>413</v>
      </c>
      <c r="M173" s="832"/>
      <c r="N173" s="833"/>
      <c r="O173" s="794">
        <f>IF(O174=O132,O131," ")</f>
        <v>0</v>
      </c>
      <c r="Q173" s="12"/>
    </row>
    <row r="174" spans="1:17" ht="20.100000000000001" customHeight="1" thickBot="1">
      <c r="A174" s="9"/>
      <c r="B174" s="525" t="s">
        <v>250</v>
      </c>
      <c r="C174" s="526"/>
      <c r="D174" s="2480" t="str">
        <f>D132</f>
        <v xml:space="preserve"> </v>
      </c>
      <c r="E174" s="2481"/>
      <c r="F174" s="2481" t="str">
        <f>F132</f>
        <v xml:space="preserve"> </v>
      </c>
      <c r="G174" s="2481"/>
      <c r="H174" s="2481" t="str">
        <f>H132</f>
        <v xml:space="preserve"> </v>
      </c>
      <c r="I174" s="2481"/>
      <c r="J174" s="2482">
        <f>J132</f>
        <v>0</v>
      </c>
      <c r="K174" s="2483"/>
      <c r="L174" s="525" t="s">
        <v>251</v>
      </c>
      <c r="M174" s="834"/>
      <c r="N174" s="835"/>
      <c r="O174" s="532">
        <v>0</v>
      </c>
      <c r="Q174" s="12"/>
    </row>
    <row r="175" spans="1:17" ht="20.100000000000001" customHeight="1" thickBot="1">
      <c r="A175" s="9"/>
      <c r="B175" s="525" t="s">
        <v>252</v>
      </c>
      <c r="C175" s="526"/>
      <c r="D175" s="797" t="str">
        <f>IF(O174=O132,D133," ")</f>
        <v xml:space="preserve"> </v>
      </c>
      <c r="E175" s="799"/>
      <c r="F175" s="797" t="s">
        <v>1249</v>
      </c>
      <c r="G175" s="1383">
        <v>0</v>
      </c>
      <c r="H175" s="797" t="s">
        <v>218</v>
      </c>
      <c r="I175" s="797" t="s">
        <v>1250</v>
      </c>
      <c r="J175" s="544">
        <v>0</v>
      </c>
      <c r="K175" s="797" t="s">
        <v>1251</v>
      </c>
      <c r="L175" s="525" t="s">
        <v>253</v>
      </c>
      <c r="M175" s="834"/>
      <c r="N175" s="835"/>
      <c r="O175" s="800">
        <f>IF(O174=O132,O133,0)</f>
        <v>0</v>
      </c>
      <c r="Q175" s="12"/>
    </row>
    <row r="176" spans="1:17" ht="20.100000000000001" customHeight="1" thickBot="1">
      <c r="A176" s="9" t="s">
        <v>115</v>
      </c>
      <c r="B176" s="2472" t="s">
        <v>1082</v>
      </c>
      <c r="C176" s="2473"/>
      <c r="D176" s="801">
        <f>SUM(J180:J203)</f>
        <v>0</v>
      </c>
      <c r="E176" s="802" t="s">
        <v>966</v>
      </c>
      <c r="F176" s="803">
        <f>D176/0.0283</f>
        <v>0</v>
      </c>
      <c r="G176" s="802" t="s">
        <v>257</v>
      </c>
      <c r="H176" s="2474" t="s">
        <v>631</v>
      </c>
      <c r="I176" s="2475"/>
      <c r="J176" s="804" t="str">
        <f>J134</f>
        <v>Yes</v>
      </c>
      <c r="K176" s="797"/>
      <c r="L176" s="525" t="s">
        <v>258</v>
      </c>
      <c r="M176" s="834"/>
      <c r="N176" s="835" t="s">
        <v>115</v>
      </c>
      <c r="O176" s="805">
        <f>IF(O174=O132,O134,0)</f>
        <v>0</v>
      </c>
      <c r="P176" s="7" t="s">
        <v>115</v>
      </c>
      <c r="Q176" s="12"/>
    </row>
    <row r="177" spans="1:17" ht="10.15" customHeight="1" thickBot="1">
      <c r="A177" s="9"/>
      <c r="B177" s="528"/>
      <c r="C177" s="528"/>
      <c r="D177" s="806"/>
      <c r="E177" s="806"/>
      <c r="F177" s="806"/>
      <c r="G177" s="806"/>
      <c r="H177" s="806"/>
      <c r="I177" s="806"/>
      <c r="J177" s="806"/>
      <c r="K177" s="806"/>
      <c r="L177" s="806"/>
      <c r="M177" s="806"/>
      <c r="N177" s="806"/>
      <c r="O177" s="806"/>
      <c r="Q177" s="12"/>
    </row>
    <row r="178" spans="1:17" ht="15.9" thickBot="1">
      <c r="A178" s="9"/>
      <c r="B178" s="529" t="s">
        <v>117</v>
      </c>
      <c r="C178" s="530"/>
      <c r="D178" s="530" t="s">
        <v>259</v>
      </c>
      <c r="E178" s="530" t="s">
        <v>204</v>
      </c>
      <c r="F178" s="807" t="s">
        <v>260</v>
      </c>
      <c r="G178" s="808" t="s">
        <v>967</v>
      </c>
      <c r="H178" s="809"/>
      <c r="I178" s="810" t="s">
        <v>1612</v>
      </c>
      <c r="J178" s="811"/>
      <c r="K178" s="812"/>
      <c r="L178" s="813" t="s">
        <v>263</v>
      </c>
      <c r="M178" s="813" t="s">
        <v>263</v>
      </c>
      <c r="N178" s="813" t="s">
        <v>264</v>
      </c>
      <c r="O178" s="814" t="s">
        <v>265</v>
      </c>
      <c r="P178" s="2495" t="s">
        <v>1292</v>
      </c>
      <c r="Q178" s="2497" t="s">
        <v>1293</v>
      </c>
    </row>
    <row r="179" spans="1:17" ht="15" customHeight="1" thickBot="1">
      <c r="A179" s="9"/>
      <c r="B179" s="531" t="s">
        <v>266</v>
      </c>
      <c r="C179" s="532" t="s">
        <v>208</v>
      </c>
      <c r="D179" s="532" t="s">
        <v>267</v>
      </c>
      <c r="E179" s="532" t="s">
        <v>217</v>
      </c>
      <c r="F179" s="532" t="s">
        <v>217</v>
      </c>
      <c r="G179" s="532" t="s">
        <v>268</v>
      </c>
      <c r="H179" s="532" t="s">
        <v>269</v>
      </c>
      <c r="I179" s="532" t="s">
        <v>194</v>
      </c>
      <c r="J179" s="532" t="s">
        <v>270</v>
      </c>
      <c r="K179" s="532" t="s">
        <v>193</v>
      </c>
      <c r="L179" s="815" t="s">
        <v>271</v>
      </c>
      <c r="M179" s="815" t="s">
        <v>272</v>
      </c>
      <c r="N179" s="815" t="s">
        <v>273</v>
      </c>
      <c r="O179" s="816"/>
      <c r="P179" s="2496"/>
      <c r="Q179" s="2498"/>
    </row>
    <row r="180" spans="1:17" ht="20.100000000000001" customHeight="1" thickBot="1">
      <c r="A180" s="9"/>
      <c r="B180" s="1139"/>
      <c r="C180" s="237"/>
      <c r="D180" s="836" t="s">
        <v>115</v>
      </c>
      <c r="E180" s="837" t="s">
        <v>115</v>
      </c>
      <c r="F180" s="837">
        <v>0</v>
      </c>
      <c r="G180" s="838">
        <v>0</v>
      </c>
      <c r="H180" s="839">
        <v>0</v>
      </c>
      <c r="I180" s="840" t="s">
        <v>115</v>
      </c>
      <c r="J180" s="841">
        <f t="shared" ref="J180:J203" si="23">(L180/48)</f>
        <v>0</v>
      </c>
      <c r="K180" s="840" t="s">
        <v>115</v>
      </c>
      <c r="L180" s="926">
        <f t="shared" ref="L180:L203" si="24">M180*0.0266</f>
        <v>0</v>
      </c>
      <c r="M180" s="553">
        <f t="shared" ref="M180:M203" si="25">IF(G180=0,IF(E180=0,0,((E180/6.895)+14)*B180/17.5),SQRT((G180+14)*H180)*(B180*0.031))</f>
        <v>0</v>
      </c>
      <c r="N180" s="842">
        <f>IF(F180=0,0,IF(O175=0,0,((O175-F180)/O175)*100))</f>
        <v>0</v>
      </c>
      <c r="O180" s="843"/>
      <c r="P180" s="1390">
        <f t="shared" ref="P180:P203" si="26">IF(K180=0,0,(K180/(I180+K180)))</f>
        <v>0</v>
      </c>
      <c r="Q180" s="1389">
        <f t="shared" ref="Q180:Q203" si="27">IF(I180=0,0,IF(J180=0," ",J180/I180)*48)</f>
        <v>0</v>
      </c>
    </row>
    <row r="181" spans="1:17" ht="20.100000000000001" customHeight="1" thickBot="1">
      <c r="A181" s="9"/>
      <c r="B181" s="1139"/>
      <c r="C181" s="237"/>
      <c r="D181" s="836"/>
      <c r="E181" s="837"/>
      <c r="F181" s="837"/>
      <c r="G181" s="838" t="s">
        <v>115</v>
      </c>
      <c r="H181" s="839" t="s">
        <v>115</v>
      </c>
      <c r="I181" s="840"/>
      <c r="J181" s="841">
        <f t="shared" si="23"/>
        <v>0</v>
      </c>
      <c r="K181" s="840"/>
      <c r="L181" s="927">
        <f t="shared" si="24"/>
        <v>0</v>
      </c>
      <c r="M181" s="553">
        <f t="shared" si="25"/>
        <v>0</v>
      </c>
      <c r="N181" s="842">
        <f>IF(F181=0,0,IF(O175=0,0,((O175-F181)/O175)*100))</f>
        <v>0</v>
      </c>
      <c r="O181" s="843"/>
      <c r="P181" s="1390">
        <f t="shared" si="26"/>
        <v>0</v>
      </c>
      <c r="Q181" s="1389">
        <f t="shared" si="27"/>
        <v>0</v>
      </c>
    </row>
    <row r="182" spans="1:17" ht="20.100000000000001" customHeight="1" thickBot="1">
      <c r="A182" s="9"/>
      <c r="B182" s="1139"/>
      <c r="C182" s="237"/>
      <c r="D182" s="836"/>
      <c r="E182" s="837"/>
      <c r="F182" s="837"/>
      <c r="G182" s="838" t="s">
        <v>115</v>
      </c>
      <c r="H182" s="839" t="s">
        <v>115</v>
      </c>
      <c r="I182" s="840"/>
      <c r="J182" s="841">
        <f t="shared" si="23"/>
        <v>0</v>
      </c>
      <c r="K182" s="840"/>
      <c r="L182" s="927">
        <f t="shared" si="24"/>
        <v>0</v>
      </c>
      <c r="M182" s="553">
        <f t="shared" si="25"/>
        <v>0</v>
      </c>
      <c r="N182" s="842">
        <f>IF(F182=0,0,IF(O175=0,0,((O175-F182)/O175)*100))</f>
        <v>0</v>
      </c>
      <c r="O182" s="843"/>
      <c r="P182" s="1390">
        <f t="shared" si="26"/>
        <v>0</v>
      </c>
      <c r="Q182" s="1389">
        <f t="shared" si="27"/>
        <v>0</v>
      </c>
    </row>
    <row r="183" spans="1:17" ht="20.100000000000001" customHeight="1" thickBot="1">
      <c r="A183" s="9"/>
      <c r="B183" s="1139"/>
      <c r="C183" s="237"/>
      <c r="D183" s="836"/>
      <c r="E183" s="837"/>
      <c r="F183" s="837"/>
      <c r="G183" s="838" t="s">
        <v>115</v>
      </c>
      <c r="H183" s="839" t="s">
        <v>115</v>
      </c>
      <c r="I183" s="840"/>
      <c r="J183" s="841">
        <f t="shared" si="23"/>
        <v>0</v>
      </c>
      <c r="K183" s="840"/>
      <c r="L183" s="927">
        <f t="shared" si="24"/>
        <v>0</v>
      </c>
      <c r="M183" s="553">
        <f t="shared" si="25"/>
        <v>0</v>
      </c>
      <c r="N183" s="842">
        <f>IF(F183=0,0,IF(O175=0,0,((O175-F183)/O175)*100))</f>
        <v>0</v>
      </c>
      <c r="O183" s="843"/>
      <c r="P183" s="1390">
        <f t="shared" si="26"/>
        <v>0</v>
      </c>
      <c r="Q183" s="1389">
        <f t="shared" si="27"/>
        <v>0</v>
      </c>
    </row>
    <row r="184" spans="1:17" ht="20.100000000000001" customHeight="1" thickBot="1">
      <c r="A184" s="9"/>
      <c r="B184" s="1139"/>
      <c r="C184" s="237"/>
      <c r="D184" s="836"/>
      <c r="E184" s="837"/>
      <c r="F184" s="837"/>
      <c r="G184" s="838" t="s">
        <v>115</v>
      </c>
      <c r="H184" s="839" t="s">
        <v>115</v>
      </c>
      <c r="I184" s="840"/>
      <c r="J184" s="841">
        <f t="shared" si="23"/>
        <v>0</v>
      </c>
      <c r="K184" s="840"/>
      <c r="L184" s="927">
        <f t="shared" si="24"/>
        <v>0</v>
      </c>
      <c r="M184" s="553">
        <f t="shared" si="25"/>
        <v>0</v>
      </c>
      <c r="N184" s="842">
        <f>IF(F184=0,0,IF(O175=0,0,((O175-F184)/O175)*100))</f>
        <v>0</v>
      </c>
      <c r="O184" s="843"/>
      <c r="P184" s="1390">
        <f t="shared" si="26"/>
        <v>0</v>
      </c>
      <c r="Q184" s="1389">
        <f t="shared" si="27"/>
        <v>0</v>
      </c>
    </row>
    <row r="185" spans="1:17" ht="20.100000000000001" customHeight="1" thickBot="1">
      <c r="A185" s="9"/>
      <c r="B185" s="1139"/>
      <c r="C185" s="237"/>
      <c r="D185" s="836"/>
      <c r="E185" s="837"/>
      <c r="F185" s="837"/>
      <c r="G185" s="838" t="s">
        <v>115</v>
      </c>
      <c r="H185" s="839" t="s">
        <v>115</v>
      </c>
      <c r="I185" s="840"/>
      <c r="J185" s="841">
        <f t="shared" si="23"/>
        <v>0</v>
      </c>
      <c r="K185" s="840"/>
      <c r="L185" s="927">
        <f t="shared" si="24"/>
        <v>0</v>
      </c>
      <c r="M185" s="553">
        <f t="shared" si="25"/>
        <v>0</v>
      </c>
      <c r="N185" s="842">
        <f>IF(F185=0,0,IF(O175=0,0,((O175-F185)/O175)*100))</f>
        <v>0</v>
      </c>
      <c r="O185" s="843"/>
      <c r="P185" s="1390">
        <f t="shared" si="26"/>
        <v>0</v>
      </c>
      <c r="Q185" s="1389">
        <f t="shared" si="27"/>
        <v>0</v>
      </c>
    </row>
    <row r="186" spans="1:17" ht="20.100000000000001" customHeight="1" thickBot="1">
      <c r="A186" s="9"/>
      <c r="B186" s="1139"/>
      <c r="C186" s="237"/>
      <c r="D186" s="836"/>
      <c r="E186" s="837"/>
      <c r="F186" s="837"/>
      <c r="G186" s="838" t="s">
        <v>115</v>
      </c>
      <c r="H186" s="839" t="s">
        <v>115</v>
      </c>
      <c r="I186" s="840"/>
      <c r="J186" s="841">
        <f t="shared" si="23"/>
        <v>0</v>
      </c>
      <c r="K186" s="840"/>
      <c r="L186" s="927">
        <f t="shared" si="24"/>
        <v>0</v>
      </c>
      <c r="M186" s="553">
        <f t="shared" si="25"/>
        <v>0</v>
      </c>
      <c r="N186" s="842">
        <f>IF(F186=0,0,IF(O175=0,0,((O175-F186)/O175)*100))</f>
        <v>0</v>
      </c>
      <c r="O186" s="843"/>
      <c r="P186" s="1390">
        <f t="shared" si="26"/>
        <v>0</v>
      </c>
      <c r="Q186" s="1389">
        <f t="shared" si="27"/>
        <v>0</v>
      </c>
    </row>
    <row r="187" spans="1:17" ht="20.100000000000001" customHeight="1" thickBot="1">
      <c r="A187" s="9"/>
      <c r="B187" s="1139"/>
      <c r="C187" s="237"/>
      <c r="D187" s="836"/>
      <c r="E187" s="837"/>
      <c r="F187" s="837"/>
      <c r="G187" s="838" t="s">
        <v>115</v>
      </c>
      <c r="H187" s="839" t="s">
        <v>115</v>
      </c>
      <c r="I187" s="840"/>
      <c r="J187" s="841">
        <f t="shared" si="23"/>
        <v>0</v>
      </c>
      <c r="K187" s="840"/>
      <c r="L187" s="926">
        <f t="shared" si="24"/>
        <v>0</v>
      </c>
      <c r="M187" s="553">
        <f t="shared" si="25"/>
        <v>0</v>
      </c>
      <c r="N187" s="842">
        <f>IF(F187=0,0,IF(O175=0,0,((O175-F187)/O175)*100))</f>
        <v>0</v>
      </c>
      <c r="O187" s="843"/>
      <c r="P187" s="1390">
        <f t="shared" si="26"/>
        <v>0</v>
      </c>
      <c r="Q187" s="1389">
        <f t="shared" si="27"/>
        <v>0</v>
      </c>
    </row>
    <row r="188" spans="1:17" ht="20.100000000000001" customHeight="1" thickBot="1">
      <c r="A188" s="9"/>
      <c r="B188" s="1139"/>
      <c r="C188" s="237"/>
      <c r="D188" s="836"/>
      <c r="E188" s="837"/>
      <c r="F188" s="837"/>
      <c r="G188" s="838"/>
      <c r="H188" s="839"/>
      <c r="I188" s="840"/>
      <c r="J188" s="841">
        <f t="shared" ref="J188:J193" si="28">(L188/48)</f>
        <v>0</v>
      </c>
      <c r="K188" s="840"/>
      <c r="L188" s="927">
        <f t="shared" ref="L188:L193" si="29">M188*0.0266</f>
        <v>0</v>
      </c>
      <c r="M188" s="553">
        <f t="shared" ref="M188:M193" si="30">IF(G188=0,IF(E188=0,0,((E188/6.895)+14)*B188/17.5),SQRT((G188+14)*H188)*(B188*0.031))</f>
        <v>0</v>
      </c>
      <c r="N188" s="842">
        <f>IF(F188=0,0,IF(O175=0,0,((O175-F188)/O175)*100))</f>
        <v>0</v>
      </c>
      <c r="O188" s="843"/>
      <c r="P188" s="1390">
        <f t="shared" si="26"/>
        <v>0</v>
      </c>
      <c r="Q188" s="1389">
        <f t="shared" si="27"/>
        <v>0</v>
      </c>
    </row>
    <row r="189" spans="1:17" ht="20.100000000000001" customHeight="1" thickBot="1">
      <c r="A189" s="9"/>
      <c r="B189" s="1139"/>
      <c r="C189" s="237"/>
      <c r="D189" s="836"/>
      <c r="E189" s="837"/>
      <c r="F189" s="837"/>
      <c r="G189" s="838"/>
      <c r="H189" s="839"/>
      <c r="I189" s="840"/>
      <c r="J189" s="841">
        <f t="shared" si="28"/>
        <v>0</v>
      </c>
      <c r="K189" s="840"/>
      <c r="L189" s="927">
        <f t="shared" si="29"/>
        <v>0</v>
      </c>
      <c r="M189" s="553">
        <f t="shared" si="30"/>
        <v>0</v>
      </c>
      <c r="N189" s="842">
        <f>IF(F189=0,0,IF(O175=0,0,((O175-F189)/O175)*100))</f>
        <v>0</v>
      </c>
      <c r="O189" s="843"/>
      <c r="P189" s="1390">
        <f t="shared" si="26"/>
        <v>0</v>
      </c>
      <c r="Q189" s="1389">
        <f t="shared" si="27"/>
        <v>0</v>
      </c>
    </row>
    <row r="190" spans="1:17" ht="20.100000000000001" customHeight="1" thickBot="1">
      <c r="A190" s="9"/>
      <c r="B190" s="1139"/>
      <c r="C190" s="237"/>
      <c r="D190" s="836"/>
      <c r="E190" s="837"/>
      <c r="F190" s="837"/>
      <c r="G190" s="838"/>
      <c r="H190" s="839"/>
      <c r="I190" s="840"/>
      <c r="J190" s="841">
        <f t="shared" si="28"/>
        <v>0</v>
      </c>
      <c r="K190" s="840"/>
      <c r="L190" s="927">
        <f t="shared" si="29"/>
        <v>0</v>
      </c>
      <c r="M190" s="553">
        <f t="shared" si="30"/>
        <v>0</v>
      </c>
      <c r="N190" s="842">
        <f>IF(F190=0,0,IF(O175=0,0,((O175-F190)/O175)*100))</f>
        <v>0</v>
      </c>
      <c r="O190" s="843"/>
      <c r="P190" s="1390">
        <f t="shared" si="26"/>
        <v>0</v>
      </c>
      <c r="Q190" s="1389">
        <f t="shared" si="27"/>
        <v>0</v>
      </c>
    </row>
    <row r="191" spans="1:17" ht="20.100000000000001" customHeight="1" thickBot="1">
      <c r="A191" s="9"/>
      <c r="B191" s="1139"/>
      <c r="C191" s="237"/>
      <c r="D191" s="836"/>
      <c r="E191" s="837"/>
      <c r="F191" s="837"/>
      <c r="G191" s="838"/>
      <c r="H191" s="839"/>
      <c r="I191" s="840"/>
      <c r="J191" s="841">
        <f t="shared" si="28"/>
        <v>0</v>
      </c>
      <c r="K191" s="840"/>
      <c r="L191" s="927">
        <f t="shared" si="29"/>
        <v>0</v>
      </c>
      <c r="M191" s="553">
        <f t="shared" si="30"/>
        <v>0</v>
      </c>
      <c r="N191" s="842">
        <f>IF(F191=0,0,IF(O175=0,0,((O175-F191)/O175)*100))</f>
        <v>0</v>
      </c>
      <c r="O191" s="843"/>
      <c r="P191" s="1390">
        <f t="shared" si="26"/>
        <v>0</v>
      </c>
      <c r="Q191" s="1389">
        <f t="shared" si="27"/>
        <v>0</v>
      </c>
    </row>
    <row r="192" spans="1:17" ht="20.100000000000001" customHeight="1" thickBot="1">
      <c r="A192" s="9"/>
      <c r="B192" s="1139"/>
      <c r="C192" s="237"/>
      <c r="D192" s="836"/>
      <c r="E192" s="837"/>
      <c r="F192" s="837"/>
      <c r="G192" s="838"/>
      <c r="H192" s="839"/>
      <c r="I192" s="840"/>
      <c r="J192" s="841">
        <f t="shared" si="28"/>
        <v>0</v>
      </c>
      <c r="K192" s="840"/>
      <c r="L192" s="927">
        <f t="shared" si="29"/>
        <v>0</v>
      </c>
      <c r="M192" s="553">
        <f t="shared" si="30"/>
        <v>0</v>
      </c>
      <c r="N192" s="842">
        <f>IF(F192=0,0,IF(O175=0,0,((O175-F192)/O175)*100))</f>
        <v>0</v>
      </c>
      <c r="O192" s="843"/>
      <c r="P192" s="1390">
        <f t="shared" si="26"/>
        <v>0</v>
      </c>
      <c r="Q192" s="1389">
        <f t="shared" si="27"/>
        <v>0</v>
      </c>
    </row>
    <row r="193" spans="1:17" ht="20.100000000000001" customHeight="1" thickBot="1">
      <c r="A193" s="9"/>
      <c r="B193" s="1139"/>
      <c r="C193" s="237"/>
      <c r="D193" s="836"/>
      <c r="E193" s="837"/>
      <c r="F193" s="837"/>
      <c r="G193" s="838" t="s">
        <v>115</v>
      </c>
      <c r="H193" s="839" t="s">
        <v>115</v>
      </c>
      <c r="I193" s="840"/>
      <c r="J193" s="841">
        <f t="shared" si="28"/>
        <v>0</v>
      </c>
      <c r="K193" s="840"/>
      <c r="L193" s="926">
        <f t="shared" si="29"/>
        <v>0</v>
      </c>
      <c r="M193" s="553">
        <f t="shared" si="30"/>
        <v>0</v>
      </c>
      <c r="N193" s="842">
        <f>IF(F193=0,0,IF(O175=0,0,((O175-F193)/O175)*100))</f>
        <v>0</v>
      </c>
      <c r="O193" s="843"/>
      <c r="P193" s="1390">
        <f t="shared" si="26"/>
        <v>0</v>
      </c>
      <c r="Q193" s="1389">
        <f t="shared" si="27"/>
        <v>0</v>
      </c>
    </row>
    <row r="194" spans="1:17" ht="20.100000000000001" customHeight="1" thickBot="1">
      <c r="A194" s="9"/>
      <c r="B194" s="1139"/>
      <c r="C194" s="237"/>
      <c r="D194" s="836"/>
      <c r="E194" s="837"/>
      <c r="F194" s="837"/>
      <c r="G194" s="838" t="s">
        <v>115</v>
      </c>
      <c r="H194" s="839" t="s">
        <v>115</v>
      </c>
      <c r="I194" s="840"/>
      <c r="J194" s="841">
        <f t="shared" si="23"/>
        <v>0</v>
      </c>
      <c r="K194" s="840"/>
      <c r="L194" s="926">
        <f t="shared" si="24"/>
        <v>0</v>
      </c>
      <c r="M194" s="553">
        <f t="shared" si="25"/>
        <v>0</v>
      </c>
      <c r="N194" s="842">
        <f>IF(F194=0,0,IF(O175=0,0,((O175-F194)/O175)*100))</f>
        <v>0</v>
      </c>
      <c r="O194" s="843"/>
      <c r="P194" s="1390">
        <f t="shared" si="26"/>
        <v>0</v>
      </c>
      <c r="Q194" s="1389">
        <f t="shared" si="27"/>
        <v>0</v>
      </c>
    </row>
    <row r="195" spans="1:17" ht="20.100000000000001" customHeight="1" thickBot="1">
      <c r="A195" s="9"/>
      <c r="B195" s="1139"/>
      <c r="C195" s="237"/>
      <c r="D195" s="836"/>
      <c r="E195" s="837"/>
      <c r="F195" s="837"/>
      <c r="G195" s="838" t="s">
        <v>115</v>
      </c>
      <c r="H195" s="839" t="s">
        <v>115</v>
      </c>
      <c r="I195" s="840"/>
      <c r="J195" s="841">
        <f t="shared" si="23"/>
        <v>0</v>
      </c>
      <c r="K195" s="840"/>
      <c r="L195" s="926">
        <f t="shared" si="24"/>
        <v>0</v>
      </c>
      <c r="M195" s="553">
        <f t="shared" si="25"/>
        <v>0</v>
      </c>
      <c r="N195" s="842">
        <f>IF(F195=0,0,IF(O175=0,0,((O175-F195)/O175)*100))</f>
        <v>0</v>
      </c>
      <c r="O195" s="843"/>
      <c r="P195" s="1390">
        <f t="shared" si="26"/>
        <v>0</v>
      </c>
      <c r="Q195" s="1389">
        <f t="shared" si="27"/>
        <v>0</v>
      </c>
    </row>
    <row r="196" spans="1:17" ht="20.100000000000001" customHeight="1" thickBot="1">
      <c r="A196" s="9"/>
      <c r="B196" s="1139"/>
      <c r="C196" s="237"/>
      <c r="D196" s="836"/>
      <c r="E196" s="837"/>
      <c r="F196" s="837"/>
      <c r="G196" s="838" t="s">
        <v>115</v>
      </c>
      <c r="H196" s="839" t="s">
        <v>115</v>
      </c>
      <c r="I196" s="840"/>
      <c r="J196" s="841">
        <f t="shared" si="23"/>
        <v>0</v>
      </c>
      <c r="K196" s="840"/>
      <c r="L196" s="926">
        <f t="shared" si="24"/>
        <v>0</v>
      </c>
      <c r="M196" s="553">
        <f t="shared" si="25"/>
        <v>0</v>
      </c>
      <c r="N196" s="842">
        <f>IF(F196=0,0,IF(O175=0,0,((O175-F196)/O175)*100))</f>
        <v>0</v>
      </c>
      <c r="O196" s="843"/>
      <c r="P196" s="1390">
        <f t="shared" si="26"/>
        <v>0</v>
      </c>
      <c r="Q196" s="1389">
        <f t="shared" si="27"/>
        <v>0</v>
      </c>
    </row>
    <row r="197" spans="1:17" ht="20.100000000000001" customHeight="1" thickBot="1">
      <c r="A197" s="9"/>
      <c r="B197" s="1139"/>
      <c r="C197" s="237"/>
      <c r="D197" s="836"/>
      <c r="E197" s="837"/>
      <c r="F197" s="837"/>
      <c r="G197" s="838" t="s">
        <v>115</v>
      </c>
      <c r="H197" s="839" t="s">
        <v>115</v>
      </c>
      <c r="I197" s="840"/>
      <c r="J197" s="841">
        <f t="shared" si="23"/>
        <v>0</v>
      </c>
      <c r="K197" s="840"/>
      <c r="L197" s="926">
        <f t="shared" si="24"/>
        <v>0</v>
      </c>
      <c r="M197" s="553">
        <f t="shared" si="25"/>
        <v>0</v>
      </c>
      <c r="N197" s="842">
        <f>IF(F197=0,0,IF(O175=0,0,((O175-F197)/O175)*100))</f>
        <v>0</v>
      </c>
      <c r="O197" s="843"/>
      <c r="P197" s="1390">
        <f t="shared" si="26"/>
        <v>0</v>
      </c>
      <c r="Q197" s="1389">
        <f t="shared" si="27"/>
        <v>0</v>
      </c>
    </row>
    <row r="198" spans="1:17" ht="20.100000000000001" customHeight="1" thickBot="1">
      <c r="A198" s="9"/>
      <c r="B198" s="1139"/>
      <c r="C198" s="237"/>
      <c r="D198" s="836"/>
      <c r="E198" s="837"/>
      <c r="F198" s="837"/>
      <c r="G198" s="838" t="s">
        <v>115</v>
      </c>
      <c r="H198" s="839" t="s">
        <v>115</v>
      </c>
      <c r="I198" s="840"/>
      <c r="J198" s="841">
        <f t="shared" si="23"/>
        <v>0</v>
      </c>
      <c r="K198" s="840"/>
      <c r="L198" s="926">
        <f t="shared" si="24"/>
        <v>0</v>
      </c>
      <c r="M198" s="553">
        <f t="shared" si="25"/>
        <v>0</v>
      </c>
      <c r="N198" s="842">
        <f>IF(F198=0,0,IF(O175=0,0,((O175-F198)/O175)*100))</f>
        <v>0</v>
      </c>
      <c r="O198" s="843"/>
      <c r="P198" s="1390">
        <f t="shared" si="26"/>
        <v>0</v>
      </c>
      <c r="Q198" s="1389">
        <f t="shared" si="27"/>
        <v>0</v>
      </c>
    </row>
    <row r="199" spans="1:17" ht="20.100000000000001" customHeight="1" thickBot="1">
      <c r="A199" s="9"/>
      <c r="B199" s="1139"/>
      <c r="C199" s="237"/>
      <c r="D199" s="836"/>
      <c r="E199" s="837"/>
      <c r="F199" s="837"/>
      <c r="G199" s="838" t="s">
        <v>115</v>
      </c>
      <c r="H199" s="839" t="s">
        <v>115</v>
      </c>
      <c r="I199" s="840"/>
      <c r="J199" s="841">
        <f t="shared" si="23"/>
        <v>0</v>
      </c>
      <c r="K199" s="840"/>
      <c r="L199" s="926">
        <f t="shared" si="24"/>
        <v>0</v>
      </c>
      <c r="M199" s="553">
        <f t="shared" si="25"/>
        <v>0</v>
      </c>
      <c r="N199" s="842">
        <f>IF(F199=0,0,IF(O175=0,0,((O175-F199)/O175)*100))</f>
        <v>0</v>
      </c>
      <c r="O199" s="843"/>
      <c r="P199" s="1390">
        <f t="shared" si="26"/>
        <v>0</v>
      </c>
      <c r="Q199" s="1389">
        <f t="shared" si="27"/>
        <v>0</v>
      </c>
    </row>
    <row r="200" spans="1:17" ht="20.100000000000001" customHeight="1" thickBot="1">
      <c r="A200" s="9"/>
      <c r="B200" s="1139"/>
      <c r="C200" s="237"/>
      <c r="D200" s="836"/>
      <c r="E200" s="837"/>
      <c r="F200" s="837"/>
      <c r="G200" s="838" t="s">
        <v>115</v>
      </c>
      <c r="H200" s="839" t="s">
        <v>115</v>
      </c>
      <c r="I200" s="840"/>
      <c r="J200" s="841">
        <f t="shared" si="23"/>
        <v>0</v>
      </c>
      <c r="K200" s="840"/>
      <c r="L200" s="926">
        <f t="shared" si="24"/>
        <v>0</v>
      </c>
      <c r="M200" s="553">
        <f t="shared" si="25"/>
        <v>0</v>
      </c>
      <c r="N200" s="842">
        <f>IF(F200=0,0,IF(O175=0,0,((O175-F200)/O175)*100))</f>
        <v>0</v>
      </c>
      <c r="O200" s="843"/>
      <c r="P200" s="1390">
        <f t="shared" si="26"/>
        <v>0</v>
      </c>
      <c r="Q200" s="1389">
        <f t="shared" si="27"/>
        <v>0</v>
      </c>
    </row>
    <row r="201" spans="1:17" ht="20.100000000000001" customHeight="1" thickBot="1">
      <c r="A201" s="9"/>
      <c r="B201" s="1139"/>
      <c r="C201" s="237"/>
      <c r="D201" s="836"/>
      <c r="E201" s="837"/>
      <c r="F201" s="837"/>
      <c r="G201" s="838" t="s">
        <v>115</v>
      </c>
      <c r="H201" s="839" t="s">
        <v>115</v>
      </c>
      <c r="I201" s="840"/>
      <c r="J201" s="841">
        <f t="shared" si="23"/>
        <v>0</v>
      </c>
      <c r="K201" s="840"/>
      <c r="L201" s="926">
        <f t="shared" si="24"/>
        <v>0</v>
      </c>
      <c r="M201" s="553">
        <f t="shared" si="25"/>
        <v>0</v>
      </c>
      <c r="N201" s="842">
        <f>IF(F201=0,0,IF(O175=0,0,((O175-F201)/O175)*100))</f>
        <v>0</v>
      </c>
      <c r="O201" s="843"/>
      <c r="P201" s="1390">
        <f t="shared" si="26"/>
        <v>0</v>
      </c>
      <c r="Q201" s="1389">
        <f t="shared" si="27"/>
        <v>0</v>
      </c>
    </row>
    <row r="202" spans="1:17" ht="20.100000000000001" customHeight="1" thickBot="1">
      <c r="A202" s="9"/>
      <c r="B202" s="1139"/>
      <c r="C202" s="237"/>
      <c r="D202" s="836"/>
      <c r="E202" s="837"/>
      <c r="F202" s="837"/>
      <c r="G202" s="838" t="s">
        <v>115</v>
      </c>
      <c r="H202" s="839" t="s">
        <v>115</v>
      </c>
      <c r="I202" s="840"/>
      <c r="J202" s="841">
        <f t="shared" si="23"/>
        <v>0</v>
      </c>
      <c r="K202" s="840"/>
      <c r="L202" s="926">
        <f t="shared" si="24"/>
        <v>0</v>
      </c>
      <c r="M202" s="553">
        <f t="shared" si="25"/>
        <v>0</v>
      </c>
      <c r="N202" s="842">
        <f>IF(F202=0,0,IF(O175=0,0,((O175-F202)/O175)*100))</f>
        <v>0</v>
      </c>
      <c r="O202" s="843"/>
      <c r="P202" s="1390">
        <f t="shared" si="26"/>
        <v>0</v>
      </c>
      <c r="Q202" s="1389">
        <f t="shared" si="27"/>
        <v>0</v>
      </c>
    </row>
    <row r="203" spans="1:17" ht="20.100000000000001" customHeight="1" thickBot="1">
      <c r="A203" s="9"/>
      <c r="B203" s="1139"/>
      <c r="C203" s="237"/>
      <c r="D203" s="836"/>
      <c r="E203" s="837"/>
      <c r="F203" s="837"/>
      <c r="G203" s="838" t="s">
        <v>115</v>
      </c>
      <c r="H203" s="839" t="s">
        <v>115</v>
      </c>
      <c r="I203" s="840"/>
      <c r="J203" s="841">
        <f t="shared" si="23"/>
        <v>0</v>
      </c>
      <c r="K203" s="840"/>
      <c r="L203" s="926">
        <f t="shared" si="24"/>
        <v>0</v>
      </c>
      <c r="M203" s="553">
        <f t="shared" si="25"/>
        <v>0</v>
      </c>
      <c r="N203" s="842">
        <f>IF(F203=0,0,IF(O175=0,0,((O175-F203)/O175)*100))</f>
        <v>0</v>
      </c>
      <c r="O203" s="843"/>
      <c r="P203" s="1390">
        <f t="shared" si="26"/>
        <v>0</v>
      </c>
      <c r="Q203" s="1389">
        <f t="shared" si="27"/>
        <v>0</v>
      </c>
    </row>
    <row r="204" spans="1:17" ht="20.100000000000001" customHeight="1">
      <c r="A204" s="9"/>
      <c r="B204" s="533" t="s">
        <v>274</v>
      </c>
      <c r="C204" s="534" t="str">
        <f>IF(G178="Separator (Metric)"," ","Tbg/Csg pressures in kPa; Static &amp; Diff in English;")</f>
        <v xml:space="preserve"> </v>
      </c>
      <c r="D204" s="535"/>
      <c r="E204" s="536"/>
      <c r="F204" s="536"/>
      <c r="G204" s="537" t="str">
        <f>IF(J176="Yes","In the event this report differs from Tester's Notes, the Tester's Notes should be used as the absolute"," ")</f>
        <v>In the event this report differs from Tester's Notes, the Tester's Notes should be used as the absolute</v>
      </c>
      <c r="H204" s="536"/>
      <c r="I204" s="538"/>
      <c r="J204" s="538"/>
      <c r="K204" s="538"/>
      <c r="L204" s="538"/>
      <c r="M204" s="538"/>
      <c r="N204" s="538"/>
      <c r="O204" s="825"/>
      <c r="Q204" s="12"/>
    </row>
    <row r="205" spans="1:17" ht="20.100000000000001" customHeight="1">
      <c r="A205" s="9"/>
      <c r="B205" s="527"/>
      <c r="C205" s="539" t="s">
        <v>414</v>
      </c>
      <c r="D205" s="825"/>
      <c r="E205" s="825"/>
      <c r="F205" s="825"/>
      <c r="G205" s="825"/>
      <c r="H205" s="825"/>
      <c r="I205" s="825"/>
      <c r="J205" s="825"/>
      <c r="K205" s="825"/>
      <c r="L205" s="825"/>
      <c r="M205" s="825"/>
      <c r="N205" s="825"/>
      <c r="O205" s="825"/>
      <c r="Q205" s="12"/>
    </row>
    <row r="206" spans="1:17" ht="20.100000000000001" customHeight="1">
      <c r="A206" s="9"/>
      <c r="B206" s="527"/>
      <c r="C206" s="540" t="s">
        <v>115</v>
      </c>
      <c r="D206" s="825"/>
      <c r="E206" s="825"/>
      <c r="F206" s="825"/>
      <c r="G206" s="825"/>
      <c r="H206" s="825"/>
      <c r="I206" s="541"/>
      <c r="J206" s="1316"/>
      <c r="K206" s="541"/>
      <c r="L206" s="825"/>
      <c r="M206" s="825"/>
      <c r="N206" s="825"/>
      <c r="O206" s="825"/>
      <c r="Q206" s="12"/>
    </row>
    <row r="207" spans="1:17" ht="20.100000000000001" customHeight="1">
      <c r="A207" s="9"/>
      <c r="B207" s="527"/>
      <c r="C207" s="1386"/>
      <c r="D207" s="1387"/>
      <c r="E207" s="1387"/>
      <c r="F207" s="1387"/>
      <c r="G207" s="1387"/>
      <c r="H207" s="1387"/>
      <c r="I207" s="1316"/>
      <c r="J207" s="1316"/>
      <c r="K207" s="1316"/>
      <c r="L207" s="1387"/>
      <c r="M207" s="1387"/>
      <c r="N207" s="1387"/>
      <c r="O207" s="1387"/>
      <c r="Q207" s="12"/>
    </row>
    <row r="208" spans="1:17" ht="20.100000000000001" customHeight="1" thickBot="1">
      <c r="A208" s="9"/>
      <c r="B208" s="527"/>
      <c r="C208" s="1386"/>
      <c r="D208" s="1387"/>
      <c r="E208" s="1387"/>
      <c r="F208" s="1387"/>
      <c r="G208" s="1387"/>
      <c r="H208" s="1387"/>
      <c r="I208" s="1316"/>
      <c r="J208" s="1316"/>
      <c r="K208" s="1316"/>
      <c r="L208" s="1387"/>
      <c r="M208" s="1387"/>
      <c r="N208" s="1387"/>
      <c r="O208" s="1387"/>
      <c r="Q208" s="12"/>
    </row>
    <row r="209" spans="1:17" ht="20.100000000000001" customHeight="1" thickBot="1">
      <c r="A209" s="9"/>
      <c r="B209" s="542" t="s">
        <v>275</v>
      </c>
      <c r="C209" s="543" t="s">
        <v>1083</v>
      </c>
      <c r="D209" s="826">
        <f>SUM(K180:K203)</f>
        <v>0</v>
      </c>
      <c r="E209" s="806" t="s">
        <v>218</v>
      </c>
      <c r="F209" s="806" t="s">
        <v>1084</v>
      </c>
      <c r="G209" s="827">
        <f>SUM(I180:I203)</f>
        <v>0</v>
      </c>
      <c r="H209" s="806" t="s">
        <v>218</v>
      </c>
      <c r="I209" s="1317" t="s">
        <v>1087</v>
      </c>
      <c r="J209" s="1318">
        <f>IF(O173=O131,D134+D176,D176)</f>
        <v>0</v>
      </c>
      <c r="K209" s="544"/>
      <c r="L209" s="543"/>
      <c r="M209" s="545" t="s">
        <v>151</v>
      </c>
      <c r="N209" s="546"/>
      <c r="O209" s="828" t="str">
        <f>O167</f>
        <v>Rick Johnson</v>
      </c>
      <c r="Q209" s="12"/>
    </row>
    <row r="210" spans="1:17" ht="15.25" thickBot="1">
      <c r="A210" s="16"/>
      <c r="B210" s="547"/>
      <c r="C210" s="1315" t="s">
        <v>1085</v>
      </c>
      <c r="D210" s="826">
        <f>IF(O173=O131,D168+D209,D209)</f>
        <v>0</v>
      </c>
      <c r="E210" s="829" t="s">
        <v>218</v>
      </c>
      <c r="F210" s="829" t="s">
        <v>1086</v>
      </c>
      <c r="G210" s="830">
        <f>IF(O173=O131,G168+G209,G209)</f>
        <v>0</v>
      </c>
      <c r="H210" s="829" t="s">
        <v>218</v>
      </c>
      <c r="I210" s="829" t="s">
        <v>1365</v>
      </c>
      <c r="J210" s="1341"/>
      <c r="K210" s="2490" t="s">
        <v>1362</v>
      </c>
      <c r="L210" s="2491"/>
      <c r="M210" s="826">
        <f>IF(J210=0,0,((D210+G210)/J210)*24)</f>
        <v>0</v>
      </c>
      <c r="N210" s="1342" t="s">
        <v>1366</v>
      </c>
      <c r="O210" s="1382">
        <f>IF(D210=0,0,D210/(D210+G210))</f>
        <v>0</v>
      </c>
      <c r="P210" s="1385"/>
      <c r="Q210" s="17"/>
    </row>
    <row r="211" spans="1:17" ht="20.100000000000001" customHeight="1">
      <c r="A211" s="6"/>
      <c r="B211" s="2476">
        <f>B169</f>
        <v>0</v>
      </c>
      <c r="C211" s="2476"/>
      <c r="D211" s="2476"/>
      <c r="E211" s="2476"/>
      <c r="F211" s="2476"/>
      <c r="G211" s="2476"/>
      <c r="H211" s="2476"/>
      <c r="I211" s="2476"/>
      <c r="J211" s="2476"/>
      <c r="K211" s="2476"/>
      <c r="L211" s="2476"/>
      <c r="M211" s="2476"/>
      <c r="N211" s="2476"/>
      <c r="O211" s="2476"/>
      <c r="P211" s="1384"/>
      <c r="Q211" s="8"/>
    </row>
    <row r="212" spans="1:17" ht="20.100000000000001" customHeight="1">
      <c r="A212" s="9"/>
      <c r="B212" s="548" t="s">
        <v>115</v>
      </c>
      <c r="C212" s="549"/>
      <c r="D212" s="549"/>
      <c r="E212" s="543"/>
      <c r="F212" s="543"/>
      <c r="G212" s="543"/>
      <c r="H212" s="543"/>
      <c r="I212" s="543"/>
      <c r="J212" s="543"/>
      <c r="K212" s="543"/>
      <c r="L212" s="543"/>
      <c r="M212" s="543"/>
      <c r="N212" s="543"/>
      <c r="O212" s="543"/>
      <c r="Q212" s="12"/>
    </row>
    <row r="213" spans="1:17" ht="18">
      <c r="A213" s="9"/>
      <c r="B213" s="550" t="s">
        <v>247</v>
      </c>
      <c r="C213" s="551"/>
      <c r="D213" s="551"/>
      <c r="E213" s="551"/>
      <c r="F213" s="551"/>
      <c r="G213" s="551"/>
      <c r="H213" s="551"/>
      <c r="I213" s="551"/>
      <c r="J213" s="551"/>
      <c r="K213" s="551"/>
      <c r="L213" s="551"/>
      <c r="M213" s="551"/>
      <c r="N213" s="831" t="s">
        <v>248</v>
      </c>
      <c r="O213" s="790" t="str">
        <f>IF(O215=O173,"3 OF 3","1 OF 1")</f>
        <v>3 OF 3</v>
      </c>
      <c r="Q213" s="12"/>
    </row>
    <row r="214" spans="1:17" ht="10.15" customHeight="1" thickBot="1">
      <c r="A214" s="9"/>
      <c r="B214" s="552"/>
      <c r="C214" s="543"/>
      <c r="D214" s="543"/>
      <c r="E214" s="543"/>
      <c r="F214" s="543"/>
      <c r="G214" s="543"/>
      <c r="H214" s="543"/>
      <c r="I214" s="543"/>
      <c r="J214" s="543"/>
      <c r="K214" s="543"/>
      <c r="L214" s="543"/>
      <c r="M214" s="543"/>
      <c r="N214" s="543"/>
      <c r="O214" s="543"/>
      <c r="Q214" s="12"/>
    </row>
    <row r="215" spans="1:17" ht="20.100000000000001" customHeight="1" thickBot="1">
      <c r="A215" s="9"/>
      <c r="B215" s="523" t="s">
        <v>249</v>
      </c>
      <c r="C215" s="524"/>
      <c r="D215" s="2477">
        <f>D173</f>
        <v>0</v>
      </c>
      <c r="E215" s="2478"/>
      <c r="F215" s="2478"/>
      <c r="G215" s="2478"/>
      <c r="H215" s="2478"/>
      <c r="I215" s="2478"/>
      <c r="J215" s="2478"/>
      <c r="K215" s="2479"/>
      <c r="L215" s="523" t="s">
        <v>413</v>
      </c>
      <c r="M215" s="832"/>
      <c r="N215" s="833"/>
      <c r="O215" s="794">
        <v>0</v>
      </c>
      <c r="Q215" s="12"/>
    </row>
    <row r="216" spans="1:17" ht="20.100000000000001" customHeight="1" thickBot="1">
      <c r="A216" s="9"/>
      <c r="B216" s="525" t="s">
        <v>250</v>
      </c>
      <c r="C216" s="526"/>
      <c r="D216" s="2480" t="str">
        <f>D174</f>
        <v xml:space="preserve"> </v>
      </c>
      <c r="E216" s="2481"/>
      <c r="F216" s="2481" t="str">
        <f>F174</f>
        <v xml:space="preserve"> </v>
      </c>
      <c r="G216" s="2481"/>
      <c r="H216" s="2481" t="str">
        <f>H174</f>
        <v xml:space="preserve"> </v>
      </c>
      <c r="I216" s="2481"/>
      <c r="J216" s="2482">
        <f>J174</f>
        <v>0</v>
      </c>
      <c r="K216" s="2483"/>
      <c r="L216" s="525" t="s">
        <v>251</v>
      </c>
      <c r="M216" s="834"/>
      <c r="N216" s="835"/>
      <c r="O216" s="532">
        <v>0</v>
      </c>
      <c r="Q216" s="12"/>
    </row>
    <row r="217" spans="1:17" ht="20.100000000000001" customHeight="1" thickBot="1">
      <c r="A217" s="9"/>
      <c r="B217" s="525" t="s">
        <v>252</v>
      </c>
      <c r="C217" s="526"/>
      <c r="D217" s="797" t="str">
        <f>IF(O216=O174,D175," ")</f>
        <v xml:space="preserve"> </v>
      </c>
      <c r="E217" s="799"/>
      <c r="F217" s="797" t="s">
        <v>1249</v>
      </c>
      <c r="G217" s="1383">
        <v>0</v>
      </c>
      <c r="H217" s="797" t="s">
        <v>218</v>
      </c>
      <c r="I217" s="797" t="s">
        <v>1250</v>
      </c>
      <c r="J217" s="544">
        <v>0</v>
      </c>
      <c r="K217" s="797" t="s">
        <v>1251</v>
      </c>
      <c r="L217" s="525" t="s">
        <v>253</v>
      </c>
      <c r="M217" s="834"/>
      <c r="N217" s="835"/>
      <c r="O217" s="800">
        <f>IF(O216=O174,O175,0)</f>
        <v>0</v>
      </c>
      <c r="Q217" s="12"/>
    </row>
    <row r="218" spans="1:17" ht="20.100000000000001" customHeight="1" thickBot="1">
      <c r="A218" s="9" t="s">
        <v>115</v>
      </c>
      <c r="B218" s="2472" t="s">
        <v>1082</v>
      </c>
      <c r="C218" s="2473"/>
      <c r="D218" s="801">
        <f>SUM(J222:J245)</f>
        <v>0</v>
      </c>
      <c r="E218" s="802" t="s">
        <v>966</v>
      </c>
      <c r="F218" s="803">
        <f>D218/0.0283</f>
        <v>0</v>
      </c>
      <c r="G218" s="802" t="s">
        <v>257</v>
      </c>
      <c r="H218" s="2474" t="s">
        <v>631</v>
      </c>
      <c r="I218" s="2475"/>
      <c r="J218" s="804" t="str">
        <f>J176</f>
        <v>Yes</v>
      </c>
      <c r="K218" s="797"/>
      <c r="L218" s="525" t="s">
        <v>258</v>
      </c>
      <c r="M218" s="834"/>
      <c r="N218" s="835" t="s">
        <v>115</v>
      </c>
      <c r="O218" s="805">
        <f>IF(O216=O174,O176,0)</f>
        <v>0</v>
      </c>
      <c r="P218" s="7" t="s">
        <v>115</v>
      </c>
      <c r="Q218" s="12"/>
    </row>
    <row r="219" spans="1:17" ht="10.15" customHeight="1" thickBot="1">
      <c r="A219" s="9"/>
      <c r="B219" s="528"/>
      <c r="C219" s="528"/>
      <c r="D219" s="806"/>
      <c r="E219" s="806"/>
      <c r="F219" s="806"/>
      <c r="G219" s="806"/>
      <c r="H219" s="806"/>
      <c r="I219" s="806"/>
      <c r="J219" s="806"/>
      <c r="K219" s="806"/>
      <c r="L219" s="806"/>
      <c r="M219" s="806"/>
      <c r="N219" s="806"/>
      <c r="O219" s="806"/>
      <c r="Q219" s="12"/>
    </row>
    <row r="220" spans="1:17" ht="15.9" thickBot="1">
      <c r="A220" s="9"/>
      <c r="B220" s="529" t="s">
        <v>117</v>
      </c>
      <c r="C220" s="530"/>
      <c r="D220" s="530" t="s">
        <v>259</v>
      </c>
      <c r="E220" s="530" t="s">
        <v>204</v>
      </c>
      <c r="F220" s="807" t="s">
        <v>260</v>
      </c>
      <c r="G220" s="808" t="s">
        <v>967</v>
      </c>
      <c r="H220" s="809"/>
      <c r="I220" s="810" t="s">
        <v>1612</v>
      </c>
      <c r="J220" s="811"/>
      <c r="K220" s="812"/>
      <c r="L220" s="813" t="s">
        <v>263</v>
      </c>
      <c r="M220" s="813" t="s">
        <v>263</v>
      </c>
      <c r="N220" s="813" t="s">
        <v>264</v>
      </c>
      <c r="O220" s="814" t="s">
        <v>265</v>
      </c>
      <c r="P220" s="2495" t="s">
        <v>1292</v>
      </c>
      <c r="Q220" s="2497" t="s">
        <v>1293</v>
      </c>
    </row>
    <row r="221" spans="1:17" ht="15" customHeight="1" thickBot="1">
      <c r="A221" s="9"/>
      <c r="B221" s="531" t="s">
        <v>266</v>
      </c>
      <c r="C221" s="532" t="s">
        <v>208</v>
      </c>
      <c r="D221" s="532" t="s">
        <v>267</v>
      </c>
      <c r="E221" s="532" t="s">
        <v>217</v>
      </c>
      <c r="F221" s="532" t="s">
        <v>217</v>
      </c>
      <c r="G221" s="532" t="s">
        <v>268</v>
      </c>
      <c r="H221" s="532" t="s">
        <v>269</v>
      </c>
      <c r="I221" s="532" t="s">
        <v>194</v>
      </c>
      <c r="J221" s="532" t="s">
        <v>270</v>
      </c>
      <c r="K221" s="532" t="s">
        <v>193</v>
      </c>
      <c r="L221" s="815" t="s">
        <v>271</v>
      </c>
      <c r="M221" s="815" t="s">
        <v>272</v>
      </c>
      <c r="N221" s="815" t="s">
        <v>273</v>
      </c>
      <c r="O221" s="816"/>
      <c r="P221" s="2496"/>
      <c r="Q221" s="2498"/>
    </row>
    <row r="222" spans="1:17" ht="20.100000000000001" customHeight="1" thickBot="1">
      <c r="A222" s="9"/>
      <c r="B222" s="1139"/>
      <c r="C222" s="237"/>
      <c r="D222" s="836" t="s">
        <v>115</v>
      </c>
      <c r="E222" s="837" t="s">
        <v>115</v>
      </c>
      <c r="F222" s="837">
        <v>0</v>
      </c>
      <c r="G222" s="838">
        <v>0</v>
      </c>
      <c r="H222" s="839">
        <v>0</v>
      </c>
      <c r="I222" s="840" t="s">
        <v>115</v>
      </c>
      <c r="J222" s="841">
        <f t="shared" ref="J222:J245" si="31">(L222/48)</f>
        <v>0</v>
      </c>
      <c r="K222" s="840" t="s">
        <v>115</v>
      </c>
      <c r="L222" s="926">
        <f t="shared" ref="L222:L245" si="32">M222*0.0266</f>
        <v>0</v>
      </c>
      <c r="M222" s="553">
        <f t="shared" ref="M222:M245" si="33">IF(G222=0,IF(E222=0,0,((E222/6.895)+14)*B222/17.5),SQRT((G222+14)*H222)*(B222*0.031))</f>
        <v>0</v>
      </c>
      <c r="N222" s="842">
        <f>IF(F222=0,0,IF(O217=0,0,((O217-F222)/O217)*100))</f>
        <v>0</v>
      </c>
      <c r="O222" s="843"/>
      <c r="P222" s="1390">
        <f t="shared" ref="P222:P245" si="34">IF(K222=0,0,(K222/(I222+K222)))</f>
        <v>0</v>
      </c>
      <c r="Q222" s="1389">
        <f t="shared" ref="Q222:Q245" si="35">IF(I222=0,0,IF(J222=0," ",J222/I222)*48)</f>
        <v>0</v>
      </c>
    </row>
    <row r="223" spans="1:17" ht="20.100000000000001" customHeight="1" thickBot="1">
      <c r="A223" s="9"/>
      <c r="B223" s="1139"/>
      <c r="C223" s="237"/>
      <c r="D223" s="836"/>
      <c r="E223" s="837"/>
      <c r="F223" s="837"/>
      <c r="G223" s="838" t="s">
        <v>115</v>
      </c>
      <c r="H223" s="839" t="s">
        <v>115</v>
      </c>
      <c r="I223" s="840"/>
      <c r="J223" s="841">
        <f t="shared" si="31"/>
        <v>0</v>
      </c>
      <c r="K223" s="840"/>
      <c r="L223" s="927">
        <f t="shared" si="32"/>
        <v>0</v>
      </c>
      <c r="M223" s="553">
        <f t="shared" si="33"/>
        <v>0</v>
      </c>
      <c r="N223" s="842">
        <f>IF(F223=0,0,IF(O217=0,0,((O217-F223)/O217)*100))</f>
        <v>0</v>
      </c>
      <c r="O223" s="843"/>
      <c r="P223" s="1390">
        <f t="shared" si="34"/>
        <v>0</v>
      </c>
      <c r="Q223" s="1389">
        <f t="shared" si="35"/>
        <v>0</v>
      </c>
    </row>
    <row r="224" spans="1:17" ht="20.100000000000001" customHeight="1" thickBot="1">
      <c r="A224" s="9"/>
      <c r="B224" s="1139"/>
      <c r="C224" s="237"/>
      <c r="D224" s="836"/>
      <c r="E224" s="837"/>
      <c r="F224" s="837"/>
      <c r="G224" s="838"/>
      <c r="H224" s="839"/>
      <c r="I224" s="840"/>
      <c r="J224" s="841">
        <f>(L224/48)</f>
        <v>0</v>
      </c>
      <c r="K224" s="840"/>
      <c r="L224" s="927">
        <f>M224*0.0266</f>
        <v>0</v>
      </c>
      <c r="M224" s="553">
        <f>IF(G224=0,IF(E224=0,0,((E224/6.895)+14)*B224/17.5),SQRT((G224+14)*H224)*(B224*0.031))</f>
        <v>0</v>
      </c>
      <c r="N224" s="842">
        <f>IF(F224=0,0,IF(O217=0,0,((O217-F224)/O217)*100))</f>
        <v>0</v>
      </c>
      <c r="O224" s="843"/>
      <c r="P224" s="1390">
        <f t="shared" si="34"/>
        <v>0</v>
      </c>
      <c r="Q224" s="1389">
        <f t="shared" si="35"/>
        <v>0</v>
      </c>
    </row>
    <row r="225" spans="1:17" ht="20.100000000000001" customHeight="1" thickBot="1">
      <c r="A225" s="9"/>
      <c r="B225" s="1139"/>
      <c r="C225" s="237"/>
      <c r="D225" s="836"/>
      <c r="E225" s="837"/>
      <c r="F225" s="837"/>
      <c r="G225" s="838"/>
      <c r="H225" s="839"/>
      <c r="I225" s="840"/>
      <c r="J225" s="841">
        <f>(L225/48)</f>
        <v>0</v>
      </c>
      <c r="K225" s="840"/>
      <c r="L225" s="927">
        <f>M225*0.0266</f>
        <v>0</v>
      </c>
      <c r="M225" s="553">
        <f>IF(G225=0,IF(E225=0,0,((E225/6.895)+14)*B225/17.5),SQRT((G225+14)*H225)*(B225*0.031))</f>
        <v>0</v>
      </c>
      <c r="N225" s="842">
        <f>IF(F225=0,0,IF(O217=0,0,((O217-F225)/O217)*100))</f>
        <v>0</v>
      </c>
      <c r="O225" s="843"/>
      <c r="P225" s="1390">
        <f t="shared" si="34"/>
        <v>0</v>
      </c>
      <c r="Q225" s="1389">
        <f t="shared" si="35"/>
        <v>0</v>
      </c>
    </row>
    <row r="226" spans="1:17" ht="20.100000000000001" customHeight="1" thickBot="1">
      <c r="A226" s="9"/>
      <c r="B226" s="1139"/>
      <c r="C226" s="237"/>
      <c r="D226" s="836"/>
      <c r="E226" s="837"/>
      <c r="F226" s="837"/>
      <c r="G226" s="838"/>
      <c r="H226" s="839"/>
      <c r="I226" s="840"/>
      <c r="J226" s="841">
        <f>(L226/48)</f>
        <v>0</v>
      </c>
      <c r="K226" s="840"/>
      <c r="L226" s="927">
        <f>M226*0.0266</f>
        <v>0</v>
      </c>
      <c r="M226" s="553">
        <f>IF(G226=0,IF(E226=0,0,((E226/6.895)+14)*B226/17.5),SQRT((G226+14)*H226)*(B226*0.031))</f>
        <v>0</v>
      </c>
      <c r="N226" s="842">
        <f>IF(F226=0,0,IF(O217=0,0,((O217-F226)/O217)*100))</f>
        <v>0</v>
      </c>
      <c r="O226" s="843"/>
      <c r="P226" s="1390">
        <f t="shared" si="34"/>
        <v>0</v>
      </c>
      <c r="Q226" s="1389">
        <f t="shared" si="35"/>
        <v>0</v>
      </c>
    </row>
    <row r="227" spans="1:17" ht="20.100000000000001" customHeight="1" thickBot="1">
      <c r="A227" s="9"/>
      <c r="B227" s="1139"/>
      <c r="C227" s="237"/>
      <c r="D227" s="836"/>
      <c r="E227" s="837"/>
      <c r="F227" s="837"/>
      <c r="G227" s="838"/>
      <c r="H227" s="839"/>
      <c r="I227" s="840"/>
      <c r="J227" s="841">
        <f>(L227/48)</f>
        <v>0</v>
      </c>
      <c r="K227" s="840"/>
      <c r="L227" s="927">
        <f>M227*0.0266</f>
        <v>0</v>
      </c>
      <c r="M227" s="553">
        <f>IF(G227=0,IF(E227=0,0,((E227/6.895)+14)*B227/17.5),SQRT((G227+14)*H227)*(B227*0.031))</f>
        <v>0</v>
      </c>
      <c r="N227" s="842">
        <f>IF(F227=0,0,IF(O217=0,0,((O217-F227)/O217)*100))</f>
        <v>0</v>
      </c>
      <c r="O227" s="843"/>
      <c r="P227" s="1390">
        <f t="shared" si="34"/>
        <v>0</v>
      </c>
      <c r="Q227" s="1389">
        <f t="shared" si="35"/>
        <v>0</v>
      </c>
    </row>
    <row r="228" spans="1:17" ht="20.100000000000001" customHeight="1" thickBot="1">
      <c r="A228" s="9"/>
      <c r="B228" s="1139"/>
      <c r="C228" s="237"/>
      <c r="D228" s="836"/>
      <c r="E228" s="837"/>
      <c r="F228" s="837"/>
      <c r="G228" s="838"/>
      <c r="H228" s="839"/>
      <c r="I228" s="840"/>
      <c r="J228" s="841">
        <f>(L228/48)</f>
        <v>0</v>
      </c>
      <c r="K228" s="840"/>
      <c r="L228" s="927">
        <f>M228*0.0266</f>
        <v>0</v>
      </c>
      <c r="M228" s="553">
        <f>IF(G228=0,IF(E228=0,0,((E228/6.895)+14)*B228/17.5),SQRT((G228+14)*H228)*(B228*0.031))</f>
        <v>0</v>
      </c>
      <c r="N228" s="842">
        <f>IF(F228=0,0,IF(O217=0,0,((O217-F228)/O217)*100))</f>
        <v>0</v>
      </c>
      <c r="O228" s="843"/>
      <c r="P228" s="1390">
        <f t="shared" si="34"/>
        <v>0</v>
      </c>
      <c r="Q228" s="1389">
        <f t="shared" si="35"/>
        <v>0</v>
      </c>
    </row>
    <row r="229" spans="1:17" ht="20.100000000000001" customHeight="1" thickBot="1">
      <c r="A229" s="9"/>
      <c r="B229" s="1139"/>
      <c r="C229" s="237"/>
      <c r="D229" s="836"/>
      <c r="E229" s="837"/>
      <c r="F229" s="837"/>
      <c r="G229" s="838" t="s">
        <v>115</v>
      </c>
      <c r="H229" s="839" t="s">
        <v>115</v>
      </c>
      <c r="I229" s="840"/>
      <c r="J229" s="841">
        <f t="shared" si="31"/>
        <v>0</v>
      </c>
      <c r="K229" s="840"/>
      <c r="L229" s="927">
        <f t="shared" si="32"/>
        <v>0</v>
      </c>
      <c r="M229" s="553">
        <f t="shared" si="33"/>
        <v>0</v>
      </c>
      <c r="N229" s="842">
        <f>IF(F229=0,0,IF(O217=0,0,((O217-F229)/O217)*100))</f>
        <v>0</v>
      </c>
      <c r="O229" s="843"/>
      <c r="P229" s="1390">
        <f t="shared" si="34"/>
        <v>0</v>
      </c>
      <c r="Q229" s="1389">
        <f t="shared" si="35"/>
        <v>0</v>
      </c>
    </row>
    <row r="230" spans="1:17" ht="20.100000000000001" customHeight="1" thickBot="1">
      <c r="A230" s="9"/>
      <c r="B230" s="1139"/>
      <c r="C230" s="237"/>
      <c r="D230" s="836"/>
      <c r="E230" s="837"/>
      <c r="F230" s="837"/>
      <c r="G230" s="838" t="s">
        <v>115</v>
      </c>
      <c r="H230" s="839" t="s">
        <v>115</v>
      </c>
      <c r="I230" s="840"/>
      <c r="J230" s="841">
        <f t="shared" si="31"/>
        <v>0</v>
      </c>
      <c r="K230" s="840"/>
      <c r="L230" s="927">
        <f t="shared" si="32"/>
        <v>0</v>
      </c>
      <c r="M230" s="553">
        <f t="shared" si="33"/>
        <v>0</v>
      </c>
      <c r="N230" s="842">
        <f>IF(F230=0,0,IF(O217=0,0,((O217-F230)/O217)*100))</f>
        <v>0</v>
      </c>
      <c r="O230" s="843"/>
      <c r="P230" s="1390">
        <f t="shared" si="34"/>
        <v>0</v>
      </c>
      <c r="Q230" s="1389">
        <f t="shared" si="35"/>
        <v>0</v>
      </c>
    </row>
    <row r="231" spans="1:17" ht="20.100000000000001" customHeight="1" thickBot="1">
      <c r="A231" s="9"/>
      <c r="B231" s="1139"/>
      <c r="C231" s="237"/>
      <c r="D231" s="836"/>
      <c r="E231" s="837"/>
      <c r="F231" s="837"/>
      <c r="G231" s="838" t="s">
        <v>115</v>
      </c>
      <c r="H231" s="839" t="s">
        <v>115</v>
      </c>
      <c r="I231" s="840"/>
      <c r="J231" s="841">
        <f t="shared" si="31"/>
        <v>0</v>
      </c>
      <c r="K231" s="840"/>
      <c r="L231" s="927">
        <f t="shared" si="32"/>
        <v>0</v>
      </c>
      <c r="M231" s="553">
        <f t="shared" si="33"/>
        <v>0</v>
      </c>
      <c r="N231" s="842">
        <f>IF(F231=0,0,IF(O217=0,0,((O217-F231)/O217)*100))</f>
        <v>0</v>
      </c>
      <c r="O231" s="843"/>
      <c r="P231" s="1390">
        <f t="shared" si="34"/>
        <v>0</v>
      </c>
      <c r="Q231" s="1389">
        <f t="shared" si="35"/>
        <v>0</v>
      </c>
    </row>
    <row r="232" spans="1:17" ht="20.100000000000001" customHeight="1" thickBot="1">
      <c r="A232" s="9"/>
      <c r="B232" s="1139"/>
      <c r="C232" s="237"/>
      <c r="D232" s="836"/>
      <c r="E232" s="837"/>
      <c r="F232" s="837"/>
      <c r="G232" s="838" t="s">
        <v>115</v>
      </c>
      <c r="H232" s="839" t="s">
        <v>115</v>
      </c>
      <c r="I232" s="840"/>
      <c r="J232" s="841">
        <f t="shared" si="31"/>
        <v>0</v>
      </c>
      <c r="K232" s="840"/>
      <c r="L232" s="927">
        <f t="shared" si="32"/>
        <v>0</v>
      </c>
      <c r="M232" s="553">
        <f t="shared" si="33"/>
        <v>0</v>
      </c>
      <c r="N232" s="842">
        <f>IF(F232=0,0,IF(O217=0,0,((O217-F232)/O217)*100))</f>
        <v>0</v>
      </c>
      <c r="O232" s="843"/>
      <c r="P232" s="1390">
        <f t="shared" si="34"/>
        <v>0</v>
      </c>
      <c r="Q232" s="1389">
        <f t="shared" si="35"/>
        <v>0</v>
      </c>
    </row>
    <row r="233" spans="1:17" ht="20.100000000000001" customHeight="1" thickBot="1">
      <c r="A233" s="9"/>
      <c r="B233" s="1139"/>
      <c r="C233" s="237"/>
      <c r="D233" s="836"/>
      <c r="E233" s="837"/>
      <c r="F233" s="837"/>
      <c r="G233" s="838" t="s">
        <v>115</v>
      </c>
      <c r="H233" s="839" t="s">
        <v>115</v>
      </c>
      <c r="I233" s="840"/>
      <c r="J233" s="841">
        <f t="shared" si="31"/>
        <v>0</v>
      </c>
      <c r="K233" s="840"/>
      <c r="L233" s="927">
        <f t="shared" si="32"/>
        <v>0</v>
      </c>
      <c r="M233" s="553">
        <f t="shared" si="33"/>
        <v>0</v>
      </c>
      <c r="N233" s="842">
        <f>IF(F233=0,0,IF(O217=0,0,((O217-F233)/O217)*100))</f>
        <v>0</v>
      </c>
      <c r="O233" s="843"/>
      <c r="P233" s="1390">
        <f t="shared" si="34"/>
        <v>0</v>
      </c>
      <c r="Q233" s="1389">
        <f t="shared" si="35"/>
        <v>0</v>
      </c>
    </row>
    <row r="234" spans="1:17" ht="20.100000000000001" customHeight="1" thickBot="1">
      <c r="A234" s="9"/>
      <c r="B234" s="1139"/>
      <c r="C234" s="237"/>
      <c r="D234" s="836"/>
      <c r="E234" s="837"/>
      <c r="F234" s="837"/>
      <c r="G234" s="838" t="s">
        <v>115</v>
      </c>
      <c r="H234" s="839" t="s">
        <v>115</v>
      </c>
      <c r="I234" s="840"/>
      <c r="J234" s="841">
        <f t="shared" si="31"/>
        <v>0</v>
      </c>
      <c r="K234" s="840"/>
      <c r="L234" s="926">
        <f t="shared" si="32"/>
        <v>0</v>
      </c>
      <c r="M234" s="553">
        <f t="shared" si="33"/>
        <v>0</v>
      </c>
      <c r="N234" s="842">
        <f>IF(F234=0,0,IF(O217=0,0,((O217-F234)/O217)*100))</f>
        <v>0</v>
      </c>
      <c r="O234" s="843"/>
      <c r="P234" s="1390">
        <f t="shared" si="34"/>
        <v>0</v>
      </c>
      <c r="Q234" s="1389">
        <f t="shared" si="35"/>
        <v>0</v>
      </c>
    </row>
    <row r="235" spans="1:17" ht="20.100000000000001" customHeight="1" thickBot="1">
      <c r="A235" s="9"/>
      <c r="B235" s="1139"/>
      <c r="C235" s="237"/>
      <c r="D235" s="836"/>
      <c r="E235" s="837"/>
      <c r="F235" s="837"/>
      <c r="G235" s="838" t="s">
        <v>115</v>
      </c>
      <c r="H235" s="839" t="s">
        <v>115</v>
      </c>
      <c r="I235" s="840"/>
      <c r="J235" s="841">
        <f t="shared" si="31"/>
        <v>0</v>
      </c>
      <c r="K235" s="840"/>
      <c r="L235" s="926">
        <f t="shared" si="32"/>
        <v>0</v>
      </c>
      <c r="M235" s="553">
        <f t="shared" si="33"/>
        <v>0</v>
      </c>
      <c r="N235" s="842">
        <f>IF(F235=0,0,IF(O217=0,0,((O217-F235)/O217)*100))</f>
        <v>0</v>
      </c>
      <c r="O235" s="843"/>
      <c r="P235" s="1390">
        <f t="shared" si="34"/>
        <v>0</v>
      </c>
      <c r="Q235" s="1389">
        <f t="shared" si="35"/>
        <v>0</v>
      </c>
    </row>
    <row r="236" spans="1:17" ht="20.100000000000001" customHeight="1" thickBot="1">
      <c r="A236" s="9"/>
      <c r="B236" s="1139"/>
      <c r="C236" s="237"/>
      <c r="D236" s="836"/>
      <c r="E236" s="837"/>
      <c r="F236" s="837"/>
      <c r="G236" s="838" t="s">
        <v>115</v>
      </c>
      <c r="H236" s="839" t="s">
        <v>115</v>
      </c>
      <c r="I236" s="840"/>
      <c r="J236" s="841">
        <f t="shared" si="31"/>
        <v>0</v>
      </c>
      <c r="K236" s="840"/>
      <c r="L236" s="926">
        <f t="shared" si="32"/>
        <v>0</v>
      </c>
      <c r="M236" s="553">
        <f t="shared" si="33"/>
        <v>0</v>
      </c>
      <c r="N236" s="842">
        <f>IF(F236=0,0,IF(O217=0,0,((O217-F236)/O217)*100))</f>
        <v>0</v>
      </c>
      <c r="O236" s="843"/>
      <c r="P236" s="1390">
        <f t="shared" si="34"/>
        <v>0</v>
      </c>
      <c r="Q236" s="1389">
        <f t="shared" si="35"/>
        <v>0</v>
      </c>
    </row>
    <row r="237" spans="1:17" ht="20.100000000000001" customHeight="1" thickBot="1">
      <c r="A237" s="9"/>
      <c r="B237" s="1139"/>
      <c r="C237" s="237"/>
      <c r="D237" s="836"/>
      <c r="E237" s="837"/>
      <c r="F237" s="837"/>
      <c r="G237" s="838" t="s">
        <v>115</v>
      </c>
      <c r="H237" s="839" t="s">
        <v>115</v>
      </c>
      <c r="I237" s="840"/>
      <c r="J237" s="841">
        <f t="shared" si="31"/>
        <v>0</v>
      </c>
      <c r="K237" s="840"/>
      <c r="L237" s="926">
        <f t="shared" si="32"/>
        <v>0</v>
      </c>
      <c r="M237" s="553">
        <f t="shared" si="33"/>
        <v>0</v>
      </c>
      <c r="N237" s="842">
        <f>IF(F237=0,0,IF(O217=0,0,((O217-F237)/O217)*100))</f>
        <v>0</v>
      </c>
      <c r="O237" s="843"/>
      <c r="P237" s="1390">
        <f t="shared" si="34"/>
        <v>0</v>
      </c>
      <c r="Q237" s="1389">
        <f t="shared" si="35"/>
        <v>0</v>
      </c>
    </row>
    <row r="238" spans="1:17" ht="20.100000000000001" customHeight="1" thickBot="1">
      <c r="A238" s="9"/>
      <c r="B238" s="1139"/>
      <c r="C238" s="237"/>
      <c r="D238" s="836"/>
      <c r="E238" s="837"/>
      <c r="F238" s="837"/>
      <c r="G238" s="838" t="s">
        <v>115</v>
      </c>
      <c r="H238" s="839" t="s">
        <v>115</v>
      </c>
      <c r="I238" s="840"/>
      <c r="J238" s="841">
        <f t="shared" si="31"/>
        <v>0</v>
      </c>
      <c r="K238" s="840"/>
      <c r="L238" s="926">
        <f t="shared" si="32"/>
        <v>0</v>
      </c>
      <c r="M238" s="553">
        <f t="shared" si="33"/>
        <v>0</v>
      </c>
      <c r="N238" s="842">
        <f>IF(F238=0,0,IF(O217=0,0,((O217-F238)/O217)*100))</f>
        <v>0</v>
      </c>
      <c r="O238" s="843"/>
      <c r="P238" s="1390">
        <f t="shared" si="34"/>
        <v>0</v>
      </c>
      <c r="Q238" s="1389">
        <f t="shared" si="35"/>
        <v>0</v>
      </c>
    </row>
    <row r="239" spans="1:17" ht="20.100000000000001" customHeight="1" thickBot="1">
      <c r="A239" s="9"/>
      <c r="B239" s="1139"/>
      <c r="C239" s="237"/>
      <c r="D239" s="836"/>
      <c r="E239" s="837"/>
      <c r="F239" s="837"/>
      <c r="G239" s="838" t="s">
        <v>115</v>
      </c>
      <c r="H239" s="839" t="s">
        <v>115</v>
      </c>
      <c r="I239" s="840"/>
      <c r="J239" s="841">
        <f t="shared" si="31"/>
        <v>0</v>
      </c>
      <c r="K239" s="840"/>
      <c r="L239" s="926">
        <f t="shared" si="32"/>
        <v>0</v>
      </c>
      <c r="M239" s="553">
        <f t="shared" si="33"/>
        <v>0</v>
      </c>
      <c r="N239" s="842">
        <f>IF(F239=0,0,IF(O217=0,0,((O217-F239)/O217)*100))</f>
        <v>0</v>
      </c>
      <c r="O239" s="843"/>
      <c r="P239" s="1390">
        <f t="shared" si="34"/>
        <v>0</v>
      </c>
      <c r="Q239" s="1389">
        <f t="shared" si="35"/>
        <v>0</v>
      </c>
    </row>
    <row r="240" spans="1:17" ht="20.100000000000001" customHeight="1" thickBot="1">
      <c r="A240" s="9"/>
      <c r="B240" s="1139"/>
      <c r="C240" s="237"/>
      <c r="D240" s="836"/>
      <c r="E240" s="837"/>
      <c r="F240" s="837"/>
      <c r="G240" s="838" t="s">
        <v>115</v>
      </c>
      <c r="H240" s="839" t="s">
        <v>115</v>
      </c>
      <c r="I240" s="840"/>
      <c r="J240" s="841">
        <f t="shared" si="31"/>
        <v>0</v>
      </c>
      <c r="K240" s="840"/>
      <c r="L240" s="926">
        <f t="shared" si="32"/>
        <v>0</v>
      </c>
      <c r="M240" s="553">
        <f t="shared" si="33"/>
        <v>0</v>
      </c>
      <c r="N240" s="842">
        <f>IF(F240=0,0,IF(O217=0,0,((O217-F240)/O217)*100))</f>
        <v>0</v>
      </c>
      <c r="O240" s="843"/>
      <c r="P240" s="1390">
        <f t="shared" si="34"/>
        <v>0</v>
      </c>
      <c r="Q240" s="1389">
        <f t="shared" si="35"/>
        <v>0</v>
      </c>
    </row>
    <row r="241" spans="1:17" ht="20.100000000000001" customHeight="1" thickBot="1">
      <c r="A241" s="9"/>
      <c r="B241" s="1139"/>
      <c r="C241" s="237"/>
      <c r="D241" s="836"/>
      <c r="E241" s="837"/>
      <c r="F241" s="837"/>
      <c r="G241" s="838" t="s">
        <v>115</v>
      </c>
      <c r="H241" s="839" t="s">
        <v>115</v>
      </c>
      <c r="I241" s="840"/>
      <c r="J241" s="841">
        <f t="shared" si="31"/>
        <v>0</v>
      </c>
      <c r="K241" s="840"/>
      <c r="L241" s="926">
        <f t="shared" si="32"/>
        <v>0</v>
      </c>
      <c r="M241" s="553">
        <f t="shared" si="33"/>
        <v>0</v>
      </c>
      <c r="N241" s="842">
        <f>IF(F241=0,0,IF(O217=0,0,((O217-F241)/O217)*100))</f>
        <v>0</v>
      </c>
      <c r="O241" s="843"/>
      <c r="P241" s="1390">
        <f t="shared" si="34"/>
        <v>0</v>
      </c>
      <c r="Q241" s="1389">
        <f t="shared" si="35"/>
        <v>0</v>
      </c>
    </row>
    <row r="242" spans="1:17" ht="20.100000000000001" customHeight="1" thickBot="1">
      <c r="A242" s="9"/>
      <c r="B242" s="1139"/>
      <c r="C242" s="237"/>
      <c r="D242" s="836"/>
      <c r="E242" s="837"/>
      <c r="F242" s="837"/>
      <c r="G242" s="838" t="s">
        <v>115</v>
      </c>
      <c r="H242" s="839" t="s">
        <v>115</v>
      </c>
      <c r="I242" s="840"/>
      <c r="J242" s="841">
        <f t="shared" si="31"/>
        <v>0</v>
      </c>
      <c r="K242" s="840"/>
      <c r="L242" s="926">
        <f t="shared" si="32"/>
        <v>0</v>
      </c>
      <c r="M242" s="553">
        <f t="shared" si="33"/>
        <v>0</v>
      </c>
      <c r="N242" s="842">
        <f>IF(F242=0,0,IF(O217=0,0,((O217-F242)/O217)*100))</f>
        <v>0</v>
      </c>
      <c r="O242" s="843"/>
      <c r="P242" s="1390">
        <f t="shared" si="34"/>
        <v>0</v>
      </c>
      <c r="Q242" s="1389">
        <f t="shared" si="35"/>
        <v>0</v>
      </c>
    </row>
    <row r="243" spans="1:17" ht="20.100000000000001" customHeight="1" thickBot="1">
      <c r="A243" s="9"/>
      <c r="B243" s="1139"/>
      <c r="C243" s="237"/>
      <c r="D243" s="836"/>
      <c r="E243" s="837"/>
      <c r="F243" s="837"/>
      <c r="G243" s="838" t="s">
        <v>115</v>
      </c>
      <c r="H243" s="839" t="s">
        <v>115</v>
      </c>
      <c r="I243" s="840"/>
      <c r="J243" s="841">
        <f t="shared" si="31"/>
        <v>0</v>
      </c>
      <c r="K243" s="840"/>
      <c r="L243" s="926">
        <f t="shared" si="32"/>
        <v>0</v>
      </c>
      <c r="M243" s="553">
        <f t="shared" si="33"/>
        <v>0</v>
      </c>
      <c r="N243" s="842">
        <f>IF(F243=0,0,IF(O217=0,0,((O217-F243)/O217)*100))</f>
        <v>0</v>
      </c>
      <c r="O243" s="843"/>
      <c r="P243" s="1390">
        <f t="shared" si="34"/>
        <v>0</v>
      </c>
      <c r="Q243" s="1389">
        <f t="shared" si="35"/>
        <v>0</v>
      </c>
    </row>
    <row r="244" spans="1:17" ht="20.100000000000001" customHeight="1" thickBot="1">
      <c r="A244" s="9"/>
      <c r="B244" s="1139"/>
      <c r="C244" s="237"/>
      <c r="D244" s="836"/>
      <c r="E244" s="837"/>
      <c r="F244" s="837"/>
      <c r="G244" s="838" t="s">
        <v>115</v>
      </c>
      <c r="H244" s="839" t="s">
        <v>115</v>
      </c>
      <c r="I244" s="840"/>
      <c r="J244" s="841">
        <f t="shared" si="31"/>
        <v>0</v>
      </c>
      <c r="K244" s="840"/>
      <c r="L244" s="926">
        <f t="shared" si="32"/>
        <v>0</v>
      </c>
      <c r="M244" s="553">
        <f t="shared" si="33"/>
        <v>0</v>
      </c>
      <c r="N244" s="842">
        <f>IF(F244=0,0,IF(O217=0,0,((O217-F244)/O217)*100))</f>
        <v>0</v>
      </c>
      <c r="O244" s="843"/>
      <c r="P244" s="1390">
        <f t="shared" si="34"/>
        <v>0</v>
      </c>
      <c r="Q244" s="1389">
        <f t="shared" si="35"/>
        <v>0</v>
      </c>
    </row>
    <row r="245" spans="1:17" ht="20.100000000000001" customHeight="1" thickBot="1">
      <c r="A245" s="9"/>
      <c r="B245" s="1139"/>
      <c r="C245" s="237"/>
      <c r="D245" s="836"/>
      <c r="E245" s="837"/>
      <c r="F245" s="837"/>
      <c r="G245" s="838" t="s">
        <v>115</v>
      </c>
      <c r="H245" s="839" t="s">
        <v>115</v>
      </c>
      <c r="I245" s="840"/>
      <c r="J245" s="841">
        <f t="shared" si="31"/>
        <v>0</v>
      </c>
      <c r="K245" s="840"/>
      <c r="L245" s="926">
        <f t="shared" si="32"/>
        <v>0</v>
      </c>
      <c r="M245" s="553">
        <f t="shared" si="33"/>
        <v>0</v>
      </c>
      <c r="N245" s="842">
        <f>IF(F245=0,0,IF(O217=0,0,((O217-F245)/O217)*100))</f>
        <v>0</v>
      </c>
      <c r="O245" s="843"/>
      <c r="P245" s="1390">
        <f t="shared" si="34"/>
        <v>0</v>
      </c>
      <c r="Q245" s="1389">
        <f t="shared" si="35"/>
        <v>0</v>
      </c>
    </row>
    <row r="246" spans="1:17" ht="20.100000000000001" customHeight="1">
      <c r="A246" s="9"/>
      <c r="B246" s="533" t="s">
        <v>274</v>
      </c>
      <c r="C246" s="534" t="str">
        <f>IF(G220="Separator (Metric)"," ","Tbg/Csg pressures in kPa; Static &amp; Diff in English;")</f>
        <v xml:space="preserve"> </v>
      </c>
      <c r="D246" s="535"/>
      <c r="E246" s="536"/>
      <c r="F246" s="536"/>
      <c r="G246" s="537" t="str">
        <f>IF(J218="Yes","In the event this report differs from Tester's Notes, the Tester's Notes should be used as the absolute"," ")</f>
        <v>In the event this report differs from Tester's Notes, the Tester's Notes should be used as the absolute</v>
      </c>
      <c r="H246" s="536"/>
      <c r="I246" s="538"/>
      <c r="J246" s="538"/>
      <c r="K246" s="538"/>
      <c r="L246" s="538"/>
      <c r="M246" s="538"/>
      <c r="N246" s="538"/>
      <c r="O246" s="825"/>
      <c r="Q246" s="12"/>
    </row>
    <row r="247" spans="1:17" ht="20.100000000000001" customHeight="1">
      <c r="A247" s="9"/>
      <c r="B247" s="527"/>
      <c r="C247" s="539" t="s">
        <v>414</v>
      </c>
      <c r="D247" s="825"/>
      <c r="E247" s="825"/>
      <c r="F247" s="825"/>
      <c r="G247" s="825"/>
      <c r="H247" s="825"/>
      <c r="I247" s="825"/>
      <c r="J247" s="825"/>
      <c r="K247" s="825"/>
      <c r="L247" s="825"/>
      <c r="M247" s="825"/>
      <c r="N247" s="825"/>
      <c r="O247" s="825"/>
      <c r="Q247" s="12"/>
    </row>
    <row r="248" spans="1:17" ht="20.100000000000001" customHeight="1">
      <c r="A248" s="9"/>
      <c r="B248" s="527"/>
      <c r="C248" s="540" t="s">
        <v>115</v>
      </c>
      <c r="D248" s="825"/>
      <c r="E248" s="825"/>
      <c r="F248" s="825"/>
      <c r="G248" s="825"/>
      <c r="H248" s="825"/>
      <c r="I248" s="541"/>
      <c r="J248" s="1316"/>
      <c r="K248" s="541"/>
      <c r="L248" s="825"/>
      <c r="M248" s="825"/>
      <c r="N248" s="825"/>
      <c r="O248" s="825"/>
      <c r="Q248" s="12"/>
    </row>
    <row r="249" spans="1:17" ht="20.100000000000001" customHeight="1">
      <c r="A249" s="9"/>
      <c r="B249" s="527"/>
      <c r="C249" s="1386"/>
      <c r="D249" s="1387"/>
      <c r="E249" s="1387"/>
      <c r="F249" s="1387"/>
      <c r="G249" s="1387"/>
      <c r="H249" s="1387"/>
      <c r="I249" s="1316"/>
      <c r="J249" s="1316"/>
      <c r="K249" s="1316"/>
      <c r="L249" s="1387"/>
      <c r="M249" s="1387"/>
      <c r="N249" s="1387"/>
      <c r="O249" s="1387"/>
      <c r="Q249" s="12"/>
    </row>
    <row r="250" spans="1:17" ht="20.100000000000001" customHeight="1" thickBot="1">
      <c r="A250" s="9"/>
      <c r="B250" s="527"/>
      <c r="C250" s="1386"/>
      <c r="D250" s="1387"/>
      <c r="E250" s="1387"/>
      <c r="F250" s="1387"/>
      <c r="G250" s="1387"/>
      <c r="H250" s="1387"/>
      <c r="I250" s="1316"/>
      <c r="J250" s="1316"/>
      <c r="K250" s="1316"/>
      <c r="L250" s="1387"/>
      <c r="M250" s="1387"/>
      <c r="N250" s="1387"/>
      <c r="O250" s="1387"/>
      <c r="Q250" s="12"/>
    </row>
    <row r="251" spans="1:17" ht="20.100000000000001" customHeight="1" thickBot="1">
      <c r="A251" s="9"/>
      <c r="B251" s="542" t="s">
        <v>275</v>
      </c>
      <c r="C251" s="543" t="s">
        <v>1083</v>
      </c>
      <c r="D251" s="826">
        <f>SUM(K222:K245)</f>
        <v>0</v>
      </c>
      <c r="E251" s="806" t="s">
        <v>218</v>
      </c>
      <c r="F251" s="806" t="s">
        <v>1084</v>
      </c>
      <c r="G251" s="827">
        <f>SUM(I222:I245)</f>
        <v>0</v>
      </c>
      <c r="H251" s="806" t="s">
        <v>218</v>
      </c>
      <c r="I251" s="1317" t="s">
        <v>1087</v>
      </c>
      <c r="J251" s="1318">
        <f>IF(O215=O173,J209+D218,D218)</f>
        <v>0</v>
      </c>
      <c r="K251" s="544"/>
      <c r="L251" s="543"/>
      <c r="M251" s="545" t="s">
        <v>151</v>
      </c>
      <c r="N251" s="546"/>
      <c r="O251" s="828" t="str">
        <f>O209</f>
        <v>Rick Johnson</v>
      </c>
      <c r="Q251" s="12"/>
    </row>
    <row r="252" spans="1:17" ht="15.25" thickBot="1">
      <c r="A252" s="16"/>
      <c r="B252" s="547"/>
      <c r="C252" s="1315" t="s">
        <v>1085</v>
      </c>
      <c r="D252" s="826">
        <f>IF(O215=O173,D210+D251,D251)</f>
        <v>0</v>
      </c>
      <c r="E252" s="829" t="s">
        <v>218</v>
      </c>
      <c r="F252" s="829" t="s">
        <v>1086</v>
      </c>
      <c r="G252" s="830">
        <f>IF(O215=O173,G210+G251,G251)</f>
        <v>0</v>
      </c>
      <c r="H252" s="829" t="s">
        <v>218</v>
      </c>
      <c r="I252" s="829" t="s">
        <v>1365</v>
      </c>
      <c r="J252" s="1341"/>
      <c r="K252" s="2490" t="s">
        <v>1362</v>
      </c>
      <c r="L252" s="2491"/>
      <c r="M252" s="826">
        <f>IF(J252=0,0,((D252+G252)/J252)*24)</f>
        <v>0</v>
      </c>
      <c r="N252" s="1342" t="s">
        <v>1366</v>
      </c>
      <c r="O252" s="1382">
        <f>IF(D252=0,0,D252/(D252+G252))</f>
        <v>0</v>
      </c>
      <c r="P252" s="1385"/>
      <c r="Q252" s="17"/>
    </row>
  </sheetData>
  <mergeCells count="70">
    <mergeCell ref="P10:P11"/>
    <mergeCell ref="Q10:Q11"/>
    <mergeCell ref="P52:P53"/>
    <mergeCell ref="Q52:Q53"/>
    <mergeCell ref="B82:C82"/>
    <mergeCell ref="P220:P221"/>
    <mergeCell ref="Q220:Q221"/>
    <mergeCell ref="P94:P95"/>
    <mergeCell ref="Q94:Q95"/>
    <mergeCell ref="P136:P137"/>
    <mergeCell ref="Q136:Q137"/>
    <mergeCell ref="P178:P179"/>
    <mergeCell ref="Q178:Q179"/>
    <mergeCell ref="B50:C50"/>
    <mergeCell ref="B85:O85"/>
    <mergeCell ref="K252:L252"/>
    <mergeCell ref="K84:L84"/>
    <mergeCell ref="K126:L126"/>
    <mergeCell ref="K168:L168"/>
    <mergeCell ref="K210:L210"/>
    <mergeCell ref="J216:K216"/>
    <mergeCell ref="B127:O127"/>
    <mergeCell ref="D131:K131"/>
    <mergeCell ref="D132:E132"/>
    <mergeCell ref="F132:G132"/>
    <mergeCell ref="D89:K89"/>
    <mergeCell ref="H50:I50"/>
    <mergeCell ref="H132:I132"/>
    <mergeCell ref="B1:O1"/>
    <mergeCell ref="B43:O43"/>
    <mergeCell ref="H8:I8"/>
    <mergeCell ref="J6:K6"/>
    <mergeCell ref="D5:K5"/>
    <mergeCell ref="D6:E6"/>
    <mergeCell ref="F6:G6"/>
    <mergeCell ref="H6:I6"/>
    <mergeCell ref="L40:N40"/>
    <mergeCell ref="B8:C8"/>
    <mergeCell ref="B3:C3"/>
    <mergeCell ref="B2:C2"/>
    <mergeCell ref="D2:F2"/>
    <mergeCell ref="D47:K47"/>
    <mergeCell ref="D48:E48"/>
    <mergeCell ref="F48:G48"/>
    <mergeCell ref="H48:I48"/>
    <mergeCell ref="J48:K48"/>
    <mergeCell ref="J132:K132"/>
    <mergeCell ref="B134:C134"/>
    <mergeCell ref="H134:I134"/>
    <mergeCell ref="F90:G90"/>
    <mergeCell ref="H90:I90"/>
    <mergeCell ref="J90:K90"/>
    <mergeCell ref="B92:C92"/>
    <mergeCell ref="H92:I92"/>
    <mergeCell ref="D90:E90"/>
    <mergeCell ref="B169:O169"/>
    <mergeCell ref="D173:K173"/>
    <mergeCell ref="D174:E174"/>
    <mergeCell ref="F174:G174"/>
    <mergeCell ref="H174:I174"/>
    <mergeCell ref="J174:K174"/>
    <mergeCell ref="B176:C176"/>
    <mergeCell ref="H176:I176"/>
    <mergeCell ref="B211:O211"/>
    <mergeCell ref="D215:K215"/>
    <mergeCell ref="B218:C218"/>
    <mergeCell ref="H218:I218"/>
    <mergeCell ref="D216:E216"/>
    <mergeCell ref="F216:G216"/>
    <mergeCell ref="H216:I216"/>
  </mergeCells>
  <phoneticPr fontId="0" type="noConversion"/>
  <printOptions gridLinesSet="0"/>
  <pageMargins left="0.107" right="0.107" top="0.5" bottom="0.25" header="0.5" footer="0.5"/>
  <pageSetup scale="65" fitToHeight="6" orientation="landscape" horizontalDpi="360" verticalDpi="360" r:id="rId1"/>
  <headerFooter alignWithMargins="0"/>
  <rowBreaks count="5" manualBreakCount="5">
    <brk id="38" max="65535" man="1"/>
    <brk id="84" max="16383" man="1"/>
    <brk id="126" max="16383" man="1"/>
    <brk id="168" max="16383" man="1"/>
    <brk id="21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8" r:id="rId4" name="Button 6">
              <controlPr defaultSize="0" print="0" autoFill="0" autoPict="0" macro="[0]!BACKTOMENU">
                <anchor moveWithCells="1">
                  <from>
                    <xdr:col>17</xdr:col>
                    <xdr:colOff>171450</xdr:colOff>
                    <xdr:row>0</xdr:row>
                    <xdr:rowOff>10886</xdr:rowOff>
                  </from>
                  <to>
                    <xdr:col>18</xdr:col>
                    <xdr:colOff>514350</xdr:colOff>
                    <xdr:row>0</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A81B9EAC-0841-4AA7-B9E2-2A23B2835B00}">
          <x14:formula1>
            <xm:f>'Data Validation'!$C$9:$D$9</xm:f>
          </x14:formula1>
          <xm:sqref>D11 D53 D95 D137 D179 D221</xm:sqref>
        </x14:dataValidation>
        <x14:dataValidation type="list" allowBlank="1" showInputMessage="1" showErrorMessage="1" xr:uid="{AC25535C-E7A3-4D63-BDCA-AC6D4A9E514C}">
          <x14:formula1>
            <xm:f>'Data Validation'!$C$1:$D$1</xm:f>
          </x14:formula1>
          <xm:sqref>D2:F2</xm:sqref>
        </x14:dataValidation>
        <x14:dataValidation type="list" allowBlank="1" showInputMessage="1" showErrorMessage="1" xr:uid="{3F4BEB73-6927-4D9C-BCA7-6A902EF76C74}">
          <x14:formula1>
            <xm:f>'Data Validation'!$C$14:$D$14</xm:f>
          </x14:formula1>
          <xm:sqref>E8</xm:sqref>
        </x14:dataValidation>
        <x14:dataValidation type="list" allowBlank="1" showInputMessage="1" showErrorMessage="1" xr:uid="{7B09C596-FA34-46B9-9A76-F73C0A690729}">
          <x14:formula1>
            <xm:f>'Data Validation'!$C$2:$D$2</xm:f>
          </x14:formula1>
          <xm:sqref>H7</xm:sqref>
        </x14:dataValidation>
        <x14:dataValidation type="list" allowBlank="1" showInputMessage="1" showErrorMessage="1" xr:uid="{9461466C-80F1-4327-882E-1D7F171EAF02}">
          <x14:formula1>
            <xm:f>'Data Validation'!$C$13:$D$13</xm:f>
          </x14:formula1>
          <xm:sqref>L11 L53 L95 L137 L179 L221</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36051-C35A-48C4-98E0-98DC87701C53}">
  <sheetPr codeName="Sheet42"/>
  <dimension ref="A2:N28"/>
  <sheetViews>
    <sheetView showZeros="0" workbookViewId="0">
      <selection activeCell="E20" sqref="E20"/>
    </sheetView>
  </sheetViews>
  <sheetFormatPr defaultColWidth="9.15234375" defaultRowHeight="12.9"/>
  <cols>
    <col min="1" max="16384" width="9.15234375" style="598"/>
  </cols>
  <sheetData>
    <row r="2" spans="1:14" ht="13.1">
      <c r="H2" s="1140" t="s">
        <v>33</v>
      </c>
    </row>
    <row r="4" spans="1:14" ht="13.5" thickBot="1">
      <c r="A4" s="2500" t="s">
        <v>1613</v>
      </c>
      <c r="B4" s="2501"/>
      <c r="C4" s="2501"/>
      <c r="D4" s="2501"/>
      <c r="E4" s="2501"/>
      <c r="F4" s="2501"/>
      <c r="G4" s="2501"/>
      <c r="H4" s="2501"/>
      <c r="I4" s="2501"/>
      <c r="J4" s="2501"/>
      <c r="K4" s="2501"/>
      <c r="L4" s="2501"/>
      <c r="M4" s="2501"/>
      <c r="N4" s="2501"/>
    </row>
    <row r="5" spans="1:14">
      <c r="A5" s="2505" t="s">
        <v>964</v>
      </c>
      <c r="B5" s="2506"/>
      <c r="C5" s="2506"/>
      <c r="D5" s="2506"/>
      <c r="E5" s="2506"/>
      <c r="F5" s="2506"/>
      <c r="G5" s="2506"/>
      <c r="H5" s="2506"/>
      <c r="I5" s="2506"/>
      <c r="J5" s="2506"/>
      <c r="K5" s="2506"/>
      <c r="L5" s="2506"/>
      <c r="M5" s="2506"/>
      <c r="N5" s="2507"/>
    </row>
    <row r="6" spans="1:14">
      <c r="A6" s="2508"/>
      <c r="B6" s="2509"/>
      <c r="C6" s="2509"/>
      <c r="D6" s="2509"/>
      <c r="E6" s="2509"/>
      <c r="F6" s="2509"/>
      <c r="G6" s="2509"/>
      <c r="H6" s="2509"/>
      <c r="I6" s="2509"/>
      <c r="J6" s="2509"/>
      <c r="K6" s="2509"/>
      <c r="L6" s="2509"/>
      <c r="M6" s="2509"/>
      <c r="N6" s="2510"/>
    </row>
    <row r="7" spans="1:14" ht="13.5" thickBot="1">
      <c r="A7" s="599"/>
      <c r="D7" s="600" t="s">
        <v>995</v>
      </c>
      <c r="F7" s="2511"/>
      <c r="G7" s="2511"/>
      <c r="N7" s="601"/>
    </row>
    <row r="8" spans="1:14" ht="13.95" thickBot="1">
      <c r="A8" s="602" t="s">
        <v>125</v>
      </c>
      <c r="B8" s="603"/>
      <c r="C8" s="603" t="s">
        <v>259</v>
      </c>
      <c r="D8" s="603" t="s">
        <v>204</v>
      </c>
      <c r="E8" s="604" t="s">
        <v>260</v>
      </c>
      <c r="F8" s="2503"/>
      <c r="G8" s="2504"/>
      <c r="H8" s="605" t="s">
        <v>262</v>
      </c>
      <c r="I8" s="605"/>
      <c r="J8" s="606"/>
      <c r="K8" s="603" t="s">
        <v>263</v>
      </c>
      <c r="L8" s="603" t="s">
        <v>263</v>
      </c>
      <c r="M8" s="603" t="s">
        <v>264</v>
      </c>
      <c r="N8" s="607" t="s">
        <v>265</v>
      </c>
    </row>
    <row r="9" spans="1:14" ht="13.95" thickBot="1">
      <c r="A9" s="608" t="s">
        <v>266</v>
      </c>
      <c r="B9" s="609" t="s">
        <v>208</v>
      </c>
      <c r="C9" s="609" t="s">
        <v>267</v>
      </c>
      <c r="D9" s="609" t="s">
        <v>217</v>
      </c>
      <c r="E9" s="609" t="s">
        <v>217</v>
      </c>
      <c r="F9" s="609"/>
      <c r="G9" s="609"/>
      <c r="H9" s="609" t="s">
        <v>194</v>
      </c>
      <c r="I9" s="609" t="s">
        <v>270</v>
      </c>
      <c r="J9" s="609" t="s">
        <v>193</v>
      </c>
      <c r="K9" s="609" t="s">
        <v>271</v>
      </c>
      <c r="L9" s="609" t="s">
        <v>272</v>
      </c>
      <c r="M9" s="609" t="s">
        <v>273</v>
      </c>
      <c r="N9" s="610"/>
    </row>
    <row r="10" spans="1:14" ht="13.5" thickBot="1">
      <c r="A10" s="844">
        <v>0</v>
      </c>
      <c r="B10" s="845" t="s">
        <v>115</v>
      </c>
      <c r="C10" s="846">
        <v>0</v>
      </c>
      <c r="D10" s="847">
        <v>0</v>
      </c>
      <c r="E10" s="847">
        <v>0</v>
      </c>
      <c r="F10" s="848"/>
      <c r="G10" s="849"/>
      <c r="H10" s="850">
        <v>0</v>
      </c>
      <c r="I10" s="851">
        <f t="shared" ref="I10:I15" si="0">(L10/48)*28.3</f>
        <v>0</v>
      </c>
      <c r="J10" s="850">
        <v>0</v>
      </c>
      <c r="K10" s="849">
        <f t="shared" ref="K10:K15" si="1">L10*0.0283</f>
        <v>0</v>
      </c>
      <c r="L10" s="611">
        <f t="shared" ref="L10:L15" si="2">IF(D10=0,0,(((D10/6.895)+14)*A10)/17.5)</f>
        <v>0</v>
      </c>
      <c r="M10" s="848">
        <f>IF(E10=0,0,IF(N5=0,0,((N5-E10)/N5)*100))</f>
        <v>0</v>
      </c>
      <c r="N10" s="852" t="s">
        <v>115</v>
      </c>
    </row>
    <row r="11" spans="1:14" ht="13.5" thickBot="1">
      <c r="A11" s="844">
        <v>0</v>
      </c>
      <c r="B11" s="845"/>
      <c r="C11" s="846" t="s">
        <v>115</v>
      </c>
      <c r="D11" s="847">
        <v>0</v>
      </c>
      <c r="E11" s="847" t="s">
        <v>115</v>
      </c>
      <c r="F11" s="848"/>
      <c r="G11" s="849"/>
      <c r="H11" s="850">
        <v>0</v>
      </c>
      <c r="I11" s="851">
        <f>(L11/48)*28.3</f>
        <v>0</v>
      </c>
      <c r="J11" s="850">
        <v>0</v>
      </c>
      <c r="K11" s="849">
        <f>L11*0.0283</f>
        <v>0</v>
      </c>
      <c r="L11" s="611">
        <f>IF(D11=0,0,(((D11/6.895)+14)*A11)/17.5)</f>
        <v>0</v>
      </c>
      <c r="M11" s="848">
        <f>IF(E11=0,0,IF(N5=0,0,((N5-E11)/N5)*100))</f>
        <v>0</v>
      </c>
      <c r="N11" s="852"/>
    </row>
    <row r="12" spans="1:14" ht="13.5" thickBot="1">
      <c r="A12" s="844">
        <v>0</v>
      </c>
      <c r="B12" s="845"/>
      <c r="C12" s="846"/>
      <c r="D12" s="847">
        <v>0</v>
      </c>
      <c r="E12" s="847" t="s">
        <v>115</v>
      </c>
      <c r="F12" s="848"/>
      <c r="G12" s="849"/>
      <c r="H12" s="850">
        <v>0</v>
      </c>
      <c r="I12" s="851">
        <f t="shared" si="0"/>
        <v>0</v>
      </c>
      <c r="J12" s="850">
        <v>0</v>
      </c>
      <c r="K12" s="849">
        <f t="shared" si="1"/>
        <v>0</v>
      </c>
      <c r="L12" s="611">
        <f t="shared" si="2"/>
        <v>0</v>
      </c>
      <c r="M12" s="848">
        <f>IF(E12=0,0,IF(N5=0,0,((N5-E12)/N5)*100))</f>
        <v>0</v>
      </c>
      <c r="N12" s="852"/>
    </row>
    <row r="13" spans="1:14" ht="13.5" thickBot="1">
      <c r="A13" s="844">
        <v>0</v>
      </c>
      <c r="B13" s="845"/>
      <c r="C13" s="846"/>
      <c r="D13" s="847">
        <v>0</v>
      </c>
      <c r="E13" s="847" t="s">
        <v>115</v>
      </c>
      <c r="F13" s="848"/>
      <c r="G13" s="849"/>
      <c r="H13" s="850">
        <v>0</v>
      </c>
      <c r="I13" s="851">
        <f t="shared" si="0"/>
        <v>0</v>
      </c>
      <c r="J13" s="850">
        <v>0</v>
      </c>
      <c r="K13" s="849">
        <f t="shared" si="1"/>
        <v>0</v>
      </c>
      <c r="L13" s="611">
        <f t="shared" si="2"/>
        <v>0</v>
      </c>
      <c r="M13" s="848">
        <f>IF(E13=0,0,IF(N5=0,0,((N5-E13)/N5)*100))</f>
        <v>0</v>
      </c>
      <c r="N13" s="852"/>
    </row>
    <row r="14" spans="1:14" ht="13.5" thickBot="1">
      <c r="A14" s="844">
        <v>0</v>
      </c>
      <c r="B14" s="845"/>
      <c r="C14" s="846"/>
      <c r="D14" s="847">
        <v>0</v>
      </c>
      <c r="E14" s="847" t="s">
        <v>115</v>
      </c>
      <c r="F14" s="848"/>
      <c r="G14" s="849"/>
      <c r="H14" s="850">
        <v>0</v>
      </c>
      <c r="I14" s="851">
        <f t="shared" si="0"/>
        <v>0</v>
      </c>
      <c r="J14" s="850">
        <v>0</v>
      </c>
      <c r="K14" s="849">
        <f t="shared" si="1"/>
        <v>0</v>
      </c>
      <c r="L14" s="611">
        <f t="shared" si="2"/>
        <v>0</v>
      </c>
      <c r="M14" s="848">
        <f>IF(E14=0,0,IF(N5=0,0,((N5-E14)/N5)*100))</f>
        <v>0</v>
      </c>
      <c r="N14" s="852"/>
    </row>
    <row r="15" spans="1:14" ht="13.5" thickBot="1">
      <c r="A15" s="853">
        <v>0</v>
      </c>
      <c r="B15" s="854"/>
      <c r="C15" s="855"/>
      <c r="D15" s="856">
        <v>0</v>
      </c>
      <c r="E15" s="856" t="s">
        <v>115</v>
      </c>
      <c r="F15" s="857"/>
      <c r="G15" s="858"/>
      <c r="H15" s="859">
        <v>0</v>
      </c>
      <c r="I15" s="860">
        <f t="shared" si="0"/>
        <v>0</v>
      </c>
      <c r="J15" s="859">
        <v>0</v>
      </c>
      <c r="K15" s="858">
        <f t="shared" si="1"/>
        <v>0</v>
      </c>
      <c r="L15" s="612">
        <f t="shared" si="2"/>
        <v>0</v>
      </c>
      <c r="M15" s="857">
        <f>IF(E15=0,0,IF(N5=0,0,((N5-E15)/N5)*100))</f>
        <v>0</v>
      </c>
      <c r="N15" s="861"/>
    </row>
    <row r="17" spans="1:14" ht="13.5" thickBot="1"/>
    <row r="18" spans="1:14">
      <c r="A18" s="2505" t="s">
        <v>965</v>
      </c>
      <c r="B18" s="2506"/>
      <c r="C18" s="2506"/>
      <c r="D18" s="2506"/>
      <c r="E18" s="2506"/>
      <c r="F18" s="2506"/>
      <c r="G18" s="2506"/>
      <c r="H18" s="2506"/>
      <c r="I18" s="2506"/>
      <c r="J18" s="2506"/>
      <c r="K18" s="2506"/>
      <c r="L18" s="2506"/>
      <c r="M18" s="2506"/>
      <c r="N18" s="2507"/>
    </row>
    <row r="19" spans="1:14">
      <c r="A19" s="2508"/>
      <c r="B19" s="2509"/>
      <c r="C19" s="2509"/>
      <c r="D19" s="2509"/>
      <c r="E19" s="2509"/>
      <c r="F19" s="2509"/>
      <c r="G19" s="2509"/>
      <c r="H19" s="2509"/>
      <c r="I19" s="2509"/>
      <c r="J19" s="2509"/>
      <c r="K19" s="2509"/>
      <c r="L19" s="2509"/>
      <c r="M19" s="2509"/>
      <c r="N19" s="2510"/>
    </row>
    <row r="20" spans="1:14" ht="13.75" thickBot="1">
      <c r="A20" s="599"/>
      <c r="D20" s="251" t="s">
        <v>995</v>
      </c>
      <c r="E20" s="251" t="s">
        <v>615</v>
      </c>
      <c r="F20" s="2502" t="s">
        <v>615</v>
      </c>
      <c r="G20" s="2502"/>
      <c r="N20" s="601"/>
    </row>
    <row r="21" spans="1:14" ht="13.95" thickBot="1">
      <c r="A21" s="862" t="s">
        <v>117</v>
      </c>
      <c r="B21" s="863"/>
      <c r="C21" s="863" t="s">
        <v>259</v>
      </c>
      <c r="D21" s="863" t="s">
        <v>204</v>
      </c>
      <c r="E21" s="864" t="s">
        <v>260</v>
      </c>
      <c r="F21" s="865" t="s">
        <v>261</v>
      </c>
      <c r="G21" s="866"/>
      <c r="H21" s="867" t="s">
        <v>262</v>
      </c>
      <c r="I21" s="868"/>
      <c r="J21" s="869"/>
      <c r="K21" s="863" t="s">
        <v>263</v>
      </c>
      <c r="L21" s="863" t="s">
        <v>263</v>
      </c>
      <c r="M21" s="863" t="s">
        <v>264</v>
      </c>
      <c r="N21" s="870" t="s">
        <v>265</v>
      </c>
    </row>
    <row r="22" spans="1:14" ht="13.95" thickBot="1">
      <c r="A22" s="871" t="s">
        <v>266</v>
      </c>
      <c r="B22" s="872" t="s">
        <v>208</v>
      </c>
      <c r="C22" s="872" t="s">
        <v>267</v>
      </c>
      <c r="D22" s="872" t="s">
        <v>217</v>
      </c>
      <c r="E22" s="872" t="s">
        <v>217</v>
      </c>
      <c r="F22" s="872" t="s">
        <v>268</v>
      </c>
      <c r="G22" s="872" t="s">
        <v>269</v>
      </c>
      <c r="H22" s="872" t="s">
        <v>194</v>
      </c>
      <c r="I22" s="872" t="s">
        <v>270</v>
      </c>
      <c r="J22" s="872" t="s">
        <v>193</v>
      </c>
      <c r="K22" s="872" t="s">
        <v>271</v>
      </c>
      <c r="L22" s="872" t="s">
        <v>272</v>
      </c>
      <c r="M22" s="872" t="s">
        <v>273</v>
      </c>
      <c r="N22" s="873"/>
    </row>
    <row r="23" spans="1:14" ht="13.5" thickBot="1">
      <c r="A23" s="874">
        <v>0</v>
      </c>
      <c r="B23" s="875">
        <v>0</v>
      </c>
      <c r="C23" s="876">
        <v>0</v>
      </c>
      <c r="D23" s="877">
        <v>0</v>
      </c>
      <c r="E23" s="877">
        <v>0</v>
      </c>
      <c r="F23" s="878">
        <v>0</v>
      </c>
      <c r="G23" s="879">
        <v>0</v>
      </c>
      <c r="H23" s="880" t="s">
        <v>115</v>
      </c>
      <c r="I23" s="881">
        <f t="shared" ref="I23:I28" si="3">(L23/48)*28.3</f>
        <v>0</v>
      </c>
      <c r="J23" s="880" t="s">
        <v>115</v>
      </c>
      <c r="K23" s="879">
        <f t="shared" ref="K23:K28" si="4">L23*0.0283</f>
        <v>0</v>
      </c>
      <c r="L23" s="613">
        <f t="shared" ref="L23:L28" si="5">IF(F23=0,IF(D23=0,0,((D23/6.895)+14)*A23/17.5),SQRT((F23+14)*G23)*(A23*0.031))</f>
        <v>0</v>
      </c>
      <c r="M23" s="882">
        <f>IF(E23=0,0,IF(N18=0,0,((N18-E23)/N18)*100))</f>
        <v>0</v>
      </c>
      <c r="N23" s="883" t="s">
        <v>115</v>
      </c>
    </row>
    <row r="24" spans="1:14" ht="13.5" thickBot="1">
      <c r="A24" s="874">
        <v>0</v>
      </c>
      <c r="B24" s="875">
        <v>0</v>
      </c>
      <c r="C24" s="876">
        <v>0</v>
      </c>
      <c r="D24" s="877">
        <v>0</v>
      </c>
      <c r="E24" s="877">
        <v>0</v>
      </c>
      <c r="F24" s="878">
        <v>0</v>
      </c>
      <c r="G24" s="879">
        <v>0</v>
      </c>
      <c r="H24" s="880"/>
      <c r="I24" s="881">
        <f t="shared" si="3"/>
        <v>0</v>
      </c>
      <c r="J24" s="880"/>
      <c r="K24" s="879">
        <f t="shared" si="4"/>
        <v>0</v>
      </c>
      <c r="L24" s="613">
        <f t="shared" si="5"/>
        <v>0</v>
      </c>
      <c r="M24" s="882">
        <f>IF(E24=0,0,IF(N18=0,0,((N18-E24)/N18)*100))</f>
        <v>0</v>
      </c>
      <c r="N24" s="883"/>
    </row>
    <row r="25" spans="1:14" ht="13.5" thickBot="1">
      <c r="A25" s="874">
        <v>0</v>
      </c>
      <c r="B25" s="875">
        <v>0</v>
      </c>
      <c r="C25" s="876">
        <v>0</v>
      </c>
      <c r="D25" s="877">
        <v>0</v>
      </c>
      <c r="E25" s="877"/>
      <c r="F25" s="878">
        <v>0</v>
      </c>
      <c r="G25" s="879">
        <v>0</v>
      </c>
      <c r="H25" s="880"/>
      <c r="I25" s="881">
        <f t="shared" si="3"/>
        <v>0</v>
      </c>
      <c r="J25" s="880"/>
      <c r="K25" s="879">
        <f t="shared" si="4"/>
        <v>0</v>
      </c>
      <c r="L25" s="613">
        <f t="shared" si="5"/>
        <v>0</v>
      </c>
      <c r="M25" s="882">
        <f>IF(E25=0,0,IF(N18=0,0,((N18-E25)/N18)*100))</f>
        <v>0</v>
      </c>
      <c r="N25" s="883"/>
    </row>
    <row r="26" spans="1:14" ht="13.5" thickBot="1">
      <c r="A26" s="874">
        <v>0</v>
      </c>
      <c r="B26" s="875">
        <v>0</v>
      </c>
      <c r="C26" s="876">
        <v>0</v>
      </c>
      <c r="D26" s="877">
        <v>0</v>
      </c>
      <c r="E26" s="877"/>
      <c r="F26" s="878">
        <v>0</v>
      </c>
      <c r="G26" s="879">
        <v>0</v>
      </c>
      <c r="H26" s="880"/>
      <c r="I26" s="881">
        <f t="shared" si="3"/>
        <v>0</v>
      </c>
      <c r="J26" s="880"/>
      <c r="K26" s="879">
        <f t="shared" si="4"/>
        <v>0</v>
      </c>
      <c r="L26" s="613">
        <f t="shared" si="5"/>
        <v>0</v>
      </c>
      <c r="M26" s="882">
        <f>IF(E26=0,0,IF(N18=0,0,((N18-E26)/N18)*100))</f>
        <v>0</v>
      </c>
      <c r="N26" s="883"/>
    </row>
    <row r="27" spans="1:14" ht="13.5" thickBot="1">
      <c r="A27" s="874">
        <v>0</v>
      </c>
      <c r="B27" s="875">
        <v>0</v>
      </c>
      <c r="C27" s="876">
        <v>0</v>
      </c>
      <c r="D27" s="877">
        <v>0</v>
      </c>
      <c r="E27" s="877"/>
      <c r="F27" s="878">
        <v>0</v>
      </c>
      <c r="G27" s="879">
        <v>0</v>
      </c>
      <c r="H27" s="880"/>
      <c r="I27" s="881">
        <f t="shared" si="3"/>
        <v>0</v>
      </c>
      <c r="J27" s="880"/>
      <c r="K27" s="879">
        <f t="shared" si="4"/>
        <v>0</v>
      </c>
      <c r="L27" s="613">
        <f t="shared" si="5"/>
        <v>0</v>
      </c>
      <c r="M27" s="882">
        <f>IF(E27=0,0,IF(N18=0,0,((N18-E27)/N18)*100))</f>
        <v>0</v>
      </c>
      <c r="N27" s="883"/>
    </row>
    <row r="28" spans="1:14" ht="13.5" thickBot="1">
      <c r="A28" s="884">
        <v>0</v>
      </c>
      <c r="B28" s="885">
        <v>0</v>
      </c>
      <c r="C28" s="886">
        <v>0</v>
      </c>
      <c r="D28" s="887">
        <v>0</v>
      </c>
      <c r="E28" s="887"/>
      <c r="F28" s="888">
        <v>0</v>
      </c>
      <c r="G28" s="889">
        <v>0</v>
      </c>
      <c r="H28" s="890"/>
      <c r="I28" s="891">
        <f t="shared" si="3"/>
        <v>0</v>
      </c>
      <c r="J28" s="890"/>
      <c r="K28" s="889">
        <f t="shared" si="4"/>
        <v>0</v>
      </c>
      <c r="L28" s="614">
        <f t="shared" si="5"/>
        <v>0</v>
      </c>
      <c r="M28" s="892">
        <f>IF(E28=0,0,IF(N18=0,0,((N18-E28)/N18)*100))</f>
        <v>0</v>
      </c>
      <c r="N28" s="893"/>
    </row>
  </sheetData>
  <mergeCells count="6">
    <mergeCell ref="A4:N4"/>
    <mergeCell ref="F20:G20"/>
    <mergeCell ref="F8:G8"/>
    <mergeCell ref="A18:N19"/>
    <mergeCell ref="A5:N6"/>
    <mergeCell ref="F7:G7"/>
  </mergeCells>
  <phoneticPr fontId="0" type="noConversion"/>
  <pageMargins left="0.75" right="0.75" top="1" bottom="1" header="0.5" footer="0.5"/>
  <pageSetup orientation="portrait" horizontalDpi="4294967293"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9393" r:id="rId4" name="Button 1">
              <controlPr defaultSize="0" print="0" autoFill="0" autoPict="0" macro="[0]!BACKTOMENU">
                <anchor moveWithCells="1">
                  <from>
                    <xdr:col>0</xdr:col>
                    <xdr:colOff>111579</xdr:colOff>
                    <xdr:row>0</xdr:row>
                    <xdr:rowOff>87086</xdr:rowOff>
                  </from>
                  <to>
                    <xdr:col>1</xdr:col>
                    <xdr:colOff>10886</xdr:colOff>
                    <xdr:row>1</xdr:row>
                    <xdr:rowOff>136071</xdr:rowOff>
                  </to>
                </anchor>
              </controlPr>
            </control>
          </mc:Choice>
        </mc:AlternateContent>
        <mc:AlternateContent xmlns:mc="http://schemas.openxmlformats.org/markup-compatibility/2006">
          <mc:Choice Requires="x14">
            <control shapeId="59394" r:id="rId5" name="Button 2">
              <controlPr defaultSize="0" print="0" autoFill="0" autoPict="0" macro="[0]!GOTOGASRATECALCULATOR">
                <anchor moveWithCells="1">
                  <from>
                    <xdr:col>3</xdr:col>
                    <xdr:colOff>100693</xdr:colOff>
                    <xdr:row>0</xdr:row>
                    <xdr:rowOff>106136</xdr:rowOff>
                  </from>
                  <to>
                    <xdr:col>6</xdr:col>
                    <xdr:colOff>223157</xdr:colOff>
                    <xdr:row>1</xdr:row>
                    <xdr:rowOff>155121</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38D7-868F-4511-BA4A-1459628E158D}">
  <sheetPr codeName="Sheet23"/>
  <dimension ref="A1:D48"/>
  <sheetViews>
    <sheetView workbookViewId="0">
      <pane ySplit="720" activePane="bottomLeft"/>
      <selection activeCell="E40" sqref="E40"/>
      <selection pane="bottomLeft" activeCell="B29" sqref="B29"/>
    </sheetView>
  </sheetViews>
  <sheetFormatPr defaultRowHeight="12.9"/>
  <cols>
    <col min="1" max="1" width="21.57421875" style="3" customWidth="1"/>
    <col min="2" max="4" width="15.69140625" customWidth="1"/>
  </cols>
  <sheetData>
    <row r="1" spans="1:4" ht="24" customHeight="1">
      <c r="A1" s="25" t="s">
        <v>871</v>
      </c>
      <c r="B1" s="1141" t="s">
        <v>914</v>
      </c>
      <c r="C1" s="1141" t="s">
        <v>915</v>
      </c>
      <c r="D1" s="1141" t="s">
        <v>916</v>
      </c>
    </row>
    <row r="3" spans="1:4">
      <c r="A3" s="3" t="s">
        <v>872</v>
      </c>
    </row>
    <row r="4" spans="1:4">
      <c r="A4" s="3" t="s">
        <v>873</v>
      </c>
    </row>
    <row r="5" spans="1:4">
      <c r="A5" s="3" t="s">
        <v>874</v>
      </c>
    </row>
    <row r="6" spans="1:4">
      <c r="A6" s="3" t="s">
        <v>875</v>
      </c>
    </row>
    <row r="7" spans="1:4">
      <c r="A7" s="3" t="s">
        <v>876</v>
      </c>
    </row>
    <row r="8" spans="1:4">
      <c r="A8" s="3" t="s">
        <v>877</v>
      </c>
    </row>
    <row r="9" spans="1:4">
      <c r="A9" s="3" t="s">
        <v>878</v>
      </c>
    </row>
    <row r="10" spans="1:4">
      <c r="A10" s="3" t="s">
        <v>879</v>
      </c>
    </row>
    <row r="11" spans="1:4">
      <c r="A11" s="3" t="s">
        <v>880</v>
      </c>
    </row>
    <row r="12" spans="1:4">
      <c r="A12" s="3" t="s">
        <v>881</v>
      </c>
    </row>
    <row r="13" spans="1:4">
      <c r="A13" s="3" t="s">
        <v>882</v>
      </c>
    </row>
    <row r="14" spans="1:4">
      <c r="A14" s="3" t="s">
        <v>883</v>
      </c>
    </row>
    <row r="16" spans="1:4">
      <c r="A16" s="3" t="s">
        <v>884</v>
      </c>
    </row>
    <row r="17" spans="1:1">
      <c r="A17" s="3" t="s">
        <v>885</v>
      </c>
    </row>
    <row r="18" spans="1:1">
      <c r="A18" s="3" t="s">
        <v>886</v>
      </c>
    </row>
    <row r="19" spans="1:1">
      <c r="A19" s="3" t="s">
        <v>887</v>
      </c>
    </row>
    <row r="20" spans="1:1">
      <c r="A20" s="3" t="s">
        <v>919</v>
      </c>
    </row>
    <row r="21" spans="1:1">
      <c r="A21" s="3" t="s">
        <v>888</v>
      </c>
    </row>
    <row r="22" spans="1:1">
      <c r="A22" s="3" t="s">
        <v>889</v>
      </c>
    </row>
    <row r="23" spans="1:1">
      <c r="A23" s="3" t="s">
        <v>890</v>
      </c>
    </row>
    <row r="24" spans="1:1">
      <c r="A24" s="3" t="s">
        <v>891</v>
      </c>
    </row>
    <row r="25" spans="1:1">
      <c r="A25" s="3" t="s">
        <v>892</v>
      </c>
    </row>
    <row r="26" spans="1:1">
      <c r="A26" s="3" t="s">
        <v>893</v>
      </c>
    </row>
    <row r="27" spans="1:1">
      <c r="A27" s="3" t="s">
        <v>894</v>
      </c>
    </row>
    <row r="28" spans="1:1">
      <c r="A28" s="3" t="s">
        <v>895</v>
      </c>
    </row>
    <row r="29" spans="1:1">
      <c r="A29" s="3" t="s">
        <v>896</v>
      </c>
    </row>
    <row r="30" spans="1:1">
      <c r="A30" s="3" t="s">
        <v>897</v>
      </c>
    </row>
    <row r="31" spans="1:1">
      <c r="A31" s="3" t="s">
        <v>898</v>
      </c>
    </row>
    <row r="32" spans="1:1">
      <c r="A32" s="3" t="s">
        <v>899</v>
      </c>
    </row>
    <row r="33" spans="1:1">
      <c r="A33" s="3" t="s">
        <v>900</v>
      </c>
    </row>
    <row r="34" spans="1:1">
      <c r="A34" s="3" t="s">
        <v>901</v>
      </c>
    </row>
    <row r="35" spans="1:1">
      <c r="A35" s="3" t="s">
        <v>902</v>
      </c>
    </row>
    <row r="36" spans="1:1">
      <c r="A36" s="3" t="s">
        <v>903</v>
      </c>
    </row>
    <row r="37" spans="1:1">
      <c r="A37" s="3" t="s">
        <v>667</v>
      </c>
    </row>
    <row r="38" spans="1:1">
      <c r="A38" s="3" t="s">
        <v>904</v>
      </c>
    </row>
    <row r="39" spans="1:1">
      <c r="A39" s="3" t="s">
        <v>905</v>
      </c>
    </row>
    <row r="40" spans="1:1">
      <c r="A40" s="3" t="s">
        <v>906</v>
      </c>
    </row>
    <row r="41" spans="1:1">
      <c r="A41" s="3" t="s">
        <v>907</v>
      </c>
    </row>
    <row r="42" spans="1:1">
      <c r="A42" s="3" t="s">
        <v>908</v>
      </c>
    </row>
    <row r="43" spans="1:1">
      <c r="A43" s="3" t="s">
        <v>207</v>
      </c>
    </row>
    <row r="44" spans="1:1">
      <c r="A44" s="3" t="s">
        <v>909</v>
      </c>
    </row>
    <row r="45" spans="1:1">
      <c r="A45" s="3" t="s">
        <v>910</v>
      </c>
    </row>
    <row r="46" spans="1:1">
      <c r="A46" s="3" t="s">
        <v>911</v>
      </c>
    </row>
    <row r="47" spans="1:1">
      <c r="A47" s="3" t="s">
        <v>912</v>
      </c>
    </row>
    <row r="48" spans="1:1">
      <c r="A48" s="3" t="s">
        <v>913</v>
      </c>
    </row>
  </sheetData>
  <phoneticPr fontId="118" type="noConversion"/>
  <pageMargins left="0.75" right="0.75" top="1" bottom="1" header="0.5" footer="0.5"/>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7586" r:id="rId3" name="Check Box 2">
              <controlPr defaultSize="0" autoFill="0" autoLine="0" autoPict="0">
                <anchor moveWithCells="1">
                  <from>
                    <xdr:col>2</xdr:col>
                    <xdr:colOff>342900</xdr:colOff>
                    <xdr:row>1</xdr:row>
                    <xdr:rowOff>125186</xdr:rowOff>
                  </from>
                  <to>
                    <xdr:col>2</xdr:col>
                    <xdr:colOff>655864</xdr:colOff>
                    <xdr:row>3</xdr:row>
                    <xdr:rowOff>19050</xdr:rowOff>
                  </to>
                </anchor>
              </controlPr>
            </control>
          </mc:Choice>
        </mc:AlternateContent>
        <mc:AlternateContent xmlns:mc="http://schemas.openxmlformats.org/markup-compatibility/2006">
          <mc:Choice Requires="x14">
            <control shapeId="67587" r:id="rId4" name="Check Box 3">
              <controlPr defaultSize="0" autoFill="0" autoLine="0" autoPict="0">
                <anchor moveWithCells="1">
                  <from>
                    <xdr:col>3</xdr:col>
                    <xdr:colOff>342900</xdr:colOff>
                    <xdr:row>1</xdr:row>
                    <xdr:rowOff>125186</xdr:rowOff>
                  </from>
                  <to>
                    <xdr:col>3</xdr:col>
                    <xdr:colOff>655864</xdr:colOff>
                    <xdr:row>3</xdr:row>
                    <xdr:rowOff>19050</xdr:rowOff>
                  </to>
                </anchor>
              </controlPr>
            </control>
          </mc:Choice>
        </mc:AlternateContent>
        <mc:AlternateContent xmlns:mc="http://schemas.openxmlformats.org/markup-compatibility/2006">
          <mc:Choice Requires="x14">
            <control shapeId="67588" r:id="rId5" name="Check Box 4">
              <controlPr defaultSize="0" autoFill="0" autoLine="0" autoPict="0" macro="[0]!GoToRigInspection">
                <anchor moveWithCells="1">
                  <from>
                    <xdr:col>1</xdr:col>
                    <xdr:colOff>443593</xdr:colOff>
                    <xdr:row>2</xdr:row>
                    <xdr:rowOff>125186</xdr:rowOff>
                  </from>
                  <to>
                    <xdr:col>1</xdr:col>
                    <xdr:colOff>756557</xdr:colOff>
                    <xdr:row>4</xdr:row>
                    <xdr:rowOff>19050</xdr:rowOff>
                  </to>
                </anchor>
              </controlPr>
            </control>
          </mc:Choice>
        </mc:AlternateContent>
        <mc:AlternateContent xmlns:mc="http://schemas.openxmlformats.org/markup-compatibility/2006">
          <mc:Choice Requires="x14">
            <control shapeId="67589" r:id="rId6" name="Check Box 5">
              <controlPr defaultSize="0" autoFill="0" autoLine="0" autoPict="0">
                <anchor moveWithCells="1">
                  <from>
                    <xdr:col>2</xdr:col>
                    <xdr:colOff>342900</xdr:colOff>
                    <xdr:row>2</xdr:row>
                    <xdr:rowOff>125186</xdr:rowOff>
                  </from>
                  <to>
                    <xdr:col>2</xdr:col>
                    <xdr:colOff>655864</xdr:colOff>
                    <xdr:row>4</xdr:row>
                    <xdr:rowOff>19050</xdr:rowOff>
                  </to>
                </anchor>
              </controlPr>
            </control>
          </mc:Choice>
        </mc:AlternateContent>
        <mc:AlternateContent xmlns:mc="http://schemas.openxmlformats.org/markup-compatibility/2006">
          <mc:Choice Requires="x14">
            <control shapeId="67590" r:id="rId7" name="Check Box 6">
              <controlPr defaultSize="0" autoFill="0" autoLine="0" autoPict="0">
                <anchor moveWithCells="1">
                  <from>
                    <xdr:col>3</xdr:col>
                    <xdr:colOff>342900</xdr:colOff>
                    <xdr:row>2</xdr:row>
                    <xdr:rowOff>125186</xdr:rowOff>
                  </from>
                  <to>
                    <xdr:col>3</xdr:col>
                    <xdr:colOff>655864</xdr:colOff>
                    <xdr:row>4</xdr:row>
                    <xdr:rowOff>19050</xdr:rowOff>
                  </to>
                </anchor>
              </controlPr>
            </control>
          </mc:Choice>
        </mc:AlternateContent>
        <mc:AlternateContent xmlns:mc="http://schemas.openxmlformats.org/markup-compatibility/2006">
          <mc:Choice Requires="x14">
            <control shapeId="67591" r:id="rId8" name="Check Box 7">
              <controlPr defaultSize="0" autoFill="0" autoLine="0" autoPict="0" macro="[0]!GoToERPsweet">
                <anchor moveWithCells="1">
                  <from>
                    <xdr:col>1</xdr:col>
                    <xdr:colOff>443593</xdr:colOff>
                    <xdr:row>3</xdr:row>
                    <xdr:rowOff>125186</xdr:rowOff>
                  </from>
                  <to>
                    <xdr:col>1</xdr:col>
                    <xdr:colOff>756557</xdr:colOff>
                    <xdr:row>5</xdr:row>
                    <xdr:rowOff>19050</xdr:rowOff>
                  </to>
                </anchor>
              </controlPr>
            </control>
          </mc:Choice>
        </mc:AlternateContent>
        <mc:AlternateContent xmlns:mc="http://schemas.openxmlformats.org/markup-compatibility/2006">
          <mc:Choice Requires="x14">
            <control shapeId="67592" r:id="rId9" name="Check Box 8">
              <controlPr defaultSize="0" autoFill="0" autoLine="0" autoPict="0">
                <anchor moveWithCells="1">
                  <from>
                    <xdr:col>2</xdr:col>
                    <xdr:colOff>342900</xdr:colOff>
                    <xdr:row>3</xdr:row>
                    <xdr:rowOff>125186</xdr:rowOff>
                  </from>
                  <to>
                    <xdr:col>2</xdr:col>
                    <xdr:colOff>655864</xdr:colOff>
                    <xdr:row>5</xdr:row>
                    <xdr:rowOff>19050</xdr:rowOff>
                  </to>
                </anchor>
              </controlPr>
            </control>
          </mc:Choice>
        </mc:AlternateContent>
        <mc:AlternateContent xmlns:mc="http://schemas.openxmlformats.org/markup-compatibility/2006">
          <mc:Choice Requires="x14">
            <control shapeId="67593" r:id="rId10" name="Check Box 9">
              <controlPr defaultSize="0" autoFill="0" autoLine="0" autoPict="0">
                <anchor moveWithCells="1">
                  <from>
                    <xdr:col>3</xdr:col>
                    <xdr:colOff>342900</xdr:colOff>
                    <xdr:row>3</xdr:row>
                    <xdr:rowOff>125186</xdr:rowOff>
                  </from>
                  <to>
                    <xdr:col>3</xdr:col>
                    <xdr:colOff>655864</xdr:colOff>
                    <xdr:row>5</xdr:row>
                    <xdr:rowOff>19050</xdr:rowOff>
                  </to>
                </anchor>
              </controlPr>
            </control>
          </mc:Choice>
        </mc:AlternateContent>
        <mc:AlternateContent xmlns:mc="http://schemas.openxmlformats.org/markup-compatibility/2006">
          <mc:Choice Requires="x14">
            <control shapeId="67594" r:id="rId11" name="Check Box 10">
              <controlPr defaultSize="0" autoFill="0" autoLine="0" autoPict="0">
                <anchor moveWithCells="1">
                  <from>
                    <xdr:col>1</xdr:col>
                    <xdr:colOff>443593</xdr:colOff>
                    <xdr:row>4</xdr:row>
                    <xdr:rowOff>125186</xdr:rowOff>
                  </from>
                  <to>
                    <xdr:col>1</xdr:col>
                    <xdr:colOff>756557</xdr:colOff>
                    <xdr:row>6</xdr:row>
                    <xdr:rowOff>19050</xdr:rowOff>
                  </to>
                </anchor>
              </controlPr>
            </control>
          </mc:Choice>
        </mc:AlternateContent>
        <mc:AlternateContent xmlns:mc="http://schemas.openxmlformats.org/markup-compatibility/2006">
          <mc:Choice Requires="x14">
            <control shapeId="67595" r:id="rId12" name="Check Box 11">
              <controlPr defaultSize="0" autoFill="0" autoLine="0" autoPict="0">
                <anchor moveWithCells="1">
                  <from>
                    <xdr:col>2</xdr:col>
                    <xdr:colOff>342900</xdr:colOff>
                    <xdr:row>4</xdr:row>
                    <xdr:rowOff>125186</xdr:rowOff>
                  </from>
                  <to>
                    <xdr:col>2</xdr:col>
                    <xdr:colOff>655864</xdr:colOff>
                    <xdr:row>6</xdr:row>
                    <xdr:rowOff>19050</xdr:rowOff>
                  </to>
                </anchor>
              </controlPr>
            </control>
          </mc:Choice>
        </mc:AlternateContent>
        <mc:AlternateContent xmlns:mc="http://schemas.openxmlformats.org/markup-compatibility/2006">
          <mc:Choice Requires="x14">
            <control shapeId="67596" r:id="rId13" name="Check Box 12">
              <controlPr defaultSize="0" autoFill="0" autoLine="0" autoPict="0">
                <anchor moveWithCells="1">
                  <from>
                    <xdr:col>3</xdr:col>
                    <xdr:colOff>342900</xdr:colOff>
                    <xdr:row>4</xdr:row>
                    <xdr:rowOff>125186</xdr:rowOff>
                  </from>
                  <to>
                    <xdr:col>3</xdr:col>
                    <xdr:colOff>655864</xdr:colOff>
                    <xdr:row>6</xdr:row>
                    <xdr:rowOff>19050</xdr:rowOff>
                  </to>
                </anchor>
              </controlPr>
            </control>
          </mc:Choice>
        </mc:AlternateContent>
        <mc:AlternateContent xmlns:mc="http://schemas.openxmlformats.org/markup-compatibility/2006">
          <mc:Choice Requires="x14">
            <control shapeId="67597" r:id="rId14" name="Check Box 13">
              <controlPr defaultSize="0" autoFill="0" autoLine="0" autoPict="0" macro="[0]!GoToERPsour">
                <anchor moveWithCells="1">
                  <from>
                    <xdr:col>1</xdr:col>
                    <xdr:colOff>443593</xdr:colOff>
                    <xdr:row>5</xdr:row>
                    <xdr:rowOff>125186</xdr:rowOff>
                  </from>
                  <to>
                    <xdr:col>1</xdr:col>
                    <xdr:colOff>756557</xdr:colOff>
                    <xdr:row>7</xdr:row>
                    <xdr:rowOff>19050</xdr:rowOff>
                  </to>
                </anchor>
              </controlPr>
            </control>
          </mc:Choice>
        </mc:AlternateContent>
        <mc:AlternateContent xmlns:mc="http://schemas.openxmlformats.org/markup-compatibility/2006">
          <mc:Choice Requires="x14">
            <control shapeId="67598" r:id="rId15" name="Check Box 14">
              <controlPr defaultSize="0" autoFill="0" autoLine="0" autoPict="0">
                <anchor moveWithCells="1">
                  <from>
                    <xdr:col>2</xdr:col>
                    <xdr:colOff>342900</xdr:colOff>
                    <xdr:row>5</xdr:row>
                    <xdr:rowOff>125186</xdr:rowOff>
                  </from>
                  <to>
                    <xdr:col>2</xdr:col>
                    <xdr:colOff>655864</xdr:colOff>
                    <xdr:row>7</xdr:row>
                    <xdr:rowOff>19050</xdr:rowOff>
                  </to>
                </anchor>
              </controlPr>
            </control>
          </mc:Choice>
        </mc:AlternateContent>
        <mc:AlternateContent xmlns:mc="http://schemas.openxmlformats.org/markup-compatibility/2006">
          <mc:Choice Requires="x14">
            <control shapeId="67599" r:id="rId16" name="Check Box 15">
              <controlPr defaultSize="0" autoFill="0" autoLine="0" autoPict="0">
                <anchor moveWithCells="1">
                  <from>
                    <xdr:col>3</xdr:col>
                    <xdr:colOff>342900</xdr:colOff>
                    <xdr:row>5</xdr:row>
                    <xdr:rowOff>125186</xdr:rowOff>
                  </from>
                  <to>
                    <xdr:col>3</xdr:col>
                    <xdr:colOff>655864</xdr:colOff>
                    <xdr:row>7</xdr:row>
                    <xdr:rowOff>19050</xdr:rowOff>
                  </to>
                </anchor>
              </controlPr>
            </control>
          </mc:Choice>
        </mc:AlternateContent>
        <mc:AlternateContent xmlns:mc="http://schemas.openxmlformats.org/markup-compatibility/2006">
          <mc:Choice Requires="x14">
            <control shapeId="67601" r:id="rId17" name="Check Box 17">
              <controlPr defaultSize="0" autoFill="0" autoLine="0" autoPict="0">
                <anchor moveWithCells="1">
                  <from>
                    <xdr:col>2</xdr:col>
                    <xdr:colOff>342900</xdr:colOff>
                    <xdr:row>6</xdr:row>
                    <xdr:rowOff>125186</xdr:rowOff>
                  </from>
                  <to>
                    <xdr:col>2</xdr:col>
                    <xdr:colOff>655864</xdr:colOff>
                    <xdr:row>8</xdr:row>
                    <xdr:rowOff>19050</xdr:rowOff>
                  </to>
                </anchor>
              </controlPr>
            </control>
          </mc:Choice>
        </mc:AlternateContent>
        <mc:AlternateContent xmlns:mc="http://schemas.openxmlformats.org/markup-compatibility/2006">
          <mc:Choice Requires="x14">
            <control shapeId="67602" r:id="rId18" name="Check Box 18">
              <controlPr defaultSize="0" autoFill="0" autoLine="0" autoPict="0">
                <anchor moveWithCells="1">
                  <from>
                    <xdr:col>3</xdr:col>
                    <xdr:colOff>342900</xdr:colOff>
                    <xdr:row>6</xdr:row>
                    <xdr:rowOff>125186</xdr:rowOff>
                  </from>
                  <to>
                    <xdr:col>3</xdr:col>
                    <xdr:colOff>655864</xdr:colOff>
                    <xdr:row>8</xdr:row>
                    <xdr:rowOff>19050</xdr:rowOff>
                  </to>
                </anchor>
              </controlPr>
            </control>
          </mc:Choice>
        </mc:AlternateContent>
        <mc:AlternateContent xmlns:mc="http://schemas.openxmlformats.org/markup-compatibility/2006">
          <mc:Choice Requires="x14">
            <control shapeId="67604" r:id="rId19" name="Check Box 20">
              <controlPr defaultSize="0" autoFill="0" autoLine="0" autoPict="0">
                <anchor moveWithCells="1">
                  <from>
                    <xdr:col>2</xdr:col>
                    <xdr:colOff>342900</xdr:colOff>
                    <xdr:row>7</xdr:row>
                    <xdr:rowOff>125186</xdr:rowOff>
                  </from>
                  <to>
                    <xdr:col>2</xdr:col>
                    <xdr:colOff>655864</xdr:colOff>
                    <xdr:row>9</xdr:row>
                    <xdr:rowOff>19050</xdr:rowOff>
                  </to>
                </anchor>
              </controlPr>
            </control>
          </mc:Choice>
        </mc:AlternateContent>
        <mc:AlternateContent xmlns:mc="http://schemas.openxmlformats.org/markup-compatibility/2006">
          <mc:Choice Requires="x14">
            <control shapeId="67605" r:id="rId20" name="Check Box 21">
              <controlPr defaultSize="0" autoFill="0" autoLine="0" autoPict="0">
                <anchor moveWithCells="1">
                  <from>
                    <xdr:col>3</xdr:col>
                    <xdr:colOff>342900</xdr:colOff>
                    <xdr:row>7</xdr:row>
                    <xdr:rowOff>125186</xdr:rowOff>
                  </from>
                  <to>
                    <xdr:col>3</xdr:col>
                    <xdr:colOff>655864</xdr:colOff>
                    <xdr:row>9</xdr:row>
                    <xdr:rowOff>19050</xdr:rowOff>
                  </to>
                </anchor>
              </controlPr>
            </control>
          </mc:Choice>
        </mc:AlternateContent>
        <mc:AlternateContent xmlns:mc="http://schemas.openxmlformats.org/markup-compatibility/2006">
          <mc:Choice Requires="x14">
            <control shapeId="67606" r:id="rId21" name="Check Box 22">
              <controlPr defaultSize="0" autoFill="0" autoLine="0" autoPict="0" macro="[0]!GOTOSCVF">
                <anchor moveWithCells="1">
                  <from>
                    <xdr:col>1</xdr:col>
                    <xdr:colOff>443593</xdr:colOff>
                    <xdr:row>8</xdr:row>
                    <xdr:rowOff>125186</xdr:rowOff>
                  </from>
                  <to>
                    <xdr:col>1</xdr:col>
                    <xdr:colOff>756557</xdr:colOff>
                    <xdr:row>10</xdr:row>
                    <xdr:rowOff>19050</xdr:rowOff>
                  </to>
                </anchor>
              </controlPr>
            </control>
          </mc:Choice>
        </mc:AlternateContent>
        <mc:AlternateContent xmlns:mc="http://schemas.openxmlformats.org/markup-compatibility/2006">
          <mc:Choice Requires="x14">
            <control shapeId="67607" r:id="rId22" name="Check Box 23">
              <controlPr defaultSize="0" autoFill="0" autoLine="0" autoPict="0">
                <anchor moveWithCells="1">
                  <from>
                    <xdr:col>2</xdr:col>
                    <xdr:colOff>342900</xdr:colOff>
                    <xdr:row>8</xdr:row>
                    <xdr:rowOff>125186</xdr:rowOff>
                  </from>
                  <to>
                    <xdr:col>2</xdr:col>
                    <xdr:colOff>655864</xdr:colOff>
                    <xdr:row>10</xdr:row>
                    <xdr:rowOff>19050</xdr:rowOff>
                  </to>
                </anchor>
              </controlPr>
            </control>
          </mc:Choice>
        </mc:AlternateContent>
        <mc:AlternateContent xmlns:mc="http://schemas.openxmlformats.org/markup-compatibility/2006">
          <mc:Choice Requires="x14">
            <control shapeId="67608" r:id="rId23" name="Check Box 24">
              <controlPr defaultSize="0" autoFill="0" autoLine="0" autoPict="0">
                <anchor moveWithCells="1">
                  <from>
                    <xdr:col>3</xdr:col>
                    <xdr:colOff>342900</xdr:colOff>
                    <xdr:row>8</xdr:row>
                    <xdr:rowOff>125186</xdr:rowOff>
                  </from>
                  <to>
                    <xdr:col>3</xdr:col>
                    <xdr:colOff>655864</xdr:colOff>
                    <xdr:row>10</xdr:row>
                    <xdr:rowOff>19050</xdr:rowOff>
                  </to>
                </anchor>
              </controlPr>
            </control>
          </mc:Choice>
        </mc:AlternateContent>
        <mc:AlternateContent xmlns:mc="http://schemas.openxmlformats.org/markup-compatibility/2006">
          <mc:Choice Requires="x14">
            <control shapeId="67610" r:id="rId24" name="Check Box 26">
              <controlPr defaultSize="0" autoFill="0" autoLine="0" autoPict="0">
                <anchor moveWithCells="1">
                  <from>
                    <xdr:col>2</xdr:col>
                    <xdr:colOff>342900</xdr:colOff>
                    <xdr:row>9</xdr:row>
                    <xdr:rowOff>125186</xdr:rowOff>
                  </from>
                  <to>
                    <xdr:col>2</xdr:col>
                    <xdr:colOff>655864</xdr:colOff>
                    <xdr:row>11</xdr:row>
                    <xdr:rowOff>19050</xdr:rowOff>
                  </to>
                </anchor>
              </controlPr>
            </control>
          </mc:Choice>
        </mc:AlternateContent>
        <mc:AlternateContent xmlns:mc="http://schemas.openxmlformats.org/markup-compatibility/2006">
          <mc:Choice Requires="x14">
            <control shapeId="67611" r:id="rId25" name="Check Box 27">
              <controlPr defaultSize="0" autoFill="0" autoLine="0" autoPict="0">
                <anchor moveWithCells="1">
                  <from>
                    <xdr:col>3</xdr:col>
                    <xdr:colOff>342900</xdr:colOff>
                    <xdr:row>9</xdr:row>
                    <xdr:rowOff>125186</xdr:rowOff>
                  </from>
                  <to>
                    <xdr:col>3</xdr:col>
                    <xdr:colOff>655864</xdr:colOff>
                    <xdr:row>11</xdr:row>
                    <xdr:rowOff>19050</xdr:rowOff>
                  </to>
                </anchor>
              </controlPr>
            </control>
          </mc:Choice>
        </mc:AlternateContent>
        <mc:AlternateContent xmlns:mc="http://schemas.openxmlformats.org/markup-compatibility/2006">
          <mc:Choice Requires="x14">
            <control shapeId="67613" r:id="rId26" name="Check Box 29">
              <controlPr defaultSize="0" autoFill="0" autoLine="0" autoPict="0">
                <anchor moveWithCells="1">
                  <from>
                    <xdr:col>2</xdr:col>
                    <xdr:colOff>342900</xdr:colOff>
                    <xdr:row>10</xdr:row>
                    <xdr:rowOff>125186</xdr:rowOff>
                  </from>
                  <to>
                    <xdr:col>2</xdr:col>
                    <xdr:colOff>655864</xdr:colOff>
                    <xdr:row>12</xdr:row>
                    <xdr:rowOff>19050</xdr:rowOff>
                  </to>
                </anchor>
              </controlPr>
            </control>
          </mc:Choice>
        </mc:AlternateContent>
        <mc:AlternateContent xmlns:mc="http://schemas.openxmlformats.org/markup-compatibility/2006">
          <mc:Choice Requires="x14">
            <control shapeId="67614" r:id="rId27" name="Check Box 30">
              <controlPr defaultSize="0" autoFill="0" autoLine="0" autoPict="0">
                <anchor moveWithCells="1">
                  <from>
                    <xdr:col>3</xdr:col>
                    <xdr:colOff>342900</xdr:colOff>
                    <xdr:row>10</xdr:row>
                    <xdr:rowOff>125186</xdr:rowOff>
                  </from>
                  <to>
                    <xdr:col>3</xdr:col>
                    <xdr:colOff>655864</xdr:colOff>
                    <xdr:row>12</xdr:row>
                    <xdr:rowOff>19050</xdr:rowOff>
                  </to>
                </anchor>
              </controlPr>
            </control>
          </mc:Choice>
        </mc:AlternateContent>
        <mc:AlternateContent xmlns:mc="http://schemas.openxmlformats.org/markup-compatibility/2006">
          <mc:Choice Requires="x14">
            <control shapeId="67616" r:id="rId28" name="Check Box 32">
              <controlPr defaultSize="0" autoFill="0" autoLine="0" autoPict="0">
                <anchor moveWithCells="1">
                  <from>
                    <xdr:col>2</xdr:col>
                    <xdr:colOff>342900</xdr:colOff>
                    <xdr:row>11</xdr:row>
                    <xdr:rowOff>125186</xdr:rowOff>
                  </from>
                  <to>
                    <xdr:col>2</xdr:col>
                    <xdr:colOff>655864</xdr:colOff>
                    <xdr:row>13</xdr:row>
                    <xdr:rowOff>19050</xdr:rowOff>
                  </to>
                </anchor>
              </controlPr>
            </control>
          </mc:Choice>
        </mc:AlternateContent>
        <mc:AlternateContent xmlns:mc="http://schemas.openxmlformats.org/markup-compatibility/2006">
          <mc:Choice Requires="x14">
            <control shapeId="67617" r:id="rId29" name="Check Box 33">
              <controlPr defaultSize="0" autoFill="0" autoLine="0" autoPict="0">
                <anchor moveWithCells="1">
                  <from>
                    <xdr:col>3</xdr:col>
                    <xdr:colOff>342900</xdr:colOff>
                    <xdr:row>11</xdr:row>
                    <xdr:rowOff>125186</xdr:rowOff>
                  </from>
                  <to>
                    <xdr:col>3</xdr:col>
                    <xdr:colOff>655864</xdr:colOff>
                    <xdr:row>13</xdr:row>
                    <xdr:rowOff>19050</xdr:rowOff>
                  </to>
                </anchor>
              </controlPr>
            </control>
          </mc:Choice>
        </mc:AlternateContent>
        <mc:AlternateContent xmlns:mc="http://schemas.openxmlformats.org/markup-compatibility/2006">
          <mc:Choice Requires="x14">
            <control shapeId="67618" r:id="rId30" name="Check Box 34">
              <controlPr defaultSize="0" autoFill="0" autoLine="0" autoPict="0" macro="[0]!GoToCBLevaluation">
                <anchor moveWithCells="1">
                  <from>
                    <xdr:col>1</xdr:col>
                    <xdr:colOff>443593</xdr:colOff>
                    <xdr:row>12</xdr:row>
                    <xdr:rowOff>125186</xdr:rowOff>
                  </from>
                  <to>
                    <xdr:col>1</xdr:col>
                    <xdr:colOff>756557</xdr:colOff>
                    <xdr:row>14</xdr:row>
                    <xdr:rowOff>19050</xdr:rowOff>
                  </to>
                </anchor>
              </controlPr>
            </control>
          </mc:Choice>
        </mc:AlternateContent>
        <mc:AlternateContent xmlns:mc="http://schemas.openxmlformats.org/markup-compatibility/2006">
          <mc:Choice Requires="x14">
            <control shapeId="67619" r:id="rId31" name="Check Box 35">
              <controlPr defaultSize="0" autoFill="0" autoLine="0" autoPict="0">
                <anchor moveWithCells="1">
                  <from>
                    <xdr:col>2</xdr:col>
                    <xdr:colOff>342900</xdr:colOff>
                    <xdr:row>12</xdr:row>
                    <xdr:rowOff>125186</xdr:rowOff>
                  </from>
                  <to>
                    <xdr:col>2</xdr:col>
                    <xdr:colOff>655864</xdr:colOff>
                    <xdr:row>14</xdr:row>
                    <xdr:rowOff>19050</xdr:rowOff>
                  </to>
                </anchor>
              </controlPr>
            </control>
          </mc:Choice>
        </mc:AlternateContent>
        <mc:AlternateContent xmlns:mc="http://schemas.openxmlformats.org/markup-compatibility/2006">
          <mc:Choice Requires="x14">
            <control shapeId="67620" r:id="rId32" name="Check Box 36">
              <controlPr defaultSize="0" autoFill="0" autoLine="0" autoPict="0">
                <anchor moveWithCells="1">
                  <from>
                    <xdr:col>3</xdr:col>
                    <xdr:colOff>342900</xdr:colOff>
                    <xdr:row>12</xdr:row>
                    <xdr:rowOff>125186</xdr:rowOff>
                  </from>
                  <to>
                    <xdr:col>3</xdr:col>
                    <xdr:colOff>655864</xdr:colOff>
                    <xdr:row>14</xdr:row>
                    <xdr:rowOff>19050</xdr:rowOff>
                  </to>
                </anchor>
              </controlPr>
            </control>
          </mc:Choice>
        </mc:AlternateContent>
        <mc:AlternateContent xmlns:mc="http://schemas.openxmlformats.org/markup-compatibility/2006">
          <mc:Choice Requires="x14">
            <control shapeId="67621" r:id="rId33" name="Check Box 37">
              <controlPr defaultSize="0" autoFill="0" autoLine="0" autoPict="0" macro="[0]!GOTOSUMMARY">
                <anchor moveWithCells="1">
                  <from>
                    <xdr:col>1</xdr:col>
                    <xdr:colOff>443593</xdr:colOff>
                    <xdr:row>14</xdr:row>
                    <xdr:rowOff>125186</xdr:rowOff>
                  </from>
                  <to>
                    <xdr:col>1</xdr:col>
                    <xdr:colOff>756557</xdr:colOff>
                    <xdr:row>16</xdr:row>
                    <xdr:rowOff>19050</xdr:rowOff>
                  </to>
                </anchor>
              </controlPr>
            </control>
          </mc:Choice>
        </mc:AlternateContent>
        <mc:AlternateContent xmlns:mc="http://schemas.openxmlformats.org/markup-compatibility/2006">
          <mc:Choice Requires="x14">
            <control shapeId="67622" r:id="rId34" name="Check Box 38">
              <controlPr defaultSize="0" autoFill="0" autoLine="0" autoPict="0">
                <anchor moveWithCells="1">
                  <from>
                    <xdr:col>2</xdr:col>
                    <xdr:colOff>342900</xdr:colOff>
                    <xdr:row>14</xdr:row>
                    <xdr:rowOff>125186</xdr:rowOff>
                  </from>
                  <to>
                    <xdr:col>2</xdr:col>
                    <xdr:colOff>655864</xdr:colOff>
                    <xdr:row>16</xdr:row>
                    <xdr:rowOff>19050</xdr:rowOff>
                  </to>
                </anchor>
              </controlPr>
            </control>
          </mc:Choice>
        </mc:AlternateContent>
        <mc:AlternateContent xmlns:mc="http://schemas.openxmlformats.org/markup-compatibility/2006">
          <mc:Choice Requires="x14">
            <control shapeId="67623" r:id="rId35" name="Check Box 39">
              <controlPr defaultSize="0" autoFill="0" autoLine="0" autoPict="0">
                <anchor moveWithCells="1">
                  <from>
                    <xdr:col>3</xdr:col>
                    <xdr:colOff>342900</xdr:colOff>
                    <xdr:row>14</xdr:row>
                    <xdr:rowOff>125186</xdr:rowOff>
                  </from>
                  <to>
                    <xdr:col>3</xdr:col>
                    <xdr:colOff>655864</xdr:colOff>
                    <xdr:row>16</xdr:row>
                    <xdr:rowOff>19050</xdr:rowOff>
                  </to>
                </anchor>
              </controlPr>
            </control>
          </mc:Choice>
        </mc:AlternateContent>
        <mc:AlternateContent xmlns:mc="http://schemas.openxmlformats.org/markup-compatibility/2006">
          <mc:Choice Requires="x14">
            <control shapeId="67624" r:id="rId36" name="Check Box 40">
              <controlPr defaultSize="0" autoFill="0" autoLine="0" autoPict="0" macro="[0]!GoToCoverandIndex">
                <anchor moveWithCells="1">
                  <from>
                    <xdr:col>1</xdr:col>
                    <xdr:colOff>443593</xdr:colOff>
                    <xdr:row>15</xdr:row>
                    <xdr:rowOff>125186</xdr:rowOff>
                  </from>
                  <to>
                    <xdr:col>1</xdr:col>
                    <xdr:colOff>756557</xdr:colOff>
                    <xdr:row>17</xdr:row>
                    <xdr:rowOff>19050</xdr:rowOff>
                  </to>
                </anchor>
              </controlPr>
            </control>
          </mc:Choice>
        </mc:AlternateContent>
        <mc:AlternateContent xmlns:mc="http://schemas.openxmlformats.org/markup-compatibility/2006">
          <mc:Choice Requires="x14">
            <control shapeId="67625" r:id="rId37" name="Check Box 41">
              <controlPr defaultSize="0" autoFill="0" autoLine="0" autoPict="0">
                <anchor moveWithCells="1">
                  <from>
                    <xdr:col>2</xdr:col>
                    <xdr:colOff>342900</xdr:colOff>
                    <xdr:row>15</xdr:row>
                    <xdr:rowOff>125186</xdr:rowOff>
                  </from>
                  <to>
                    <xdr:col>2</xdr:col>
                    <xdr:colOff>655864</xdr:colOff>
                    <xdr:row>17</xdr:row>
                    <xdr:rowOff>19050</xdr:rowOff>
                  </to>
                </anchor>
              </controlPr>
            </control>
          </mc:Choice>
        </mc:AlternateContent>
        <mc:AlternateContent xmlns:mc="http://schemas.openxmlformats.org/markup-compatibility/2006">
          <mc:Choice Requires="x14">
            <control shapeId="67626" r:id="rId38" name="Check Box 42">
              <controlPr defaultSize="0" autoFill="0" autoLine="0" autoPict="0">
                <anchor moveWithCells="1">
                  <from>
                    <xdr:col>3</xdr:col>
                    <xdr:colOff>342900</xdr:colOff>
                    <xdr:row>15</xdr:row>
                    <xdr:rowOff>125186</xdr:rowOff>
                  </from>
                  <to>
                    <xdr:col>3</xdr:col>
                    <xdr:colOff>655864</xdr:colOff>
                    <xdr:row>17</xdr:row>
                    <xdr:rowOff>19050</xdr:rowOff>
                  </to>
                </anchor>
              </controlPr>
            </control>
          </mc:Choice>
        </mc:AlternateContent>
        <mc:AlternateContent xmlns:mc="http://schemas.openxmlformats.org/markup-compatibility/2006">
          <mc:Choice Requires="x14">
            <control shapeId="67627" r:id="rId39" name="Check Box 43">
              <controlPr defaultSize="0" autoFill="0" autoLine="0" autoPict="0" macro="[0]!GOTOWELLEQUIPMENT">
                <anchor moveWithCells="1">
                  <from>
                    <xdr:col>1</xdr:col>
                    <xdr:colOff>443593</xdr:colOff>
                    <xdr:row>16</xdr:row>
                    <xdr:rowOff>125186</xdr:rowOff>
                  </from>
                  <to>
                    <xdr:col>1</xdr:col>
                    <xdr:colOff>756557</xdr:colOff>
                    <xdr:row>18</xdr:row>
                    <xdr:rowOff>19050</xdr:rowOff>
                  </to>
                </anchor>
              </controlPr>
            </control>
          </mc:Choice>
        </mc:AlternateContent>
        <mc:AlternateContent xmlns:mc="http://schemas.openxmlformats.org/markup-compatibility/2006">
          <mc:Choice Requires="x14">
            <control shapeId="67628" r:id="rId40" name="Check Box 44">
              <controlPr defaultSize="0" autoFill="0" autoLine="0" autoPict="0">
                <anchor moveWithCells="1">
                  <from>
                    <xdr:col>2</xdr:col>
                    <xdr:colOff>342900</xdr:colOff>
                    <xdr:row>16</xdr:row>
                    <xdr:rowOff>125186</xdr:rowOff>
                  </from>
                  <to>
                    <xdr:col>2</xdr:col>
                    <xdr:colOff>655864</xdr:colOff>
                    <xdr:row>18</xdr:row>
                    <xdr:rowOff>19050</xdr:rowOff>
                  </to>
                </anchor>
              </controlPr>
            </control>
          </mc:Choice>
        </mc:AlternateContent>
        <mc:AlternateContent xmlns:mc="http://schemas.openxmlformats.org/markup-compatibility/2006">
          <mc:Choice Requires="x14">
            <control shapeId="67629" r:id="rId41" name="Check Box 45">
              <controlPr defaultSize="0" autoFill="0" autoLine="0" autoPict="0">
                <anchor moveWithCells="1">
                  <from>
                    <xdr:col>3</xdr:col>
                    <xdr:colOff>342900</xdr:colOff>
                    <xdr:row>16</xdr:row>
                    <xdr:rowOff>125186</xdr:rowOff>
                  </from>
                  <to>
                    <xdr:col>3</xdr:col>
                    <xdr:colOff>655864</xdr:colOff>
                    <xdr:row>18</xdr:row>
                    <xdr:rowOff>19050</xdr:rowOff>
                  </to>
                </anchor>
              </controlPr>
            </control>
          </mc:Choice>
        </mc:AlternateContent>
        <mc:AlternateContent xmlns:mc="http://schemas.openxmlformats.org/markup-compatibility/2006">
          <mc:Choice Requires="x14">
            <control shapeId="67630" r:id="rId42" name="Check Box 46">
              <controlPr defaultSize="0" autoFill="0" autoLine="0" autoPict="0" macro="[0]!ToGaswellSheet">
                <anchor moveWithCells="1">
                  <from>
                    <xdr:col>1</xdr:col>
                    <xdr:colOff>443593</xdr:colOff>
                    <xdr:row>17</xdr:row>
                    <xdr:rowOff>125186</xdr:rowOff>
                  </from>
                  <to>
                    <xdr:col>1</xdr:col>
                    <xdr:colOff>756557</xdr:colOff>
                    <xdr:row>19</xdr:row>
                    <xdr:rowOff>19050</xdr:rowOff>
                  </to>
                </anchor>
              </controlPr>
            </control>
          </mc:Choice>
        </mc:AlternateContent>
        <mc:AlternateContent xmlns:mc="http://schemas.openxmlformats.org/markup-compatibility/2006">
          <mc:Choice Requires="x14">
            <control shapeId="67631" r:id="rId43" name="Check Box 47">
              <controlPr defaultSize="0" autoFill="0" autoLine="0" autoPict="0">
                <anchor moveWithCells="1">
                  <from>
                    <xdr:col>2</xdr:col>
                    <xdr:colOff>342900</xdr:colOff>
                    <xdr:row>17</xdr:row>
                    <xdr:rowOff>125186</xdr:rowOff>
                  </from>
                  <to>
                    <xdr:col>2</xdr:col>
                    <xdr:colOff>655864</xdr:colOff>
                    <xdr:row>19</xdr:row>
                    <xdr:rowOff>19050</xdr:rowOff>
                  </to>
                </anchor>
              </controlPr>
            </control>
          </mc:Choice>
        </mc:AlternateContent>
        <mc:AlternateContent xmlns:mc="http://schemas.openxmlformats.org/markup-compatibility/2006">
          <mc:Choice Requires="x14">
            <control shapeId="67632" r:id="rId44" name="Check Box 48">
              <controlPr defaultSize="0" autoFill="0" autoLine="0" autoPict="0">
                <anchor moveWithCells="1">
                  <from>
                    <xdr:col>3</xdr:col>
                    <xdr:colOff>342900</xdr:colOff>
                    <xdr:row>17</xdr:row>
                    <xdr:rowOff>125186</xdr:rowOff>
                  </from>
                  <to>
                    <xdr:col>3</xdr:col>
                    <xdr:colOff>655864</xdr:colOff>
                    <xdr:row>19</xdr:row>
                    <xdr:rowOff>19050</xdr:rowOff>
                  </to>
                </anchor>
              </controlPr>
            </control>
          </mc:Choice>
        </mc:AlternateContent>
        <mc:AlternateContent xmlns:mc="http://schemas.openxmlformats.org/markup-compatibility/2006">
          <mc:Choice Requires="x14">
            <control shapeId="67633" r:id="rId45" name="Check Box 49">
              <controlPr defaultSize="0" autoFill="0" autoLine="0" autoPict="0" macro="[0]!ToTubingRod">
                <anchor moveWithCells="1">
                  <from>
                    <xdr:col>1</xdr:col>
                    <xdr:colOff>443593</xdr:colOff>
                    <xdr:row>18</xdr:row>
                    <xdr:rowOff>125186</xdr:rowOff>
                  </from>
                  <to>
                    <xdr:col>1</xdr:col>
                    <xdr:colOff>756557</xdr:colOff>
                    <xdr:row>20</xdr:row>
                    <xdr:rowOff>19050</xdr:rowOff>
                  </to>
                </anchor>
              </controlPr>
            </control>
          </mc:Choice>
        </mc:AlternateContent>
        <mc:AlternateContent xmlns:mc="http://schemas.openxmlformats.org/markup-compatibility/2006">
          <mc:Choice Requires="x14">
            <control shapeId="67634" r:id="rId46" name="Check Box 50">
              <controlPr defaultSize="0" autoFill="0" autoLine="0" autoPict="0">
                <anchor moveWithCells="1">
                  <from>
                    <xdr:col>2</xdr:col>
                    <xdr:colOff>342900</xdr:colOff>
                    <xdr:row>18</xdr:row>
                    <xdr:rowOff>125186</xdr:rowOff>
                  </from>
                  <to>
                    <xdr:col>2</xdr:col>
                    <xdr:colOff>655864</xdr:colOff>
                    <xdr:row>20</xdr:row>
                    <xdr:rowOff>19050</xdr:rowOff>
                  </to>
                </anchor>
              </controlPr>
            </control>
          </mc:Choice>
        </mc:AlternateContent>
        <mc:AlternateContent xmlns:mc="http://schemas.openxmlformats.org/markup-compatibility/2006">
          <mc:Choice Requires="x14">
            <control shapeId="67635" r:id="rId47" name="Check Box 51">
              <controlPr defaultSize="0" autoFill="0" autoLine="0" autoPict="0">
                <anchor moveWithCells="1">
                  <from>
                    <xdr:col>3</xdr:col>
                    <xdr:colOff>342900</xdr:colOff>
                    <xdr:row>18</xdr:row>
                    <xdr:rowOff>125186</xdr:rowOff>
                  </from>
                  <to>
                    <xdr:col>3</xdr:col>
                    <xdr:colOff>655864</xdr:colOff>
                    <xdr:row>20</xdr:row>
                    <xdr:rowOff>19050</xdr:rowOff>
                  </to>
                </anchor>
              </controlPr>
            </control>
          </mc:Choice>
        </mc:AlternateContent>
        <mc:AlternateContent xmlns:mc="http://schemas.openxmlformats.org/markup-compatibility/2006">
          <mc:Choice Requires="x14">
            <control shapeId="67636" r:id="rId48" name="Check Box 52">
              <controlPr defaultSize="0" autoFill="0" autoLine="0" autoPict="0" macro="[0]!ToOilwellSheet">
                <anchor moveWithCells="1">
                  <from>
                    <xdr:col>1</xdr:col>
                    <xdr:colOff>443593</xdr:colOff>
                    <xdr:row>19</xdr:row>
                    <xdr:rowOff>125186</xdr:rowOff>
                  </from>
                  <to>
                    <xdr:col>1</xdr:col>
                    <xdr:colOff>756557</xdr:colOff>
                    <xdr:row>21</xdr:row>
                    <xdr:rowOff>19050</xdr:rowOff>
                  </to>
                </anchor>
              </controlPr>
            </control>
          </mc:Choice>
        </mc:AlternateContent>
        <mc:AlternateContent xmlns:mc="http://schemas.openxmlformats.org/markup-compatibility/2006">
          <mc:Choice Requires="x14">
            <control shapeId="67637" r:id="rId49" name="Check Box 53">
              <controlPr defaultSize="0" autoFill="0" autoLine="0" autoPict="0">
                <anchor moveWithCells="1">
                  <from>
                    <xdr:col>2</xdr:col>
                    <xdr:colOff>342900</xdr:colOff>
                    <xdr:row>19</xdr:row>
                    <xdr:rowOff>125186</xdr:rowOff>
                  </from>
                  <to>
                    <xdr:col>2</xdr:col>
                    <xdr:colOff>655864</xdr:colOff>
                    <xdr:row>21</xdr:row>
                    <xdr:rowOff>19050</xdr:rowOff>
                  </to>
                </anchor>
              </controlPr>
            </control>
          </mc:Choice>
        </mc:AlternateContent>
        <mc:AlternateContent xmlns:mc="http://schemas.openxmlformats.org/markup-compatibility/2006">
          <mc:Choice Requires="x14">
            <control shapeId="67638" r:id="rId50" name="Check Box 54">
              <controlPr defaultSize="0" autoFill="0" autoLine="0" autoPict="0">
                <anchor moveWithCells="1">
                  <from>
                    <xdr:col>3</xdr:col>
                    <xdr:colOff>342900</xdr:colOff>
                    <xdr:row>19</xdr:row>
                    <xdr:rowOff>125186</xdr:rowOff>
                  </from>
                  <to>
                    <xdr:col>3</xdr:col>
                    <xdr:colOff>655864</xdr:colOff>
                    <xdr:row>21</xdr:row>
                    <xdr:rowOff>19050</xdr:rowOff>
                  </to>
                </anchor>
              </controlPr>
            </control>
          </mc:Choice>
        </mc:AlternateContent>
        <mc:AlternateContent xmlns:mc="http://schemas.openxmlformats.org/markup-compatibility/2006">
          <mc:Choice Requires="x14">
            <control shapeId="67639" r:id="rId51" name="Check Box 55">
              <controlPr defaultSize="0" autoFill="0" autoLine="0" autoPict="0" macro="[0]!GoToBattery">
                <anchor moveWithCells="1">
                  <from>
                    <xdr:col>1</xdr:col>
                    <xdr:colOff>443593</xdr:colOff>
                    <xdr:row>20</xdr:row>
                    <xdr:rowOff>125186</xdr:rowOff>
                  </from>
                  <to>
                    <xdr:col>1</xdr:col>
                    <xdr:colOff>756557</xdr:colOff>
                    <xdr:row>22</xdr:row>
                    <xdr:rowOff>19050</xdr:rowOff>
                  </to>
                </anchor>
              </controlPr>
            </control>
          </mc:Choice>
        </mc:AlternateContent>
        <mc:AlternateContent xmlns:mc="http://schemas.openxmlformats.org/markup-compatibility/2006">
          <mc:Choice Requires="x14">
            <control shapeId="67640" r:id="rId52" name="Check Box 56">
              <controlPr defaultSize="0" autoFill="0" autoLine="0" autoPict="0">
                <anchor moveWithCells="1">
                  <from>
                    <xdr:col>2</xdr:col>
                    <xdr:colOff>342900</xdr:colOff>
                    <xdr:row>20</xdr:row>
                    <xdr:rowOff>125186</xdr:rowOff>
                  </from>
                  <to>
                    <xdr:col>2</xdr:col>
                    <xdr:colOff>655864</xdr:colOff>
                    <xdr:row>22</xdr:row>
                    <xdr:rowOff>19050</xdr:rowOff>
                  </to>
                </anchor>
              </controlPr>
            </control>
          </mc:Choice>
        </mc:AlternateContent>
        <mc:AlternateContent xmlns:mc="http://schemas.openxmlformats.org/markup-compatibility/2006">
          <mc:Choice Requires="x14">
            <control shapeId="67641" r:id="rId53" name="Check Box 57">
              <controlPr defaultSize="0" autoFill="0" autoLine="0" autoPict="0">
                <anchor moveWithCells="1">
                  <from>
                    <xdr:col>3</xdr:col>
                    <xdr:colOff>342900</xdr:colOff>
                    <xdr:row>20</xdr:row>
                    <xdr:rowOff>125186</xdr:rowOff>
                  </from>
                  <to>
                    <xdr:col>3</xdr:col>
                    <xdr:colOff>655864</xdr:colOff>
                    <xdr:row>22</xdr:row>
                    <xdr:rowOff>19050</xdr:rowOff>
                  </to>
                </anchor>
              </controlPr>
            </control>
          </mc:Choice>
        </mc:AlternateContent>
        <mc:AlternateContent xmlns:mc="http://schemas.openxmlformats.org/markup-compatibility/2006">
          <mc:Choice Requires="x14">
            <control shapeId="67642" r:id="rId54" name="Check Box 58">
              <controlPr defaultSize="0" autoFill="0" autoLine="0" autoPict="0" macro="[0]!GOTOAFE">
                <anchor moveWithCells="1">
                  <from>
                    <xdr:col>1</xdr:col>
                    <xdr:colOff>443593</xdr:colOff>
                    <xdr:row>21</xdr:row>
                    <xdr:rowOff>125186</xdr:rowOff>
                  </from>
                  <to>
                    <xdr:col>1</xdr:col>
                    <xdr:colOff>756557</xdr:colOff>
                    <xdr:row>23</xdr:row>
                    <xdr:rowOff>19050</xdr:rowOff>
                  </to>
                </anchor>
              </controlPr>
            </control>
          </mc:Choice>
        </mc:AlternateContent>
        <mc:AlternateContent xmlns:mc="http://schemas.openxmlformats.org/markup-compatibility/2006">
          <mc:Choice Requires="x14">
            <control shapeId="67643" r:id="rId55" name="Check Box 59">
              <controlPr defaultSize="0" autoFill="0" autoLine="0" autoPict="0">
                <anchor moveWithCells="1">
                  <from>
                    <xdr:col>2</xdr:col>
                    <xdr:colOff>342900</xdr:colOff>
                    <xdr:row>21</xdr:row>
                    <xdr:rowOff>125186</xdr:rowOff>
                  </from>
                  <to>
                    <xdr:col>2</xdr:col>
                    <xdr:colOff>655864</xdr:colOff>
                    <xdr:row>23</xdr:row>
                    <xdr:rowOff>19050</xdr:rowOff>
                  </to>
                </anchor>
              </controlPr>
            </control>
          </mc:Choice>
        </mc:AlternateContent>
        <mc:AlternateContent xmlns:mc="http://schemas.openxmlformats.org/markup-compatibility/2006">
          <mc:Choice Requires="x14">
            <control shapeId="67644" r:id="rId56" name="Check Box 60">
              <controlPr defaultSize="0" autoFill="0" autoLine="0" autoPict="0">
                <anchor moveWithCells="1">
                  <from>
                    <xdr:col>3</xdr:col>
                    <xdr:colOff>342900</xdr:colOff>
                    <xdr:row>21</xdr:row>
                    <xdr:rowOff>125186</xdr:rowOff>
                  </from>
                  <to>
                    <xdr:col>3</xdr:col>
                    <xdr:colOff>655864</xdr:colOff>
                    <xdr:row>23</xdr:row>
                    <xdr:rowOff>19050</xdr:rowOff>
                  </to>
                </anchor>
              </controlPr>
            </control>
          </mc:Choice>
        </mc:AlternateContent>
        <mc:AlternateContent xmlns:mc="http://schemas.openxmlformats.org/markup-compatibility/2006">
          <mc:Choice Requires="x14">
            <control shapeId="67645" r:id="rId57" name="Check Box 61">
              <controlPr defaultSize="0" autoFill="0" autoLine="0" autoPict="0" macro="[0]!GOTOCOMPLETIONCOST">
                <anchor moveWithCells="1">
                  <from>
                    <xdr:col>1</xdr:col>
                    <xdr:colOff>443593</xdr:colOff>
                    <xdr:row>22</xdr:row>
                    <xdr:rowOff>125186</xdr:rowOff>
                  </from>
                  <to>
                    <xdr:col>1</xdr:col>
                    <xdr:colOff>756557</xdr:colOff>
                    <xdr:row>24</xdr:row>
                    <xdr:rowOff>19050</xdr:rowOff>
                  </to>
                </anchor>
              </controlPr>
            </control>
          </mc:Choice>
        </mc:AlternateContent>
        <mc:AlternateContent xmlns:mc="http://schemas.openxmlformats.org/markup-compatibility/2006">
          <mc:Choice Requires="x14">
            <control shapeId="67646" r:id="rId58" name="Check Box 62">
              <controlPr defaultSize="0" autoFill="0" autoLine="0" autoPict="0">
                <anchor moveWithCells="1">
                  <from>
                    <xdr:col>2</xdr:col>
                    <xdr:colOff>342900</xdr:colOff>
                    <xdr:row>22</xdr:row>
                    <xdr:rowOff>125186</xdr:rowOff>
                  </from>
                  <to>
                    <xdr:col>2</xdr:col>
                    <xdr:colOff>655864</xdr:colOff>
                    <xdr:row>24</xdr:row>
                    <xdr:rowOff>19050</xdr:rowOff>
                  </to>
                </anchor>
              </controlPr>
            </control>
          </mc:Choice>
        </mc:AlternateContent>
        <mc:AlternateContent xmlns:mc="http://schemas.openxmlformats.org/markup-compatibility/2006">
          <mc:Choice Requires="x14">
            <control shapeId="67647" r:id="rId59" name="Check Box 63">
              <controlPr defaultSize="0" autoFill="0" autoLine="0" autoPict="0">
                <anchor moveWithCells="1">
                  <from>
                    <xdr:col>3</xdr:col>
                    <xdr:colOff>342900</xdr:colOff>
                    <xdr:row>22</xdr:row>
                    <xdr:rowOff>125186</xdr:rowOff>
                  </from>
                  <to>
                    <xdr:col>3</xdr:col>
                    <xdr:colOff>655864</xdr:colOff>
                    <xdr:row>24</xdr:row>
                    <xdr:rowOff>19050</xdr:rowOff>
                  </to>
                </anchor>
              </controlPr>
            </control>
          </mc:Choice>
        </mc:AlternateContent>
        <mc:AlternateContent xmlns:mc="http://schemas.openxmlformats.org/markup-compatibility/2006">
          <mc:Choice Requires="x14">
            <control shapeId="67649" r:id="rId60" name="Check Box 65">
              <controlPr defaultSize="0" autoFill="0" autoLine="0" autoPict="0">
                <anchor moveWithCells="1">
                  <from>
                    <xdr:col>2</xdr:col>
                    <xdr:colOff>342900</xdr:colOff>
                    <xdr:row>23</xdr:row>
                    <xdr:rowOff>125186</xdr:rowOff>
                  </from>
                  <to>
                    <xdr:col>2</xdr:col>
                    <xdr:colOff>655864</xdr:colOff>
                    <xdr:row>25</xdr:row>
                    <xdr:rowOff>19050</xdr:rowOff>
                  </to>
                </anchor>
              </controlPr>
            </control>
          </mc:Choice>
        </mc:AlternateContent>
        <mc:AlternateContent xmlns:mc="http://schemas.openxmlformats.org/markup-compatibility/2006">
          <mc:Choice Requires="x14">
            <control shapeId="67650" r:id="rId61" name="Check Box 66">
              <controlPr defaultSize="0" autoFill="0" autoLine="0" autoPict="0">
                <anchor moveWithCells="1">
                  <from>
                    <xdr:col>3</xdr:col>
                    <xdr:colOff>342900</xdr:colOff>
                    <xdr:row>23</xdr:row>
                    <xdr:rowOff>125186</xdr:rowOff>
                  </from>
                  <to>
                    <xdr:col>3</xdr:col>
                    <xdr:colOff>655864</xdr:colOff>
                    <xdr:row>25</xdr:row>
                    <xdr:rowOff>19050</xdr:rowOff>
                  </to>
                </anchor>
              </controlPr>
            </control>
          </mc:Choice>
        </mc:AlternateContent>
        <mc:AlternateContent xmlns:mc="http://schemas.openxmlformats.org/markup-compatibility/2006">
          <mc:Choice Requires="x14">
            <control shapeId="67652" r:id="rId62" name="Check Box 68">
              <controlPr defaultSize="0" autoFill="0" autoLine="0" autoPict="0">
                <anchor moveWithCells="1">
                  <from>
                    <xdr:col>2</xdr:col>
                    <xdr:colOff>342900</xdr:colOff>
                    <xdr:row>24</xdr:row>
                    <xdr:rowOff>125186</xdr:rowOff>
                  </from>
                  <to>
                    <xdr:col>2</xdr:col>
                    <xdr:colOff>655864</xdr:colOff>
                    <xdr:row>26</xdr:row>
                    <xdr:rowOff>19050</xdr:rowOff>
                  </to>
                </anchor>
              </controlPr>
            </control>
          </mc:Choice>
        </mc:AlternateContent>
        <mc:AlternateContent xmlns:mc="http://schemas.openxmlformats.org/markup-compatibility/2006">
          <mc:Choice Requires="x14">
            <control shapeId="67653" r:id="rId63" name="Check Box 69">
              <controlPr defaultSize="0" autoFill="0" autoLine="0" autoPict="0">
                <anchor moveWithCells="1">
                  <from>
                    <xdr:col>3</xdr:col>
                    <xdr:colOff>342900</xdr:colOff>
                    <xdr:row>24</xdr:row>
                    <xdr:rowOff>125186</xdr:rowOff>
                  </from>
                  <to>
                    <xdr:col>3</xdr:col>
                    <xdr:colOff>655864</xdr:colOff>
                    <xdr:row>26</xdr:row>
                    <xdr:rowOff>19050</xdr:rowOff>
                  </to>
                </anchor>
              </controlPr>
            </control>
          </mc:Choice>
        </mc:AlternateContent>
        <mc:AlternateContent xmlns:mc="http://schemas.openxmlformats.org/markup-compatibility/2006">
          <mc:Choice Requires="x14">
            <control shapeId="67654" r:id="rId64" name="Check Box 70">
              <controlPr defaultSize="0" autoFill="0" autoLine="0" autoPict="0" macro="[0]!GOTOWORKOVER">
                <anchor moveWithCells="1">
                  <from>
                    <xdr:col>1</xdr:col>
                    <xdr:colOff>443593</xdr:colOff>
                    <xdr:row>25</xdr:row>
                    <xdr:rowOff>125186</xdr:rowOff>
                  </from>
                  <to>
                    <xdr:col>1</xdr:col>
                    <xdr:colOff>756557</xdr:colOff>
                    <xdr:row>27</xdr:row>
                    <xdr:rowOff>19050</xdr:rowOff>
                  </to>
                </anchor>
              </controlPr>
            </control>
          </mc:Choice>
        </mc:AlternateContent>
        <mc:AlternateContent xmlns:mc="http://schemas.openxmlformats.org/markup-compatibility/2006">
          <mc:Choice Requires="x14">
            <control shapeId="67655" r:id="rId65" name="Check Box 71">
              <controlPr defaultSize="0" autoFill="0" autoLine="0" autoPict="0">
                <anchor moveWithCells="1">
                  <from>
                    <xdr:col>2</xdr:col>
                    <xdr:colOff>342900</xdr:colOff>
                    <xdr:row>25</xdr:row>
                    <xdr:rowOff>125186</xdr:rowOff>
                  </from>
                  <to>
                    <xdr:col>2</xdr:col>
                    <xdr:colOff>655864</xdr:colOff>
                    <xdr:row>27</xdr:row>
                    <xdr:rowOff>19050</xdr:rowOff>
                  </to>
                </anchor>
              </controlPr>
            </control>
          </mc:Choice>
        </mc:AlternateContent>
        <mc:AlternateContent xmlns:mc="http://schemas.openxmlformats.org/markup-compatibility/2006">
          <mc:Choice Requires="x14">
            <control shapeId="67656" r:id="rId66" name="Check Box 72">
              <controlPr defaultSize="0" autoFill="0" autoLine="0" autoPict="0">
                <anchor moveWithCells="1">
                  <from>
                    <xdr:col>3</xdr:col>
                    <xdr:colOff>342900</xdr:colOff>
                    <xdr:row>25</xdr:row>
                    <xdr:rowOff>125186</xdr:rowOff>
                  </from>
                  <to>
                    <xdr:col>3</xdr:col>
                    <xdr:colOff>655864</xdr:colOff>
                    <xdr:row>27</xdr:row>
                    <xdr:rowOff>19050</xdr:rowOff>
                  </to>
                </anchor>
              </controlPr>
            </control>
          </mc:Choice>
        </mc:AlternateContent>
        <mc:AlternateContent xmlns:mc="http://schemas.openxmlformats.org/markup-compatibility/2006">
          <mc:Choice Requires="x14">
            <control shapeId="67657" r:id="rId67" name="Check Box 73">
              <controlPr defaultSize="0" autoFill="0" autoLine="0" autoPict="0" macro="[0]!GOTOCOMPLETION">
                <anchor moveWithCells="1">
                  <from>
                    <xdr:col>1</xdr:col>
                    <xdr:colOff>443593</xdr:colOff>
                    <xdr:row>26</xdr:row>
                    <xdr:rowOff>125186</xdr:rowOff>
                  </from>
                  <to>
                    <xdr:col>1</xdr:col>
                    <xdr:colOff>756557</xdr:colOff>
                    <xdr:row>28</xdr:row>
                    <xdr:rowOff>19050</xdr:rowOff>
                  </to>
                </anchor>
              </controlPr>
            </control>
          </mc:Choice>
        </mc:AlternateContent>
        <mc:AlternateContent xmlns:mc="http://schemas.openxmlformats.org/markup-compatibility/2006">
          <mc:Choice Requires="x14">
            <control shapeId="67658" r:id="rId68" name="Check Box 74">
              <controlPr defaultSize="0" autoFill="0" autoLine="0" autoPict="0">
                <anchor moveWithCells="1">
                  <from>
                    <xdr:col>2</xdr:col>
                    <xdr:colOff>342900</xdr:colOff>
                    <xdr:row>26</xdr:row>
                    <xdr:rowOff>125186</xdr:rowOff>
                  </from>
                  <to>
                    <xdr:col>2</xdr:col>
                    <xdr:colOff>655864</xdr:colOff>
                    <xdr:row>28</xdr:row>
                    <xdr:rowOff>19050</xdr:rowOff>
                  </to>
                </anchor>
              </controlPr>
            </control>
          </mc:Choice>
        </mc:AlternateContent>
        <mc:AlternateContent xmlns:mc="http://schemas.openxmlformats.org/markup-compatibility/2006">
          <mc:Choice Requires="x14">
            <control shapeId="67659" r:id="rId69" name="Check Box 75">
              <controlPr defaultSize="0" autoFill="0" autoLine="0" autoPict="0">
                <anchor moveWithCells="1">
                  <from>
                    <xdr:col>3</xdr:col>
                    <xdr:colOff>342900</xdr:colOff>
                    <xdr:row>26</xdr:row>
                    <xdr:rowOff>125186</xdr:rowOff>
                  </from>
                  <to>
                    <xdr:col>3</xdr:col>
                    <xdr:colOff>655864</xdr:colOff>
                    <xdr:row>28</xdr:row>
                    <xdr:rowOff>19050</xdr:rowOff>
                  </to>
                </anchor>
              </controlPr>
            </control>
          </mc:Choice>
        </mc:AlternateContent>
        <mc:AlternateContent xmlns:mc="http://schemas.openxmlformats.org/markup-compatibility/2006">
          <mc:Choice Requires="x14">
            <control shapeId="67661" r:id="rId70" name="Check Box 77">
              <controlPr defaultSize="0" autoFill="0" autoLine="0" autoPict="0">
                <anchor moveWithCells="1">
                  <from>
                    <xdr:col>2</xdr:col>
                    <xdr:colOff>342900</xdr:colOff>
                    <xdr:row>27</xdr:row>
                    <xdr:rowOff>125186</xdr:rowOff>
                  </from>
                  <to>
                    <xdr:col>2</xdr:col>
                    <xdr:colOff>655864</xdr:colOff>
                    <xdr:row>29</xdr:row>
                    <xdr:rowOff>19050</xdr:rowOff>
                  </to>
                </anchor>
              </controlPr>
            </control>
          </mc:Choice>
        </mc:AlternateContent>
        <mc:AlternateContent xmlns:mc="http://schemas.openxmlformats.org/markup-compatibility/2006">
          <mc:Choice Requires="x14">
            <control shapeId="67662" r:id="rId71" name="Check Box 78">
              <controlPr defaultSize="0" autoFill="0" autoLine="0" autoPict="0">
                <anchor moveWithCells="1">
                  <from>
                    <xdr:col>3</xdr:col>
                    <xdr:colOff>342900</xdr:colOff>
                    <xdr:row>27</xdr:row>
                    <xdr:rowOff>125186</xdr:rowOff>
                  </from>
                  <to>
                    <xdr:col>3</xdr:col>
                    <xdr:colOff>655864</xdr:colOff>
                    <xdr:row>29</xdr:row>
                    <xdr:rowOff>19050</xdr:rowOff>
                  </to>
                </anchor>
              </controlPr>
            </control>
          </mc:Choice>
        </mc:AlternateContent>
        <mc:AlternateContent xmlns:mc="http://schemas.openxmlformats.org/markup-compatibility/2006">
          <mc:Choice Requires="x14">
            <control shapeId="67663" r:id="rId72" name="Check Box 79">
              <controlPr defaultSize="0" autoFill="0" autoLine="0" autoPict="0" macro="[0]!GoToDepthCalc">
                <anchor moveWithCells="1">
                  <from>
                    <xdr:col>1</xdr:col>
                    <xdr:colOff>443593</xdr:colOff>
                    <xdr:row>28</xdr:row>
                    <xdr:rowOff>125186</xdr:rowOff>
                  </from>
                  <to>
                    <xdr:col>1</xdr:col>
                    <xdr:colOff>756557</xdr:colOff>
                    <xdr:row>30</xdr:row>
                    <xdr:rowOff>19050</xdr:rowOff>
                  </to>
                </anchor>
              </controlPr>
            </control>
          </mc:Choice>
        </mc:AlternateContent>
        <mc:AlternateContent xmlns:mc="http://schemas.openxmlformats.org/markup-compatibility/2006">
          <mc:Choice Requires="x14">
            <control shapeId="67664" r:id="rId73" name="Check Box 80">
              <controlPr defaultSize="0" autoFill="0" autoLine="0" autoPict="0">
                <anchor moveWithCells="1">
                  <from>
                    <xdr:col>2</xdr:col>
                    <xdr:colOff>342900</xdr:colOff>
                    <xdr:row>28</xdr:row>
                    <xdr:rowOff>125186</xdr:rowOff>
                  </from>
                  <to>
                    <xdr:col>2</xdr:col>
                    <xdr:colOff>655864</xdr:colOff>
                    <xdr:row>30</xdr:row>
                    <xdr:rowOff>19050</xdr:rowOff>
                  </to>
                </anchor>
              </controlPr>
            </control>
          </mc:Choice>
        </mc:AlternateContent>
        <mc:AlternateContent xmlns:mc="http://schemas.openxmlformats.org/markup-compatibility/2006">
          <mc:Choice Requires="x14">
            <control shapeId="67665" r:id="rId74" name="Check Box 81">
              <controlPr defaultSize="0" autoFill="0" autoLine="0" autoPict="0">
                <anchor moveWithCells="1">
                  <from>
                    <xdr:col>3</xdr:col>
                    <xdr:colOff>342900</xdr:colOff>
                    <xdr:row>28</xdr:row>
                    <xdr:rowOff>125186</xdr:rowOff>
                  </from>
                  <to>
                    <xdr:col>3</xdr:col>
                    <xdr:colOff>655864</xdr:colOff>
                    <xdr:row>30</xdr:row>
                    <xdr:rowOff>19050</xdr:rowOff>
                  </to>
                </anchor>
              </controlPr>
            </control>
          </mc:Choice>
        </mc:AlternateContent>
        <mc:AlternateContent xmlns:mc="http://schemas.openxmlformats.org/markup-compatibility/2006">
          <mc:Choice Requires="x14">
            <control shapeId="67666" r:id="rId75" name="Check Box 82">
              <controlPr defaultSize="0" autoFill="0" autoLine="0" autoPict="0" macro="[0]!GoToLoad">
                <anchor moveWithCells="1">
                  <from>
                    <xdr:col>1</xdr:col>
                    <xdr:colOff>443593</xdr:colOff>
                    <xdr:row>29</xdr:row>
                    <xdr:rowOff>125186</xdr:rowOff>
                  </from>
                  <to>
                    <xdr:col>1</xdr:col>
                    <xdr:colOff>756557</xdr:colOff>
                    <xdr:row>31</xdr:row>
                    <xdr:rowOff>19050</xdr:rowOff>
                  </to>
                </anchor>
              </controlPr>
            </control>
          </mc:Choice>
        </mc:AlternateContent>
        <mc:AlternateContent xmlns:mc="http://schemas.openxmlformats.org/markup-compatibility/2006">
          <mc:Choice Requires="x14">
            <control shapeId="67667" r:id="rId76" name="Check Box 83">
              <controlPr defaultSize="0" autoFill="0" autoLine="0" autoPict="0">
                <anchor moveWithCells="1">
                  <from>
                    <xdr:col>2</xdr:col>
                    <xdr:colOff>342900</xdr:colOff>
                    <xdr:row>29</xdr:row>
                    <xdr:rowOff>125186</xdr:rowOff>
                  </from>
                  <to>
                    <xdr:col>2</xdr:col>
                    <xdr:colOff>655864</xdr:colOff>
                    <xdr:row>31</xdr:row>
                    <xdr:rowOff>19050</xdr:rowOff>
                  </to>
                </anchor>
              </controlPr>
            </control>
          </mc:Choice>
        </mc:AlternateContent>
        <mc:AlternateContent xmlns:mc="http://schemas.openxmlformats.org/markup-compatibility/2006">
          <mc:Choice Requires="x14">
            <control shapeId="67668" r:id="rId77" name="Check Box 84">
              <controlPr defaultSize="0" autoFill="0" autoLine="0" autoPict="0">
                <anchor moveWithCells="1">
                  <from>
                    <xdr:col>3</xdr:col>
                    <xdr:colOff>342900</xdr:colOff>
                    <xdr:row>29</xdr:row>
                    <xdr:rowOff>125186</xdr:rowOff>
                  </from>
                  <to>
                    <xdr:col>3</xdr:col>
                    <xdr:colOff>655864</xdr:colOff>
                    <xdr:row>31</xdr:row>
                    <xdr:rowOff>19050</xdr:rowOff>
                  </to>
                </anchor>
              </controlPr>
            </control>
          </mc:Choice>
        </mc:AlternateContent>
        <mc:AlternateContent xmlns:mc="http://schemas.openxmlformats.org/markup-compatibility/2006">
          <mc:Choice Requires="x14">
            <control shapeId="67669" r:id="rId78" name="Check Box 85">
              <controlPr defaultSize="0" autoFill="0" autoLine="0" autoPict="0" macro="[0]!GoToPurchord">
                <anchor moveWithCells="1">
                  <from>
                    <xdr:col>1</xdr:col>
                    <xdr:colOff>443593</xdr:colOff>
                    <xdr:row>30</xdr:row>
                    <xdr:rowOff>125186</xdr:rowOff>
                  </from>
                  <to>
                    <xdr:col>1</xdr:col>
                    <xdr:colOff>756557</xdr:colOff>
                    <xdr:row>32</xdr:row>
                    <xdr:rowOff>19050</xdr:rowOff>
                  </to>
                </anchor>
              </controlPr>
            </control>
          </mc:Choice>
        </mc:AlternateContent>
        <mc:AlternateContent xmlns:mc="http://schemas.openxmlformats.org/markup-compatibility/2006">
          <mc:Choice Requires="x14">
            <control shapeId="67670" r:id="rId79" name="Check Box 86">
              <controlPr defaultSize="0" autoFill="0" autoLine="0" autoPict="0">
                <anchor moveWithCells="1">
                  <from>
                    <xdr:col>2</xdr:col>
                    <xdr:colOff>342900</xdr:colOff>
                    <xdr:row>30</xdr:row>
                    <xdr:rowOff>125186</xdr:rowOff>
                  </from>
                  <to>
                    <xdr:col>2</xdr:col>
                    <xdr:colOff>655864</xdr:colOff>
                    <xdr:row>32</xdr:row>
                    <xdr:rowOff>19050</xdr:rowOff>
                  </to>
                </anchor>
              </controlPr>
            </control>
          </mc:Choice>
        </mc:AlternateContent>
        <mc:AlternateContent xmlns:mc="http://schemas.openxmlformats.org/markup-compatibility/2006">
          <mc:Choice Requires="x14">
            <control shapeId="67671" r:id="rId80" name="Check Box 87">
              <controlPr defaultSize="0" autoFill="0" autoLine="0" autoPict="0">
                <anchor moveWithCells="1">
                  <from>
                    <xdr:col>3</xdr:col>
                    <xdr:colOff>342900</xdr:colOff>
                    <xdr:row>30</xdr:row>
                    <xdr:rowOff>125186</xdr:rowOff>
                  </from>
                  <to>
                    <xdr:col>3</xdr:col>
                    <xdr:colOff>655864</xdr:colOff>
                    <xdr:row>32</xdr:row>
                    <xdr:rowOff>19050</xdr:rowOff>
                  </to>
                </anchor>
              </controlPr>
            </control>
          </mc:Choice>
        </mc:AlternateContent>
        <mc:AlternateContent xmlns:mc="http://schemas.openxmlformats.org/markup-compatibility/2006">
          <mc:Choice Requires="x14">
            <control shapeId="67672" r:id="rId81" name="Check Box 88">
              <controlPr defaultSize="0" autoFill="0" autoLine="0" autoPict="0" macro="[0]!GoToVoucher">
                <anchor moveWithCells="1">
                  <from>
                    <xdr:col>1</xdr:col>
                    <xdr:colOff>443593</xdr:colOff>
                    <xdr:row>31</xdr:row>
                    <xdr:rowOff>125186</xdr:rowOff>
                  </from>
                  <to>
                    <xdr:col>1</xdr:col>
                    <xdr:colOff>756557</xdr:colOff>
                    <xdr:row>33</xdr:row>
                    <xdr:rowOff>19050</xdr:rowOff>
                  </to>
                </anchor>
              </controlPr>
            </control>
          </mc:Choice>
        </mc:AlternateContent>
        <mc:AlternateContent xmlns:mc="http://schemas.openxmlformats.org/markup-compatibility/2006">
          <mc:Choice Requires="x14">
            <control shapeId="67673" r:id="rId82" name="Check Box 89">
              <controlPr defaultSize="0" autoFill="0" autoLine="0" autoPict="0">
                <anchor moveWithCells="1">
                  <from>
                    <xdr:col>2</xdr:col>
                    <xdr:colOff>342900</xdr:colOff>
                    <xdr:row>31</xdr:row>
                    <xdr:rowOff>125186</xdr:rowOff>
                  </from>
                  <to>
                    <xdr:col>2</xdr:col>
                    <xdr:colOff>655864</xdr:colOff>
                    <xdr:row>33</xdr:row>
                    <xdr:rowOff>19050</xdr:rowOff>
                  </to>
                </anchor>
              </controlPr>
            </control>
          </mc:Choice>
        </mc:AlternateContent>
        <mc:AlternateContent xmlns:mc="http://schemas.openxmlformats.org/markup-compatibility/2006">
          <mc:Choice Requires="x14">
            <control shapeId="67674" r:id="rId83" name="Check Box 90">
              <controlPr defaultSize="0" autoFill="0" autoLine="0" autoPict="0">
                <anchor moveWithCells="1">
                  <from>
                    <xdr:col>3</xdr:col>
                    <xdr:colOff>342900</xdr:colOff>
                    <xdr:row>31</xdr:row>
                    <xdr:rowOff>125186</xdr:rowOff>
                  </from>
                  <to>
                    <xdr:col>3</xdr:col>
                    <xdr:colOff>655864</xdr:colOff>
                    <xdr:row>33</xdr:row>
                    <xdr:rowOff>19050</xdr:rowOff>
                  </to>
                </anchor>
              </controlPr>
            </control>
          </mc:Choice>
        </mc:AlternateContent>
        <mc:AlternateContent xmlns:mc="http://schemas.openxmlformats.org/markup-compatibility/2006">
          <mc:Choice Requires="x14">
            <control shapeId="67675" r:id="rId84" name="Check Box 91">
              <controlPr defaultSize="0" autoFill="0" autoLine="0" autoPict="0" macro="[0]!GoToMyTally">
                <anchor moveWithCells="1">
                  <from>
                    <xdr:col>1</xdr:col>
                    <xdr:colOff>443593</xdr:colOff>
                    <xdr:row>32</xdr:row>
                    <xdr:rowOff>125186</xdr:rowOff>
                  </from>
                  <to>
                    <xdr:col>1</xdr:col>
                    <xdr:colOff>756557</xdr:colOff>
                    <xdr:row>34</xdr:row>
                    <xdr:rowOff>19050</xdr:rowOff>
                  </to>
                </anchor>
              </controlPr>
            </control>
          </mc:Choice>
        </mc:AlternateContent>
        <mc:AlternateContent xmlns:mc="http://schemas.openxmlformats.org/markup-compatibility/2006">
          <mc:Choice Requires="x14">
            <control shapeId="67676" r:id="rId85" name="Check Box 92">
              <controlPr defaultSize="0" autoFill="0" autoLine="0" autoPict="0">
                <anchor moveWithCells="1">
                  <from>
                    <xdr:col>2</xdr:col>
                    <xdr:colOff>342900</xdr:colOff>
                    <xdr:row>32</xdr:row>
                    <xdr:rowOff>125186</xdr:rowOff>
                  </from>
                  <to>
                    <xdr:col>2</xdr:col>
                    <xdr:colOff>655864</xdr:colOff>
                    <xdr:row>34</xdr:row>
                    <xdr:rowOff>19050</xdr:rowOff>
                  </to>
                </anchor>
              </controlPr>
            </control>
          </mc:Choice>
        </mc:AlternateContent>
        <mc:AlternateContent xmlns:mc="http://schemas.openxmlformats.org/markup-compatibility/2006">
          <mc:Choice Requires="x14">
            <control shapeId="67677" r:id="rId86" name="Check Box 93">
              <controlPr defaultSize="0" autoFill="0" autoLine="0" autoPict="0">
                <anchor moveWithCells="1">
                  <from>
                    <xdr:col>3</xdr:col>
                    <xdr:colOff>342900</xdr:colOff>
                    <xdr:row>32</xdr:row>
                    <xdr:rowOff>125186</xdr:rowOff>
                  </from>
                  <to>
                    <xdr:col>3</xdr:col>
                    <xdr:colOff>655864</xdr:colOff>
                    <xdr:row>34</xdr:row>
                    <xdr:rowOff>19050</xdr:rowOff>
                  </to>
                </anchor>
              </controlPr>
            </control>
          </mc:Choice>
        </mc:AlternateContent>
        <mc:AlternateContent xmlns:mc="http://schemas.openxmlformats.org/markup-compatibility/2006">
          <mc:Choice Requires="x14">
            <control shapeId="67678" r:id="rId87" name="Check Box 94">
              <controlPr defaultSize="0" autoFill="0" autoLine="0" autoPict="0" macro="[0]!GoToBarlonTally">
                <anchor moveWithCells="1">
                  <from>
                    <xdr:col>1</xdr:col>
                    <xdr:colOff>443593</xdr:colOff>
                    <xdr:row>33</xdr:row>
                    <xdr:rowOff>125186</xdr:rowOff>
                  </from>
                  <to>
                    <xdr:col>1</xdr:col>
                    <xdr:colOff>756557</xdr:colOff>
                    <xdr:row>35</xdr:row>
                    <xdr:rowOff>19050</xdr:rowOff>
                  </to>
                </anchor>
              </controlPr>
            </control>
          </mc:Choice>
        </mc:AlternateContent>
        <mc:AlternateContent xmlns:mc="http://schemas.openxmlformats.org/markup-compatibility/2006">
          <mc:Choice Requires="x14">
            <control shapeId="67679" r:id="rId88" name="Check Box 95">
              <controlPr defaultSize="0" autoFill="0" autoLine="0" autoPict="0">
                <anchor moveWithCells="1">
                  <from>
                    <xdr:col>2</xdr:col>
                    <xdr:colOff>342900</xdr:colOff>
                    <xdr:row>33</xdr:row>
                    <xdr:rowOff>125186</xdr:rowOff>
                  </from>
                  <to>
                    <xdr:col>2</xdr:col>
                    <xdr:colOff>655864</xdr:colOff>
                    <xdr:row>35</xdr:row>
                    <xdr:rowOff>19050</xdr:rowOff>
                  </to>
                </anchor>
              </controlPr>
            </control>
          </mc:Choice>
        </mc:AlternateContent>
        <mc:AlternateContent xmlns:mc="http://schemas.openxmlformats.org/markup-compatibility/2006">
          <mc:Choice Requires="x14">
            <control shapeId="67680" r:id="rId89" name="Check Box 96">
              <controlPr defaultSize="0" autoFill="0" autoLine="0" autoPict="0">
                <anchor moveWithCells="1">
                  <from>
                    <xdr:col>3</xdr:col>
                    <xdr:colOff>342900</xdr:colOff>
                    <xdr:row>33</xdr:row>
                    <xdr:rowOff>125186</xdr:rowOff>
                  </from>
                  <to>
                    <xdr:col>3</xdr:col>
                    <xdr:colOff>655864</xdr:colOff>
                    <xdr:row>35</xdr:row>
                    <xdr:rowOff>19050</xdr:rowOff>
                  </to>
                </anchor>
              </controlPr>
            </control>
          </mc:Choice>
        </mc:AlternateContent>
        <mc:AlternateContent xmlns:mc="http://schemas.openxmlformats.org/markup-compatibility/2006">
          <mc:Choice Requires="x14">
            <control shapeId="67681" r:id="rId90" name="Check Box 97">
              <controlPr defaultSize="0" autoFill="0" autoLine="0" autoPict="0" macro="[0]!GoToRentals">
                <anchor moveWithCells="1">
                  <from>
                    <xdr:col>1</xdr:col>
                    <xdr:colOff>443593</xdr:colOff>
                    <xdr:row>34</xdr:row>
                    <xdr:rowOff>125186</xdr:rowOff>
                  </from>
                  <to>
                    <xdr:col>1</xdr:col>
                    <xdr:colOff>756557</xdr:colOff>
                    <xdr:row>36</xdr:row>
                    <xdr:rowOff>19050</xdr:rowOff>
                  </to>
                </anchor>
              </controlPr>
            </control>
          </mc:Choice>
        </mc:AlternateContent>
        <mc:AlternateContent xmlns:mc="http://schemas.openxmlformats.org/markup-compatibility/2006">
          <mc:Choice Requires="x14">
            <control shapeId="67682" r:id="rId91" name="Check Box 98">
              <controlPr defaultSize="0" autoFill="0" autoLine="0" autoPict="0">
                <anchor moveWithCells="1">
                  <from>
                    <xdr:col>2</xdr:col>
                    <xdr:colOff>342900</xdr:colOff>
                    <xdr:row>34</xdr:row>
                    <xdr:rowOff>125186</xdr:rowOff>
                  </from>
                  <to>
                    <xdr:col>2</xdr:col>
                    <xdr:colOff>655864</xdr:colOff>
                    <xdr:row>36</xdr:row>
                    <xdr:rowOff>19050</xdr:rowOff>
                  </to>
                </anchor>
              </controlPr>
            </control>
          </mc:Choice>
        </mc:AlternateContent>
        <mc:AlternateContent xmlns:mc="http://schemas.openxmlformats.org/markup-compatibility/2006">
          <mc:Choice Requires="x14">
            <control shapeId="67683" r:id="rId92" name="Check Box 99">
              <controlPr defaultSize="0" autoFill="0" autoLine="0" autoPict="0">
                <anchor moveWithCells="1">
                  <from>
                    <xdr:col>3</xdr:col>
                    <xdr:colOff>342900</xdr:colOff>
                    <xdr:row>34</xdr:row>
                    <xdr:rowOff>125186</xdr:rowOff>
                  </from>
                  <to>
                    <xdr:col>3</xdr:col>
                    <xdr:colOff>655864</xdr:colOff>
                    <xdr:row>36</xdr:row>
                    <xdr:rowOff>19050</xdr:rowOff>
                  </to>
                </anchor>
              </controlPr>
            </control>
          </mc:Choice>
        </mc:AlternateContent>
        <mc:AlternateContent xmlns:mc="http://schemas.openxmlformats.org/markup-compatibility/2006">
          <mc:Choice Requires="x14">
            <control shapeId="67684" r:id="rId93" name="Check Box 100">
              <controlPr defaultSize="0" autoFill="0" autoLine="0" autoPict="0" macro="[0]!GoToCementing">
                <anchor moveWithCells="1">
                  <from>
                    <xdr:col>1</xdr:col>
                    <xdr:colOff>443593</xdr:colOff>
                    <xdr:row>35</xdr:row>
                    <xdr:rowOff>125186</xdr:rowOff>
                  </from>
                  <to>
                    <xdr:col>1</xdr:col>
                    <xdr:colOff>756557</xdr:colOff>
                    <xdr:row>37</xdr:row>
                    <xdr:rowOff>19050</xdr:rowOff>
                  </to>
                </anchor>
              </controlPr>
            </control>
          </mc:Choice>
        </mc:AlternateContent>
        <mc:AlternateContent xmlns:mc="http://schemas.openxmlformats.org/markup-compatibility/2006">
          <mc:Choice Requires="x14">
            <control shapeId="67685" r:id="rId94" name="Check Box 101">
              <controlPr defaultSize="0" autoFill="0" autoLine="0" autoPict="0">
                <anchor moveWithCells="1">
                  <from>
                    <xdr:col>2</xdr:col>
                    <xdr:colOff>342900</xdr:colOff>
                    <xdr:row>35</xdr:row>
                    <xdr:rowOff>125186</xdr:rowOff>
                  </from>
                  <to>
                    <xdr:col>2</xdr:col>
                    <xdr:colOff>655864</xdr:colOff>
                    <xdr:row>37</xdr:row>
                    <xdr:rowOff>19050</xdr:rowOff>
                  </to>
                </anchor>
              </controlPr>
            </control>
          </mc:Choice>
        </mc:AlternateContent>
        <mc:AlternateContent xmlns:mc="http://schemas.openxmlformats.org/markup-compatibility/2006">
          <mc:Choice Requires="x14">
            <control shapeId="67686" r:id="rId95" name="Check Box 102">
              <controlPr defaultSize="0" autoFill="0" autoLine="0" autoPict="0">
                <anchor moveWithCells="1">
                  <from>
                    <xdr:col>3</xdr:col>
                    <xdr:colOff>342900</xdr:colOff>
                    <xdr:row>35</xdr:row>
                    <xdr:rowOff>125186</xdr:rowOff>
                  </from>
                  <to>
                    <xdr:col>3</xdr:col>
                    <xdr:colOff>655864</xdr:colOff>
                    <xdr:row>37</xdr:row>
                    <xdr:rowOff>19050</xdr:rowOff>
                  </to>
                </anchor>
              </controlPr>
            </control>
          </mc:Choice>
        </mc:AlternateContent>
        <mc:AlternateContent xmlns:mc="http://schemas.openxmlformats.org/markup-compatibility/2006">
          <mc:Choice Requires="x14">
            <control shapeId="67687" r:id="rId96" name="Check Box 103">
              <controlPr defaultSize="0" autoFill="0" autoLine="0" autoPict="0" macro="[0]!GoToAlternateSummary">
                <anchor moveWithCells="1">
                  <from>
                    <xdr:col>1</xdr:col>
                    <xdr:colOff>443593</xdr:colOff>
                    <xdr:row>36</xdr:row>
                    <xdr:rowOff>125186</xdr:rowOff>
                  </from>
                  <to>
                    <xdr:col>1</xdr:col>
                    <xdr:colOff>756557</xdr:colOff>
                    <xdr:row>38</xdr:row>
                    <xdr:rowOff>19050</xdr:rowOff>
                  </to>
                </anchor>
              </controlPr>
            </control>
          </mc:Choice>
        </mc:AlternateContent>
        <mc:AlternateContent xmlns:mc="http://schemas.openxmlformats.org/markup-compatibility/2006">
          <mc:Choice Requires="x14">
            <control shapeId="67688" r:id="rId97" name="Check Box 104">
              <controlPr defaultSize="0" autoFill="0" autoLine="0" autoPict="0">
                <anchor moveWithCells="1">
                  <from>
                    <xdr:col>2</xdr:col>
                    <xdr:colOff>342900</xdr:colOff>
                    <xdr:row>36</xdr:row>
                    <xdr:rowOff>125186</xdr:rowOff>
                  </from>
                  <to>
                    <xdr:col>2</xdr:col>
                    <xdr:colOff>655864</xdr:colOff>
                    <xdr:row>38</xdr:row>
                    <xdr:rowOff>19050</xdr:rowOff>
                  </to>
                </anchor>
              </controlPr>
            </control>
          </mc:Choice>
        </mc:AlternateContent>
        <mc:AlternateContent xmlns:mc="http://schemas.openxmlformats.org/markup-compatibility/2006">
          <mc:Choice Requires="x14">
            <control shapeId="67689" r:id="rId98" name="Check Box 105">
              <controlPr defaultSize="0" autoFill="0" autoLine="0" autoPict="0">
                <anchor moveWithCells="1">
                  <from>
                    <xdr:col>3</xdr:col>
                    <xdr:colOff>342900</xdr:colOff>
                    <xdr:row>36</xdr:row>
                    <xdr:rowOff>125186</xdr:rowOff>
                  </from>
                  <to>
                    <xdr:col>3</xdr:col>
                    <xdr:colOff>655864</xdr:colOff>
                    <xdr:row>38</xdr:row>
                    <xdr:rowOff>19050</xdr:rowOff>
                  </to>
                </anchor>
              </controlPr>
            </control>
          </mc:Choice>
        </mc:AlternateContent>
        <mc:AlternateContent xmlns:mc="http://schemas.openxmlformats.org/markup-compatibility/2006">
          <mc:Choice Requires="x14">
            <control shapeId="67690" r:id="rId99" name="Check Box 106">
              <controlPr defaultSize="0" autoFill="0" autoLine="0" autoPict="0" macro="[0]!GoToPerforating">
                <anchor moveWithCells="1">
                  <from>
                    <xdr:col>1</xdr:col>
                    <xdr:colOff>443593</xdr:colOff>
                    <xdr:row>37</xdr:row>
                    <xdr:rowOff>125186</xdr:rowOff>
                  </from>
                  <to>
                    <xdr:col>1</xdr:col>
                    <xdr:colOff>756557</xdr:colOff>
                    <xdr:row>39</xdr:row>
                    <xdr:rowOff>19050</xdr:rowOff>
                  </to>
                </anchor>
              </controlPr>
            </control>
          </mc:Choice>
        </mc:AlternateContent>
        <mc:AlternateContent xmlns:mc="http://schemas.openxmlformats.org/markup-compatibility/2006">
          <mc:Choice Requires="x14">
            <control shapeId="67691" r:id="rId100" name="Check Box 107">
              <controlPr defaultSize="0" autoFill="0" autoLine="0" autoPict="0">
                <anchor moveWithCells="1">
                  <from>
                    <xdr:col>2</xdr:col>
                    <xdr:colOff>342900</xdr:colOff>
                    <xdr:row>37</xdr:row>
                    <xdr:rowOff>125186</xdr:rowOff>
                  </from>
                  <to>
                    <xdr:col>2</xdr:col>
                    <xdr:colOff>655864</xdr:colOff>
                    <xdr:row>39</xdr:row>
                    <xdr:rowOff>19050</xdr:rowOff>
                  </to>
                </anchor>
              </controlPr>
            </control>
          </mc:Choice>
        </mc:AlternateContent>
        <mc:AlternateContent xmlns:mc="http://schemas.openxmlformats.org/markup-compatibility/2006">
          <mc:Choice Requires="x14">
            <control shapeId="67692" r:id="rId101" name="Check Box 108">
              <controlPr defaultSize="0" autoFill="0" autoLine="0" autoPict="0">
                <anchor moveWithCells="1">
                  <from>
                    <xdr:col>3</xdr:col>
                    <xdr:colOff>342900</xdr:colOff>
                    <xdr:row>37</xdr:row>
                    <xdr:rowOff>125186</xdr:rowOff>
                  </from>
                  <to>
                    <xdr:col>3</xdr:col>
                    <xdr:colOff>655864</xdr:colOff>
                    <xdr:row>39</xdr:row>
                    <xdr:rowOff>19050</xdr:rowOff>
                  </to>
                </anchor>
              </controlPr>
            </control>
          </mc:Choice>
        </mc:AlternateContent>
        <mc:AlternateContent xmlns:mc="http://schemas.openxmlformats.org/markup-compatibility/2006">
          <mc:Choice Requires="x14">
            <control shapeId="67693" r:id="rId102" name="Check Box 109">
              <controlPr defaultSize="0" autoFill="0" autoLine="0" autoPict="0" macro="[0]!GoToTCPConfig">
                <anchor moveWithCells="1">
                  <from>
                    <xdr:col>1</xdr:col>
                    <xdr:colOff>443593</xdr:colOff>
                    <xdr:row>38</xdr:row>
                    <xdr:rowOff>125186</xdr:rowOff>
                  </from>
                  <to>
                    <xdr:col>1</xdr:col>
                    <xdr:colOff>756557</xdr:colOff>
                    <xdr:row>40</xdr:row>
                    <xdr:rowOff>19050</xdr:rowOff>
                  </to>
                </anchor>
              </controlPr>
            </control>
          </mc:Choice>
        </mc:AlternateContent>
        <mc:AlternateContent xmlns:mc="http://schemas.openxmlformats.org/markup-compatibility/2006">
          <mc:Choice Requires="x14">
            <control shapeId="67694" r:id="rId103" name="Check Box 110">
              <controlPr defaultSize="0" autoFill="0" autoLine="0" autoPict="0">
                <anchor moveWithCells="1">
                  <from>
                    <xdr:col>2</xdr:col>
                    <xdr:colOff>342900</xdr:colOff>
                    <xdr:row>38</xdr:row>
                    <xdr:rowOff>125186</xdr:rowOff>
                  </from>
                  <to>
                    <xdr:col>2</xdr:col>
                    <xdr:colOff>655864</xdr:colOff>
                    <xdr:row>40</xdr:row>
                    <xdr:rowOff>19050</xdr:rowOff>
                  </to>
                </anchor>
              </controlPr>
            </control>
          </mc:Choice>
        </mc:AlternateContent>
        <mc:AlternateContent xmlns:mc="http://schemas.openxmlformats.org/markup-compatibility/2006">
          <mc:Choice Requires="x14">
            <control shapeId="67695" r:id="rId104" name="Check Box 111">
              <controlPr defaultSize="0" autoFill="0" autoLine="0" autoPict="0">
                <anchor moveWithCells="1">
                  <from>
                    <xdr:col>3</xdr:col>
                    <xdr:colOff>342900</xdr:colOff>
                    <xdr:row>38</xdr:row>
                    <xdr:rowOff>125186</xdr:rowOff>
                  </from>
                  <to>
                    <xdr:col>3</xdr:col>
                    <xdr:colOff>655864</xdr:colOff>
                    <xdr:row>40</xdr:row>
                    <xdr:rowOff>19050</xdr:rowOff>
                  </to>
                </anchor>
              </controlPr>
            </control>
          </mc:Choice>
        </mc:AlternateContent>
        <mc:AlternateContent xmlns:mc="http://schemas.openxmlformats.org/markup-compatibility/2006">
          <mc:Choice Requires="x14">
            <control shapeId="67696" r:id="rId105" name="Check Box 112">
              <controlPr defaultSize="0" autoFill="0" autoLine="0" autoPict="0" macro="[0]!GoToGradient">
                <anchor moveWithCells="1">
                  <from>
                    <xdr:col>1</xdr:col>
                    <xdr:colOff>443593</xdr:colOff>
                    <xdr:row>39</xdr:row>
                    <xdr:rowOff>125186</xdr:rowOff>
                  </from>
                  <to>
                    <xdr:col>1</xdr:col>
                    <xdr:colOff>756557</xdr:colOff>
                    <xdr:row>41</xdr:row>
                    <xdr:rowOff>19050</xdr:rowOff>
                  </to>
                </anchor>
              </controlPr>
            </control>
          </mc:Choice>
        </mc:AlternateContent>
        <mc:AlternateContent xmlns:mc="http://schemas.openxmlformats.org/markup-compatibility/2006">
          <mc:Choice Requires="x14">
            <control shapeId="67697" r:id="rId106" name="Check Box 113">
              <controlPr defaultSize="0" autoFill="0" autoLine="0" autoPict="0">
                <anchor moveWithCells="1">
                  <from>
                    <xdr:col>2</xdr:col>
                    <xdr:colOff>342900</xdr:colOff>
                    <xdr:row>39</xdr:row>
                    <xdr:rowOff>125186</xdr:rowOff>
                  </from>
                  <to>
                    <xdr:col>2</xdr:col>
                    <xdr:colOff>655864</xdr:colOff>
                    <xdr:row>41</xdr:row>
                    <xdr:rowOff>19050</xdr:rowOff>
                  </to>
                </anchor>
              </controlPr>
            </control>
          </mc:Choice>
        </mc:AlternateContent>
        <mc:AlternateContent xmlns:mc="http://schemas.openxmlformats.org/markup-compatibility/2006">
          <mc:Choice Requires="x14">
            <control shapeId="67698" r:id="rId107" name="Check Box 114">
              <controlPr defaultSize="0" autoFill="0" autoLine="0" autoPict="0">
                <anchor moveWithCells="1">
                  <from>
                    <xdr:col>3</xdr:col>
                    <xdr:colOff>342900</xdr:colOff>
                    <xdr:row>39</xdr:row>
                    <xdr:rowOff>125186</xdr:rowOff>
                  </from>
                  <to>
                    <xdr:col>3</xdr:col>
                    <xdr:colOff>655864</xdr:colOff>
                    <xdr:row>41</xdr:row>
                    <xdr:rowOff>19050</xdr:rowOff>
                  </to>
                </anchor>
              </controlPr>
            </control>
          </mc:Choice>
        </mc:AlternateContent>
        <mc:AlternateContent xmlns:mc="http://schemas.openxmlformats.org/markup-compatibility/2006">
          <mc:Choice Requires="x14">
            <control shapeId="67699" r:id="rId108" name="Check Box 115">
              <controlPr defaultSize="0" autoFill="0" autoLine="0" autoPict="0" macro="[0]!GoToAcid">
                <anchor moveWithCells="1">
                  <from>
                    <xdr:col>1</xdr:col>
                    <xdr:colOff>443593</xdr:colOff>
                    <xdr:row>40</xdr:row>
                    <xdr:rowOff>125186</xdr:rowOff>
                  </from>
                  <to>
                    <xdr:col>1</xdr:col>
                    <xdr:colOff>756557</xdr:colOff>
                    <xdr:row>42</xdr:row>
                    <xdr:rowOff>19050</xdr:rowOff>
                  </to>
                </anchor>
              </controlPr>
            </control>
          </mc:Choice>
        </mc:AlternateContent>
        <mc:AlternateContent xmlns:mc="http://schemas.openxmlformats.org/markup-compatibility/2006">
          <mc:Choice Requires="x14">
            <control shapeId="67700" r:id="rId109" name="Check Box 116">
              <controlPr defaultSize="0" autoFill="0" autoLine="0" autoPict="0">
                <anchor moveWithCells="1">
                  <from>
                    <xdr:col>2</xdr:col>
                    <xdr:colOff>342900</xdr:colOff>
                    <xdr:row>40</xdr:row>
                    <xdr:rowOff>125186</xdr:rowOff>
                  </from>
                  <to>
                    <xdr:col>2</xdr:col>
                    <xdr:colOff>655864</xdr:colOff>
                    <xdr:row>42</xdr:row>
                    <xdr:rowOff>19050</xdr:rowOff>
                  </to>
                </anchor>
              </controlPr>
            </control>
          </mc:Choice>
        </mc:AlternateContent>
        <mc:AlternateContent xmlns:mc="http://schemas.openxmlformats.org/markup-compatibility/2006">
          <mc:Choice Requires="x14">
            <control shapeId="67701" r:id="rId110" name="Check Box 117">
              <controlPr defaultSize="0" autoFill="0" autoLine="0" autoPict="0">
                <anchor moveWithCells="1">
                  <from>
                    <xdr:col>3</xdr:col>
                    <xdr:colOff>342900</xdr:colOff>
                    <xdr:row>40</xdr:row>
                    <xdr:rowOff>125186</xdr:rowOff>
                  </from>
                  <to>
                    <xdr:col>3</xdr:col>
                    <xdr:colOff>655864</xdr:colOff>
                    <xdr:row>42</xdr:row>
                    <xdr:rowOff>19050</xdr:rowOff>
                  </to>
                </anchor>
              </controlPr>
            </control>
          </mc:Choice>
        </mc:AlternateContent>
        <mc:AlternateContent xmlns:mc="http://schemas.openxmlformats.org/markup-compatibility/2006">
          <mc:Choice Requires="x14">
            <control shapeId="67702" r:id="rId111" name="Check Box 118">
              <controlPr defaultSize="0" autoFill="0" autoLine="0" autoPict="0" macro="[0]!GoToSwab">
                <anchor moveWithCells="1">
                  <from>
                    <xdr:col>1</xdr:col>
                    <xdr:colOff>443593</xdr:colOff>
                    <xdr:row>41</xdr:row>
                    <xdr:rowOff>125186</xdr:rowOff>
                  </from>
                  <to>
                    <xdr:col>1</xdr:col>
                    <xdr:colOff>756557</xdr:colOff>
                    <xdr:row>43</xdr:row>
                    <xdr:rowOff>19050</xdr:rowOff>
                  </to>
                </anchor>
              </controlPr>
            </control>
          </mc:Choice>
        </mc:AlternateContent>
        <mc:AlternateContent xmlns:mc="http://schemas.openxmlformats.org/markup-compatibility/2006">
          <mc:Choice Requires="x14">
            <control shapeId="67703" r:id="rId112" name="Check Box 119">
              <controlPr defaultSize="0" autoFill="0" autoLine="0" autoPict="0">
                <anchor moveWithCells="1">
                  <from>
                    <xdr:col>2</xdr:col>
                    <xdr:colOff>342900</xdr:colOff>
                    <xdr:row>41</xdr:row>
                    <xdr:rowOff>125186</xdr:rowOff>
                  </from>
                  <to>
                    <xdr:col>2</xdr:col>
                    <xdr:colOff>655864</xdr:colOff>
                    <xdr:row>43</xdr:row>
                    <xdr:rowOff>19050</xdr:rowOff>
                  </to>
                </anchor>
              </controlPr>
            </control>
          </mc:Choice>
        </mc:AlternateContent>
        <mc:AlternateContent xmlns:mc="http://schemas.openxmlformats.org/markup-compatibility/2006">
          <mc:Choice Requires="x14">
            <control shapeId="67704" r:id="rId113" name="Check Box 120">
              <controlPr defaultSize="0" autoFill="0" autoLine="0" autoPict="0">
                <anchor moveWithCells="1">
                  <from>
                    <xdr:col>3</xdr:col>
                    <xdr:colOff>342900</xdr:colOff>
                    <xdr:row>41</xdr:row>
                    <xdr:rowOff>125186</xdr:rowOff>
                  </from>
                  <to>
                    <xdr:col>3</xdr:col>
                    <xdr:colOff>655864</xdr:colOff>
                    <xdr:row>43</xdr:row>
                    <xdr:rowOff>19050</xdr:rowOff>
                  </to>
                </anchor>
              </controlPr>
            </control>
          </mc:Choice>
        </mc:AlternateContent>
        <mc:AlternateContent xmlns:mc="http://schemas.openxmlformats.org/markup-compatibility/2006">
          <mc:Choice Requires="x14">
            <control shapeId="67705" r:id="rId114" name="Check Box 121">
              <controlPr defaultSize="0" autoFill="0" autoLine="0" autoPict="0" macro="[0]!GoToFrac">
                <anchor moveWithCells="1">
                  <from>
                    <xdr:col>1</xdr:col>
                    <xdr:colOff>443593</xdr:colOff>
                    <xdr:row>42</xdr:row>
                    <xdr:rowOff>125186</xdr:rowOff>
                  </from>
                  <to>
                    <xdr:col>1</xdr:col>
                    <xdr:colOff>756557</xdr:colOff>
                    <xdr:row>44</xdr:row>
                    <xdr:rowOff>19050</xdr:rowOff>
                  </to>
                </anchor>
              </controlPr>
            </control>
          </mc:Choice>
        </mc:AlternateContent>
        <mc:AlternateContent xmlns:mc="http://schemas.openxmlformats.org/markup-compatibility/2006">
          <mc:Choice Requires="x14">
            <control shapeId="67706" r:id="rId115" name="Check Box 122">
              <controlPr defaultSize="0" autoFill="0" autoLine="0" autoPict="0">
                <anchor moveWithCells="1">
                  <from>
                    <xdr:col>2</xdr:col>
                    <xdr:colOff>342900</xdr:colOff>
                    <xdr:row>42</xdr:row>
                    <xdr:rowOff>125186</xdr:rowOff>
                  </from>
                  <to>
                    <xdr:col>2</xdr:col>
                    <xdr:colOff>655864</xdr:colOff>
                    <xdr:row>44</xdr:row>
                    <xdr:rowOff>19050</xdr:rowOff>
                  </to>
                </anchor>
              </controlPr>
            </control>
          </mc:Choice>
        </mc:AlternateContent>
        <mc:AlternateContent xmlns:mc="http://schemas.openxmlformats.org/markup-compatibility/2006">
          <mc:Choice Requires="x14">
            <control shapeId="67707" r:id="rId116" name="Check Box 123">
              <controlPr defaultSize="0" autoFill="0" autoLine="0" autoPict="0">
                <anchor moveWithCells="1">
                  <from>
                    <xdr:col>3</xdr:col>
                    <xdr:colOff>342900</xdr:colOff>
                    <xdr:row>42</xdr:row>
                    <xdr:rowOff>125186</xdr:rowOff>
                  </from>
                  <to>
                    <xdr:col>3</xdr:col>
                    <xdr:colOff>655864</xdr:colOff>
                    <xdr:row>44</xdr:row>
                    <xdr:rowOff>19050</xdr:rowOff>
                  </to>
                </anchor>
              </controlPr>
            </control>
          </mc:Choice>
        </mc:AlternateContent>
        <mc:AlternateContent xmlns:mc="http://schemas.openxmlformats.org/markup-compatibility/2006">
          <mc:Choice Requires="x14">
            <control shapeId="67708" r:id="rId117" name="Check Box 124">
              <controlPr defaultSize="0" autoFill="0" autoLine="0" autoPict="0" macro="[0]!GoToSep_Flow">
                <anchor moveWithCells="1">
                  <from>
                    <xdr:col>1</xdr:col>
                    <xdr:colOff>443593</xdr:colOff>
                    <xdr:row>43</xdr:row>
                    <xdr:rowOff>125186</xdr:rowOff>
                  </from>
                  <to>
                    <xdr:col>1</xdr:col>
                    <xdr:colOff>756557</xdr:colOff>
                    <xdr:row>45</xdr:row>
                    <xdr:rowOff>19050</xdr:rowOff>
                  </to>
                </anchor>
              </controlPr>
            </control>
          </mc:Choice>
        </mc:AlternateContent>
        <mc:AlternateContent xmlns:mc="http://schemas.openxmlformats.org/markup-compatibility/2006">
          <mc:Choice Requires="x14">
            <control shapeId="67709" r:id="rId118" name="Check Box 125">
              <controlPr defaultSize="0" autoFill="0" autoLine="0" autoPict="0">
                <anchor moveWithCells="1">
                  <from>
                    <xdr:col>2</xdr:col>
                    <xdr:colOff>342900</xdr:colOff>
                    <xdr:row>43</xdr:row>
                    <xdr:rowOff>125186</xdr:rowOff>
                  </from>
                  <to>
                    <xdr:col>2</xdr:col>
                    <xdr:colOff>655864</xdr:colOff>
                    <xdr:row>45</xdr:row>
                    <xdr:rowOff>19050</xdr:rowOff>
                  </to>
                </anchor>
              </controlPr>
            </control>
          </mc:Choice>
        </mc:AlternateContent>
        <mc:AlternateContent xmlns:mc="http://schemas.openxmlformats.org/markup-compatibility/2006">
          <mc:Choice Requires="x14">
            <control shapeId="67710" r:id="rId119" name="Check Box 126">
              <controlPr defaultSize="0" autoFill="0" autoLine="0" autoPict="0">
                <anchor moveWithCells="1">
                  <from>
                    <xdr:col>3</xdr:col>
                    <xdr:colOff>342900</xdr:colOff>
                    <xdr:row>43</xdr:row>
                    <xdr:rowOff>125186</xdr:rowOff>
                  </from>
                  <to>
                    <xdr:col>3</xdr:col>
                    <xdr:colOff>655864</xdr:colOff>
                    <xdr:row>45</xdr:row>
                    <xdr:rowOff>19050</xdr:rowOff>
                  </to>
                </anchor>
              </controlPr>
            </control>
          </mc:Choice>
        </mc:AlternateContent>
        <mc:AlternateContent xmlns:mc="http://schemas.openxmlformats.org/markup-compatibility/2006">
          <mc:Choice Requires="x14">
            <control shapeId="67711" r:id="rId120" name="Check Box 127">
              <controlPr defaultSize="0" autoFill="0" autoLine="0" autoPict="0" macro="[0]!GoToGasrateCalc">
                <anchor moveWithCells="1">
                  <from>
                    <xdr:col>1</xdr:col>
                    <xdr:colOff>443593</xdr:colOff>
                    <xdr:row>44</xdr:row>
                    <xdr:rowOff>125186</xdr:rowOff>
                  </from>
                  <to>
                    <xdr:col>1</xdr:col>
                    <xdr:colOff>756557</xdr:colOff>
                    <xdr:row>46</xdr:row>
                    <xdr:rowOff>19050</xdr:rowOff>
                  </to>
                </anchor>
              </controlPr>
            </control>
          </mc:Choice>
        </mc:AlternateContent>
        <mc:AlternateContent xmlns:mc="http://schemas.openxmlformats.org/markup-compatibility/2006">
          <mc:Choice Requires="x14">
            <control shapeId="67712" r:id="rId121" name="Check Box 128">
              <controlPr defaultSize="0" autoFill="0" autoLine="0" autoPict="0">
                <anchor moveWithCells="1">
                  <from>
                    <xdr:col>2</xdr:col>
                    <xdr:colOff>342900</xdr:colOff>
                    <xdr:row>44</xdr:row>
                    <xdr:rowOff>125186</xdr:rowOff>
                  </from>
                  <to>
                    <xdr:col>2</xdr:col>
                    <xdr:colOff>655864</xdr:colOff>
                    <xdr:row>46</xdr:row>
                    <xdr:rowOff>19050</xdr:rowOff>
                  </to>
                </anchor>
              </controlPr>
            </control>
          </mc:Choice>
        </mc:AlternateContent>
        <mc:AlternateContent xmlns:mc="http://schemas.openxmlformats.org/markup-compatibility/2006">
          <mc:Choice Requires="x14">
            <control shapeId="67713" r:id="rId122" name="Check Box 129">
              <controlPr defaultSize="0" autoFill="0" autoLine="0" autoPict="0">
                <anchor moveWithCells="1">
                  <from>
                    <xdr:col>3</xdr:col>
                    <xdr:colOff>342900</xdr:colOff>
                    <xdr:row>44</xdr:row>
                    <xdr:rowOff>125186</xdr:rowOff>
                  </from>
                  <to>
                    <xdr:col>3</xdr:col>
                    <xdr:colOff>655864</xdr:colOff>
                    <xdr:row>46</xdr:row>
                    <xdr:rowOff>19050</xdr:rowOff>
                  </to>
                </anchor>
              </controlPr>
            </control>
          </mc:Choice>
        </mc:AlternateContent>
        <mc:AlternateContent xmlns:mc="http://schemas.openxmlformats.org/markup-compatibility/2006">
          <mc:Choice Requires="x14">
            <control shapeId="67714" r:id="rId123" name="Check Box 130">
              <controlPr defaultSize="0" autoFill="0" autoLine="0" autoPict="0" macro="[0]!GoToChokeFlow">
                <anchor moveWithCells="1">
                  <from>
                    <xdr:col>1</xdr:col>
                    <xdr:colOff>443593</xdr:colOff>
                    <xdr:row>45</xdr:row>
                    <xdr:rowOff>125186</xdr:rowOff>
                  </from>
                  <to>
                    <xdr:col>1</xdr:col>
                    <xdr:colOff>756557</xdr:colOff>
                    <xdr:row>47</xdr:row>
                    <xdr:rowOff>19050</xdr:rowOff>
                  </to>
                </anchor>
              </controlPr>
            </control>
          </mc:Choice>
        </mc:AlternateContent>
        <mc:AlternateContent xmlns:mc="http://schemas.openxmlformats.org/markup-compatibility/2006">
          <mc:Choice Requires="x14">
            <control shapeId="67715" r:id="rId124" name="Check Box 131">
              <controlPr defaultSize="0" autoFill="0" autoLine="0" autoPict="0">
                <anchor moveWithCells="1">
                  <from>
                    <xdr:col>2</xdr:col>
                    <xdr:colOff>342900</xdr:colOff>
                    <xdr:row>45</xdr:row>
                    <xdr:rowOff>125186</xdr:rowOff>
                  </from>
                  <to>
                    <xdr:col>2</xdr:col>
                    <xdr:colOff>655864</xdr:colOff>
                    <xdr:row>47</xdr:row>
                    <xdr:rowOff>19050</xdr:rowOff>
                  </to>
                </anchor>
              </controlPr>
            </control>
          </mc:Choice>
        </mc:AlternateContent>
        <mc:AlternateContent xmlns:mc="http://schemas.openxmlformats.org/markup-compatibility/2006">
          <mc:Choice Requires="x14">
            <control shapeId="67716" r:id="rId125" name="Check Box 132">
              <controlPr defaultSize="0" autoFill="0" autoLine="0" autoPict="0">
                <anchor moveWithCells="1">
                  <from>
                    <xdr:col>3</xdr:col>
                    <xdr:colOff>342900</xdr:colOff>
                    <xdr:row>45</xdr:row>
                    <xdr:rowOff>125186</xdr:rowOff>
                  </from>
                  <to>
                    <xdr:col>3</xdr:col>
                    <xdr:colOff>655864</xdr:colOff>
                    <xdr:row>47</xdr:row>
                    <xdr:rowOff>19050</xdr:rowOff>
                  </to>
                </anchor>
              </controlPr>
            </control>
          </mc:Choice>
        </mc:AlternateContent>
        <mc:AlternateContent xmlns:mc="http://schemas.openxmlformats.org/markup-compatibility/2006">
          <mc:Choice Requires="x14">
            <control shapeId="67717" r:id="rId126" name="Check Box 133">
              <controlPr defaultSize="0" autoFill="0" autoLine="0" autoPict="0" macro="[0]!GoToTransfer">
                <anchor moveWithCells="1">
                  <from>
                    <xdr:col>1</xdr:col>
                    <xdr:colOff>443593</xdr:colOff>
                    <xdr:row>46</xdr:row>
                    <xdr:rowOff>125186</xdr:rowOff>
                  </from>
                  <to>
                    <xdr:col>1</xdr:col>
                    <xdr:colOff>756557</xdr:colOff>
                    <xdr:row>48</xdr:row>
                    <xdr:rowOff>19050</xdr:rowOff>
                  </to>
                </anchor>
              </controlPr>
            </control>
          </mc:Choice>
        </mc:AlternateContent>
        <mc:AlternateContent xmlns:mc="http://schemas.openxmlformats.org/markup-compatibility/2006">
          <mc:Choice Requires="x14">
            <control shapeId="67718" r:id="rId127" name="Check Box 134">
              <controlPr defaultSize="0" autoFill="0" autoLine="0" autoPict="0">
                <anchor moveWithCells="1">
                  <from>
                    <xdr:col>2</xdr:col>
                    <xdr:colOff>342900</xdr:colOff>
                    <xdr:row>46</xdr:row>
                    <xdr:rowOff>125186</xdr:rowOff>
                  </from>
                  <to>
                    <xdr:col>2</xdr:col>
                    <xdr:colOff>655864</xdr:colOff>
                    <xdr:row>48</xdr:row>
                    <xdr:rowOff>19050</xdr:rowOff>
                  </to>
                </anchor>
              </controlPr>
            </control>
          </mc:Choice>
        </mc:AlternateContent>
        <mc:AlternateContent xmlns:mc="http://schemas.openxmlformats.org/markup-compatibility/2006">
          <mc:Choice Requires="x14">
            <control shapeId="67719" r:id="rId128" name="Check Box 135">
              <controlPr defaultSize="0" autoFill="0" autoLine="0" autoPict="0">
                <anchor moveWithCells="1">
                  <from>
                    <xdr:col>3</xdr:col>
                    <xdr:colOff>342900</xdr:colOff>
                    <xdr:row>46</xdr:row>
                    <xdr:rowOff>125186</xdr:rowOff>
                  </from>
                  <to>
                    <xdr:col>3</xdr:col>
                    <xdr:colOff>655864</xdr:colOff>
                    <xdr:row>48</xdr:row>
                    <xdr:rowOff>19050</xdr:rowOff>
                  </to>
                </anchor>
              </controlPr>
            </control>
          </mc:Choice>
        </mc:AlternateContent>
        <mc:AlternateContent xmlns:mc="http://schemas.openxmlformats.org/markup-compatibility/2006">
          <mc:Choice Requires="x14">
            <control shapeId="67720" r:id="rId129" name="Button 136">
              <controlPr defaultSize="0" print="0" autoFill="0" autoPict="0" macro="[0]!BACKTOMENU">
                <anchor moveWithCells="1">
                  <from>
                    <xdr:col>4</xdr:col>
                    <xdr:colOff>97971</xdr:colOff>
                    <xdr:row>0</xdr:row>
                    <xdr:rowOff>277586</xdr:rowOff>
                  </from>
                  <to>
                    <xdr:col>5</xdr:col>
                    <xdr:colOff>0</xdr:colOff>
                    <xdr:row>2</xdr:row>
                    <xdr:rowOff>19050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F624-AC1F-4F3F-91EB-DDCE0DFF3A2D}">
  <sheetPr transitionEvaluation="1" codeName="Sheet43">
    <pageSetUpPr fitToPage="1"/>
  </sheetPr>
  <dimension ref="A1:S72"/>
  <sheetViews>
    <sheetView showGridLines="0" showZeros="0" zoomScale="75" workbookViewId="0">
      <selection activeCell="H11" sqref="H11"/>
    </sheetView>
  </sheetViews>
  <sheetFormatPr defaultColWidth="14.421875" defaultRowHeight="14.6"/>
  <cols>
    <col min="1" max="1" width="1.84375" style="559" customWidth="1"/>
    <col min="2" max="2" width="14.421875" style="597" customWidth="1"/>
    <col min="3" max="4" width="12.15234375" style="559" customWidth="1"/>
    <col min="5" max="6" width="9.84375" style="559" customWidth="1"/>
    <col min="7" max="7" width="11" style="559" customWidth="1"/>
    <col min="8" max="11" width="9.84375" style="559" customWidth="1"/>
    <col min="12" max="13" width="11" style="559" customWidth="1"/>
    <col min="14" max="14" width="13.265625" style="559" customWidth="1"/>
    <col min="15" max="15" width="35" style="559" customWidth="1"/>
    <col min="16" max="16" width="1.84375" style="559" customWidth="1"/>
    <col min="17" max="16384" width="14.421875" style="559"/>
  </cols>
  <sheetData>
    <row r="1" spans="1:19" ht="20.100000000000001" customHeight="1">
      <c r="A1" s="554"/>
      <c r="B1" s="555">
        <f>Summary!C5</f>
        <v>0</v>
      </c>
      <c r="C1" s="556"/>
      <c r="D1" s="556"/>
      <c r="E1" s="557"/>
      <c r="F1" s="557"/>
      <c r="G1" s="557"/>
      <c r="H1" s="557"/>
      <c r="I1" s="557"/>
      <c r="J1" s="557"/>
      <c r="K1" s="557"/>
      <c r="L1" s="557"/>
      <c r="M1" s="557"/>
      <c r="N1" s="557"/>
      <c r="O1" s="557"/>
      <c r="P1" s="558"/>
    </row>
    <row r="2" spans="1:19" ht="20.100000000000001" customHeight="1">
      <c r="A2" s="560"/>
      <c r="B2" s="561" t="s">
        <v>115</v>
      </c>
      <c r="C2" s="562"/>
      <c r="D2" s="562"/>
      <c r="P2" s="563"/>
    </row>
    <row r="3" spans="1:19" ht="18">
      <c r="A3" s="560"/>
      <c r="B3" s="564" t="s">
        <v>247</v>
      </c>
      <c r="C3" s="565"/>
      <c r="D3" s="565"/>
      <c r="E3" s="565"/>
      <c r="F3" s="565"/>
      <c r="G3" s="565"/>
      <c r="H3" s="565"/>
      <c r="I3" s="565"/>
      <c r="J3" s="565"/>
      <c r="K3" s="565"/>
      <c r="L3" s="565"/>
      <c r="M3" s="565"/>
      <c r="N3" s="894" t="s">
        <v>248</v>
      </c>
      <c r="O3" s="895" t="str">
        <f>IF(O41=" ","1",IF(O41=O5,"1 of 2","1"))</f>
        <v>1</v>
      </c>
      <c r="P3" s="563"/>
    </row>
    <row r="4" spans="1:19" ht="10.15" customHeight="1" thickBot="1">
      <c r="A4" s="560"/>
      <c r="B4" s="566"/>
      <c r="P4" s="563"/>
    </row>
    <row r="5" spans="1:19" ht="20.100000000000001" customHeight="1" thickBot="1">
      <c r="A5" s="560"/>
      <c r="B5" s="567" t="s">
        <v>249</v>
      </c>
      <c r="C5" s="568"/>
      <c r="D5" s="2512">
        <f>(Summary!C6)</f>
        <v>0</v>
      </c>
      <c r="E5" s="2513"/>
      <c r="F5" s="2513"/>
      <c r="G5" s="2513"/>
      <c r="H5" s="2513"/>
      <c r="I5" s="2513"/>
      <c r="J5" s="2513"/>
      <c r="K5" s="2514"/>
      <c r="L5" s="896" t="s">
        <v>352</v>
      </c>
      <c r="M5" s="897"/>
      <c r="N5" s="898"/>
      <c r="O5" s="899" t="s">
        <v>115</v>
      </c>
      <c r="P5" s="563"/>
    </row>
    <row r="6" spans="1:19" ht="20.100000000000001" customHeight="1" thickBot="1">
      <c r="A6" s="560"/>
      <c r="B6" s="569" t="s">
        <v>250</v>
      </c>
      <c r="C6" s="570"/>
      <c r="D6" s="2520" t="str">
        <f>IF(Summary!C32=" "," ",Summary!C32)</f>
        <v xml:space="preserve"> </v>
      </c>
      <c r="E6" s="2521"/>
      <c r="F6" s="2521" t="str">
        <f>IF(Summary!C33=" "," ",Summary!C33)</f>
        <v xml:space="preserve"> </v>
      </c>
      <c r="G6" s="2521"/>
      <c r="H6" s="2521" t="str">
        <f>IF(Summary!C34=" "," ",Summary!C34)</f>
        <v xml:space="preserve"> </v>
      </c>
      <c r="I6" s="2521"/>
      <c r="J6" s="795"/>
      <c r="K6" s="795"/>
      <c r="L6" s="900" t="s">
        <v>251</v>
      </c>
      <c r="M6" s="901"/>
      <c r="N6" s="571"/>
      <c r="O6" s="902" t="s">
        <v>115</v>
      </c>
      <c r="P6" s="563"/>
    </row>
    <row r="7" spans="1:19" ht="20.100000000000001" customHeight="1" thickBot="1">
      <c r="A7" s="560"/>
      <c r="B7" s="569" t="s">
        <v>252</v>
      </c>
      <c r="C7" s="570"/>
      <c r="D7" s="903" t="s">
        <v>115</v>
      </c>
      <c r="E7" s="904"/>
      <c r="F7" s="905"/>
      <c r="G7" s="906"/>
      <c r="H7" s="905"/>
      <c r="I7" s="907"/>
      <c r="J7" s="908"/>
      <c r="K7" s="903"/>
      <c r="L7" s="900" t="s">
        <v>279</v>
      </c>
      <c r="M7" s="901"/>
      <c r="N7" s="571"/>
      <c r="O7" s="902">
        <v>0</v>
      </c>
      <c r="P7" s="563"/>
    </row>
    <row r="8" spans="1:19" ht="20.100000000000001" customHeight="1" thickBot="1">
      <c r="A8" s="560" t="s">
        <v>115</v>
      </c>
      <c r="B8" s="569" t="s">
        <v>254</v>
      </c>
      <c r="C8" s="571" t="s">
        <v>255</v>
      </c>
      <c r="D8" s="801">
        <f>SUM(J12:J35)</f>
        <v>0</v>
      </c>
      <c r="E8" s="802" t="s">
        <v>966</v>
      </c>
      <c r="F8" s="803">
        <f>D8/0.0283</f>
        <v>0</v>
      </c>
      <c r="G8" s="802" t="s">
        <v>257</v>
      </c>
      <c r="H8" s="2474" t="s">
        <v>631</v>
      </c>
      <c r="I8" s="2475"/>
      <c r="J8" s="804" t="s">
        <v>410</v>
      </c>
      <c r="K8" s="912"/>
      <c r="L8" s="900" t="s">
        <v>115</v>
      </c>
      <c r="M8" s="901" t="s">
        <v>115</v>
      </c>
      <c r="N8" s="571" t="s">
        <v>115</v>
      </c>
      <c r="O8" s="913" t="s">
        <v>115</v>
      </c>
      <c r="P8" s="563"/>
    </row>
    <row r="9" spans="1:19" ht="10.15" customHeight="1" thickBot="1">
      <c r="A9" s="560"/>
      <c r="B9" s="572"/>
      <c r="C9" s="573"/>
      <c r="D9" s="914"/>
      <c r="E9" s="914"/>
      <c r="F9" s="914"/>
      <c r="G9" s="914"/>
      <c r="H9" s="914"/>
      <c r="I9" s="914"/>
      <c r="J9" s="914"/>
      <c r="K9" s="914"/>
      <c r="L9" s="914"/>
      <c r="M9" s="914"/>
      <c r="N9" s="914"/>
      <c r="O9" s="914"/>
      <c r="P9" s="563"/>
    </row>
    <row r="10" spans="1:19" ht="20.100000000000001" customHeight="1" thickBot="1">
      <c r="A10" s="560"/>
      <c r="B10" s="574" t="s">
        <v>125</v>
      </c>
      <c r="C10" s="575"/>
      <c r="D10" s="915" t="s">
        <v>259</v>
      </c>
      <c r="E10" s="915" t="s">
        <v>204</v>
      </c>
      <c r="F10" s="916" t="s">
        <v>260</v>
      </c>
      <c r="G10" s="2518" t="s">
        <v>332</v>
      </c>
      <c r="H10" s="2519"/>
      <c r="I10" s="917" t="s">
        <v>262</v>
      </c>
      <c r="J10" s="917"/>
      <c r="K10" s="918"/>
      <c r="L10" s="915" t="s">
        <v>263</v>
      </c>
      <c r="M10" s="915" t="s">
        <v>263</v>
      </c>
      <c r="N10" s="915" t="s">
        <v>264</v>
      </c>
      <c r="O10" s="919" t="s">
        <v>265</v>
      </c>
      <c r="P10" s="563"/>
      <c r="Q10" s="575"/>
      <c r="R10" s="915" t="s">
        <v>204</v>
      </c>
      <c r="S10" s="915" t="s">
        <v>263</v>
      </c>
    </row>
    <row r="11" spans="1:19" ht="20.100000000000001" customHeight="1" thickBot="1">
      <c r="A11" s="560"/>
      <c r="B11" s="576" t="s">
        <v>266</v>
      </c>
      <c r="C11" s="577" t="s">
        <v>208</v>
      </c>
      <c r="D11" s="920" t="s">
        <v>267</v>
      </c>
      <c r="E11" s="920" t="s">
        <v>217</v>
      </c>
      <c r="F11" s="920" t="s">
        <v>217</v>
      </c>
      <c r="G11" s="920" t="s">
        <v>268</v>
      </c>
      <c r="H11" s="921" t="s">
        <v>415</v>
      </c>
      <c r="I11" s="920" t="s">
        <v>194</v>
      </c>
      <c r="J11" s="920" t="s">
        <v>270</v>
      </c>
      <c r="K11" s="920" t="s">
        <v>193</v>
      </c>
      <c r="L11" s="920" t="s">
        <v>271</v>
      </c>
      <c r="M11" s="920" t="s">
        <v>272</v>
      </c>
      <c r="N11" s="920" t="s">
        <v>273</v>
      </c>
      <c r="O11" s="922"/>
      <c r="P11" s="563"/>
      <c r="Q11" s="577" t="s">
        <v>208</v>
      </c>
      <c r="R11" s="920" t="s">
        <v>217</v>
      </c>
      <c r="S11" s="920" t="s">
        <v>271</v>
      </c>
    </row>
    <row r="12" spans="1:19" ht="20.100000000000001" customHeight="1" thickBot="1">
      <c r="A12" s="560"/>
      <c r="B12" s="1138">
        <f>IF(D12=0,0,VLOOKUP(D12,Coefficients!A29:F50,5,0))</f>
        <v>0</v>
      </c>
      <c r="C12" s="578" t="s">
        <v>115</v>
      </c>
      <c r="D12" s="841">
        <v>0</v>
      </c>
      <c r="E12" s="924" t="s">
        <v>115</v>
      </c>
      <c r="F12" s="924" t="s">
        <v>115</v>
      </c>
      <c r="G12" s="925" t="s">
        <v>115</v>
      </c>
      <c r="H12" s="926" t="s">
        <v>115</v>
      </c>
      <c r="I12" s="927">
        <v>0</v>
      </c>
      <c r="J12" s="841">
        <f t="shared" ref="J12:J31" si="0">(L12/48)</f>
        <v>0</v>
      </c>
      <c r="K12" s="927">
        <v>0</v>
      </c>
      <c r="L12" s="926">
        <f t="shared" ref="L12:L31" si="1">M12*0.0266</f>
        <v>0</v>
      </c>
      <c r="M12" s="579">
        <f t="shared" ref="M12:M31" si="2">IF(E12=0,0,(((E12/6.895)+14)*B12)/17.5)</f>
        <v>0</v>
      </c>
      <c r="N12" s="925">
        <f>IF(F12=0,0,IF(O7=0,0,((O7-F12)/O7)*100))</f>
        <v>0</v>
      </c>
      <c r="O12" s="928" t="s">
        <v>115</v>
      </c>
      <c r="P12" s="563"/>
      <c r="Q12" s="578" t="str">
        <f t="shared" ref="Q12:Q31" si="3">C12</f>
        <v xml:space="preserve"> </v>
      </c>
      <c r="R12" s="924" t="str">
        <f t="shared" ref="R12:R31" si="4">E12</f>
        <v xml:space="preserve"> </v>
      </c>
      <c r="S12" s="926">
        <f>L12</f>
        <v>0</v>
      </c>
    </row>
    <row r="13" spans="1:19" ht="20.100000000000001" customHeight="1" thickBot="1">
      <c r="A13" s="560"/>
      <c r="B13" s="1138">
        <f>IF(D13=0,0,VLOOKUP(D13,Coefficients!A29:F50,5,0))</f>
        <v>0</v>
      </c>
      <c r="C13" s="578"/>
      <c r="D13" s="841"/>
      <c r="E13" s="924" t="s">
        <v>115</v>
      </c>
      <c r="F13" s="924" t="s">
        <v>115</v>
      </c>
      <c r="G13" s="925" t="s">
        <v>115</v>
      </c>
      <c r="H13" s="926" t="s">
        <v>115</v>
      </c>
      <c r="I13" s="927">
        <v>0</v>
      </c>
      <c r="J13" s="841">
        <f t="shared" si="0"/>
        <v>0</v>
      </c>
      <c r="K13" s="927">
        <v>0</v>
      </c>
      <c r="L13" s="927">
        <f t="shared" si="1"/>
        <v>0</v>
      </c>
      <c r="M13" s="579">
        <f t="shared" si="2"/>
        <v>0</v>
      </c>
      <c r="N13" s="925">
        <f>IF(F13=0,0,IF(O7=0,0,((O7-F13)/O7)*100))</f>
        <v>0</v>
      </c>
      <c r="O13" s="928"/>
      <c r="P13" s="563"/>
      <c r="Q13" s="578">
        <f t="shared" si="3"/>
        <v>0</v>
      </c>
      <c r="R13" s="924" t="str">
        <f t="shared" si="4"/>
        <v xml:space="preserve"> </v>
      </c>
      <c r="S13" s="926">
        <f>L13</f>
        <v>0</v>
      </c>
    </row>
    <row r="14" spans="1:19" ht="20.100000000000001" customHeight="1" thickBot="1">
      <c r="A14" s="560"/>
      <c r="B14" s="1138">
        <f>IF(D14=0,0,VLOOKUP(D14,Coefficients!A29:F50,5,0))</f>
        <v>0</v>
      </c>
      <c r="C14" s="578"/>
      <c r="D14" s="841"/>
      <c r="E14" s="924" t="s">
        <v>115</v>
      </c>
      <c r="F14" s="924" t="s">
        <v>115</v>
      </c>
      <c r="G14" s="925" t="s">
        <v>115</v>
      </c>
      <c r="H14" s="926" t="s">
        <v>115</v>
      </c>
      <c r="I14" s="927">
        <v>0</v>
      </c>
      <c r="J14" s="841">
        <f t="shared" si="0"/>
        <v>0</v>
      </c>
      <c r="K14" s="927">
        <v>0</v>
      </c>
      <c r="L14" s="927">
        <f t="shared" si="1"/>
        <v>0</v>
      </c>
      <c r="M14" s="579">
        <f t="shared" si="2"/>
        <v>0</v>
      </c>
      <c r="N14" s="925">
        <f>IF(F14=0,0,IF(O7=0,0,((O7-F14)/O7)*100))</f>
        <v>0</v>
      </c>
      <c r="O14" s="928"/>
      <c r="P14" s="563"/>
      <c r="Q14" s="578">
        <f t="shared" si="3"/>
        <v>0</v>
      </c>
      <c r="R14" s="924" t="str">
        <f t="shared" si="4"/>
        <v xml:space="preserve"> </v>
      </c>
      <c r="S14" s="926">
        <f>L14</f>
        <v>0</v>
      </c>
    </row>
    <row r="15" spans="1:19" ht="20.100000000000001" customHeight="1" thickBot="1">
      <c r="A15" s="560"/>
      <c r="B15" s="1138">
        <f>IF(D15=0,0,VLOOKUP(D15,Coefficients!A29:F50,5,0))</f>
        <v>0</v>
      </c>
      <c r="C15" s="578"/>
      <c r="D15" s="841"/>
      <c r="E15" s="924" t="s">
        <v>115</v>
      </c>
      <c r="F15" s="924" t="s">
        <v>115</v>
      </c>
      <c r="G15" s="925" t="s">
        <v>115</v>
      </c>
      <c r="H15" s="926" t="s">
        <v>115</v>
      </c>
      <c r="I15" s="927">
        <v>0</v>
      </c>
      <c r="J15" s="841">
        <f t="shared" si="0"/>
        <v>0</v>
      </c>
      <c r="K15" s="927">
        <v>0</v>
      </c>
      <c r="L15" s="927">
        <f t="shared" si="1"/>
        <v>0</v>
      </c>
      <c r="M15" s="579">
        <f t="shared" si="2"/>
        <v>0</v>
      </c>
      <c r="N15" s="925">
        <f>IF(F15=0,0,IF(O7=0,0,((O7-F15)/O7)*100))</f>
        <v>0</v>
      </c>
      <c r="O15" s="928"/>
      <c r="P15" s="563"/>
      <c r="Q15" s="578">
        <f t="shared" si="3"/>
        <v>0</v>
      </c>
      <c r="R15" s="924" t="str">
        <f t="shared" si="4"/>
        <v xml:space="preserve"> </v>
      </c>
      <c r="S15" s="926">
        <f t="shared" ref="S15:S31" si="5">L15</f>
        <v>0</v>
      </c>
    </row>
    <row r="16" spans="1:19" ht="20.100000000000001" customHeight="1" thickBot="1">
      <c r="A16" s="560"/>
      <c r="B16" s="1138">
        <f>IF(D16=0,0,VLOOKUP(D16,Coefficients!A29:F50,5,0))</f>
        <v>0</v>
      </c>
      <c r="C16" s="578"/>
      <c r="D16" s="841"/>
      <c r="E16" s="924" t="s">
        <v>115</v>
      </c>
      <c r="F16" s="924" t="s">
        <v>115</v>
      </c>
      <c r="G16" s="925" t="s">
        <v>115</v>
      </c>
      <c r="H16" s="926" t="s">
        <v>115</v>
      </c>
      <c r="I16" s="927">
        <v>0</v>
      </c>
      <c r="J16" s="841">
        <f t="shared" si="0"/>
        <v>0</v>
      </c>
      <c r="K16" s="927">
        <v>0</v>
      </c>
      <c r="L16" s="927">
        <f t="shared" si="1"/>
        <v>0</v>
      </c>
      <c r="M16" s="579">
        <f t="shared" si="2"/>
        <v>0</v>
      </c>
      <c r="N16" s="925">
        <f>IF(F16=0,0,IF(O7=0,0,((O7-F16)/O7)*100))</f>
        <v>0</v>
      </c>
      <c r="O16" s="928"/>
      <c r="P16" s="563"/>
      <c r="Q16" s="578">
        <f t="shared" si="3"/>
        <v>0</v>
      </c>
      <c r="R16" s="924" t="str">
        <f t="shared" si="4"/>
        <v xml:space="preserve"> </v>
      </c>
      <c r="S16" s="926">
        <f t="shared" si="5"/>
        <v>0</v>
      </c>
    </row>
    <row r="17" spans="1:19" ht="20.100000000000001" customHeight="1" thickBot="1">
      <c r="A17" s="560"/>
      <c r="B17" s="1138">
        <f>IF(D17=0,0,VLOOKUP(D17,Coefficients!A29:F50,5,0))</f>
        <v>0</v>
      </c>
      <c r="C17" s="578"/>
      <c r="D17" s="841"/>
      <c r="E17" s="924" t="s">
        <v>115</v>
      </c>
      <c r="F17" s="924" t="s">
        <v>115</v>
      </c>
      <c r="G17" s="925" t="s">
        <v>115</v>
      </c>
      <c r="H17" s="926" t="s">
        <v>115</v>
      </c>
      <c r="I17" s="927">
        <v>0</v>
      </c>
      <c r="J17" s="841">
        <f t="shared" si="0"/>
        <v>0</v>
      </c>
      <c r="K17" s="927">
        <v>0</v>
      </c>
      <c r="L17" s="927">
        <f t="shared" si="1"/>
        <v>0</v>
      </c>
      <c r="M17" s="579">
        <f t="shared" si="2"/>
        <v>0</v>
      </c>
      <c r="N17" s="925">
        <f>IF(F17=0,0,IF(O7=0,0,((O7-F17)/O7)*100))</f>
        <v>0</v>
      </c>
      <c r="O17" s="928"/>
      <c r="P17" s="563"/>
      <c r="Q17" s="578">
        <f t="shared" si="3"/>
        <v>0</v>
      </c>
      <c r="R17" s="924" t="str">
        <f t="shared" si="4"/>
        <v xml:space="preserve"> </v>
      </c>
      <c r="S17" s="926">
        <f t="shared" si="5"/>
        <v>0</v>
      </c>
    </row>
    <row r="18" spans="1:19" ht="20.100000000000001" customHeight="1" thickBot="1">
      <c r="A18" s="560"/>
      <c r="B18" s="1138">
        <f>IF(D18=0,0,VLOOKUP(D18,Coefficients!A29:F50,5,0))</f>
        <v>0</v>
      </c>
      <c r="C18" s="578"/>
      <c r="D18" s="841"/>
      <c r="E18" s="924" t="s">
        <v>115</v>
      </c>
      <c r="F18" s="924" t="s">
        <v>115</v>
      </c>
      <c r="G18" s="925" t="s">
        <v>115</v>
      </c>
      <c r="H18" s="926" t="s">
        <v>115</v>
      </c>
      <c r="I18" s="927">
        <v>0</v>
      </c>
      <c r="J18" s="841">
        <f t="shared" si="0"/>
        <v>0</v>
      </c>
      <c r="K18" s="927">
        <v>0</v>
      </c>
      <c r="L18" s="927">
        <f t="shared" si="1"/>
        <v>0</v>
      </c>
      <c r="M18" s="579">
        <f t="shared" si="2"/>
        <v>0</v>
      </c>
      <c r="N18" s="925">
        <f>IF(F18=0,0,IF(O7=0,0,((O7-F18)/O7)*100))</f>
        <v>0</v>
      </c>
      <c r="O18" s="928"/>
      <c r="P18" s="563"/>
      <c r="Q18" s="578">
        <f t="shared" si="3"/>
        <v>0</v>
      </c>
      <c r="R18" s="924" t="str">
        <f t="shared" si="4"/>
        <v xml:space="preserve"> </v>
      </c>
      <c r="S18" s="926">
        <f t="shared" si="5"/>
        <v>0</v>
      </c>
    </row>
    <row r="19" spans="1:19" ht="20.100000000000001" customHeight="1" thickBot="1">
      <c r="A19" s="560"/>
      <c r="B19" s="1138">
        <f>IF(D19=0,0,VLOOKUP(D19,Coefficients!A29:F50,5,0))</f>
        <v>0</v>
      </c>
      <c r="C19" s="578"/>
      <c r="D19" s="841"/>
      <c r="E19" s="924" t="s">
        <v>115</v>
      </c>
      <c r="F19" s="924" t="s">
        <v>115</v>
      </c>
      <c r="G19" s="925" t="s">
        <v>115</v>
      </c>
      <c r="H19" s="926" t="s">
        <v>115</v>
      </c>
      <c r="I19" s="927">
        <v>0</v>
      </c>
      <c r="J19" s="841">
        <f t="shared" si="0"/>
        <v>0</v>
      </c>
      <c r="K19" s="927">
        <v>0</v>
      </c>
      <c r="L19" s="926">
        <f t="shared" si="1"/>
        <v>0</v>
      </c>
      <c r="M19" s="579">
        <f t="shared" si="2"/>
        <v>0</v>
      </c>
      <c r="N19" s="925">
        <f>IF(F19=0,0,IF(O7=0,0,((O7-F19)/O7)*100))</f>
        <v>0</v>
      </c>
      <c r="O19" s="928"/>
      <c r="P19" s="563"/>
      <c r="Q19" s="578">
        <f t="shared" si="3"/>
        <v>0</v>
      </c>
      <c r="R19" s="924" t="str">
        <f t="shared" si="4"/>
        <v xml:space="preserve"> </v>
      </c>
      <c r="S19" s="926">
        <f t="shared" si="5"/>
        <v>0</v>
      </c>
    </row>
    <row r="20" spans="1:19" ht="20.100000000000001" customHeight="1" thickBot="1">
      <c r="A20" s="560"/>
      <c r="B20" s="1138">
        <f>IF(D20=0,0,VLOOKUP(D20,Coefficients!A29:F50,5,0))</f>
        <v>0</v>
      </c>
      <c r="C20" s="578"/>
      <c r="D20" s="841"/>
      <c r="E20" s="924" t="s">
        <v>115</v>
      </c>
      <c r="F20" s="924" t="s">
        <v>115</v>
      </c>
      <c r="G20" s="925" t="s">
        <v>115</v>
      </c>
      <c r="H20" s="926" t="s">
        <v>115</v>
      </c>
      <c r="I20" s="927">
        <v>0</v>
      </c>
      <c r="J20" s="841">
        <f t="shared" si="0"/>
        <v>0</v>
      </c>
      <c r="K20" s="927">
        <v>0</v>
      </c>
      <c r="L20" s="926">
        <f t="shared" si="1"/>
        <v>0</v>
      </c>
      <c r="M20" s="579">
        <f t="shared" si="2"/>
        <v>0</v>
      </c>
      <c r="N20" s="925">
        <f>IF(F20=0,0,IF(O7=0,0,((O7-F20)/O7)*100))</f>
        <v>0</v>
      </c>
      <c r="O20" s="928"/>
      <c r="P20" s="563"/>
      <c r="Q20" s="578">
        <f t="shared" si="3"/>
        <v>0</v>
      </c>
      <c r="R20" s="924" t="str">
        <f t="shared" si="4"/>
        <v xml:space="preserve"> </v>
      </c>
      <c r="S20" s="926">
        <f t="shared" si="5"/>
        <v>0</v>
      </c>
    </row>
    <row r="21" spans="1:19" ht="20.100000000000001" customHeight="1" thickBot="1">
      <c r="A21" s="560"/>
      <c r="B21" s="1138">
        <f>IF(D21=0,0,VLOOKUP(D21,Coefficients!A29:F50,5,0))</f>
        <v>0</v>
      </c>
      <c r="C21" s="578"/>
      <c r="D21" s="841"/>
      <c r="E21" s="924" t="s">
        <v>115</v>
      </c>
      <c r="F21" s="924" t="s">
        <v>115</v>
      </c>
      <c r="G21" s="925" t="s">
        <v>115</v>
      </c>
      <c r="H21" s="926" t="s">
        <v>115</v>
      </c>
      <c r="I21" s="927">
        <v>0</v>
      </c>
      <c r="J21" s="841">
        <f t="shared" si="0"/>
        <v>0</v>
      </c>
      <c r="K21" s="927">
        <v>0</v>
      </c>
      <c r="L21" s="926">
        <f t="shared" si="1"/>
        <v>0</v>
      </c>
      <c r="M21" s="579">
        <f t="shared" si="2"/>
        <v>0</v>
      </c>
      <c r="N21" s="925">
        <f>IF(F21=0,0,IF(O7=0,0,((O7-F21)/O7)*100))</f>
        <v>0</v>
      </c>
      <c r="O21" s="928"/>
      <c r="P21" s="563"/>
      <c r="Q21" s="578">
        <f t="shared" si="3"/>
        <v>0</v>
      </c>
      <c r="R21" s="924" t="str">
        <f t="shared" si="4"/>
        <v xml:space="preserve"> </v>
      </c>
      <c r="S21" s="926">
        <f t="shared" si="5"/>
        <v>0</v>
      </c>
    </row>
    <row r="22" spans="1:19" ht="20.100000000000001" customHeight="1" thickBot="1">
      <c r="A22" s="560"/>
      <c r="B22" s="1138">
        <f>IF(D22=0,0,VLOOKUP(D22,Coefficients!A29:F50,5,0))</f>
        <v>0</v>
      </c>
      <c r="C22" s="578"/>
      <c r="D22" s="841"/>
      <c r="E22" s="924" t="s">
        <v>115</v>
      </c>
      <c r="F22" s="924" t="s">
        <v>115</v>
      </c>
      <c r="G22" s="925" t="s">
        <v>115</v>
      </c>
      <c r="H22" s="926" t="s">
        <v>115</v>
      </c>
      <c r="I22" s="927">
        <v>0</v>
      </c>
      <c r="J22" s="841">
        <f t="shared" si="0"/>
        <v>0</v>
      </c>
      <c r="K22" s="927">
        <v>0</v>
      </c>
      <c r="L22" s="926">
        <f t="shared" si="1"/>
        <v>0</v>
      </c>
      <c r="M22" s="579">
        <f t="shared" si="2"/>
        <v>0</v>
      </c>
      <c r="N22" s="925">
        <f>IF(F22=0,0,IF(O7=0,0,((O7-F22)/O7)*100))</f>
        <v>0</v>
      </c>
      <c r="O22" s="928"/>
      <c r="P22" s="563"/>
      <c r="Q22" s="578">
        <f t="shared" si="3"/>
        <v>0</v>
      </c>
      <c r="R22" s="924" t="str">
        <f t="shared" si="4"/>
        <v xml:space="preserve"> </v>
      </c>
      <c r="S22" s="926">
        <f t="shared" si="5"/>
        <v>0</v>
      </c>
    </row>
    <row r="23" spans="1:19" ht="20.100000000000001" customHeight="1" thickBot="1">
      <c r="A23" s="560"/>
      <c r="B23" s="1138">
        <f>IF(D23=0,0,VLOOKUP(D23,Coefficients!A29:F50,5,0))</f>
        <v>0</v>
      </c>
      <c r="C23" s="578"/>
      <c r="D23" s="841"/>
      <c r="E23" s="924" t="s">
        <v>115</v>
      </c>
      <c r="F23" s="924" t="s">
        <v>115</v>
      </c>
      <c r="G23" s="925" t="s">
        <v>115</v>
      </c>
      <c r="H23" s="926" t="s">
        <v>115</v>
      </c>
      <c r="I23" s="927">
        <v>0</v>
      </c>
      <c r="J23" s="841">
        <f t="shared" si="0"/>
        <v>0</v>
      </c>
      <c r="K23" s="927">
        <v>0</v>
      </c>
      <c r="L23" s="926">
        <f t="shared" si="1"/>
        <v>0</v>
      </c>
      <c r="M23" s="579">
        <f t="shared" si="2"/>
        <v>0</v>
      </c>
      <c r="N23" s="925">
        <f>IF(F23=0,0,IF(O7=0,0,((O7-F23)/O7)*100))</f>
        <v>0</v>
      </c>
      <c r="O23" s="928"/>
      <c r="P23" s="563"/>
      <c r="Q23" s="578">
        <f t="shared" si="3"/>
        <v>0</v>
      </c>
      <c r="R23" s="924" t="str">
        <f t="shared" si="4"/>
        <v xml:space="preserve"> </v>
      </c>
      <c r="S23" s="926">
        <f t="shared" si="5"/>
        <v>0</v>
      </c>
    </row>
    <row r="24" spans="1:19" ht="20.100000000000001" customHeight="1" thickBot="1">
      <c r="A24" s="560"/>
      <c r="B24" s="1138">
        <f>IF(D24=0,0,VLOOKUP(D24,Coefficients!A29:F50,5,0))</f>
        <v>0</v>
      </c>
      <c r="C24" s="578"/>
      <c r="D24" s="841"/>
      <c r="E24" s="924" t="s">
        <v>115</v>
      </c>
      <c r="F24" s="924" t="s">
        <v>115</v>
      </c>
      <c r="G24" s="925" t="s">
        <v>115</v>
      </c>
      <c r="H24" s="926" t="s">
        <v>115</v>
      </c>
      <c r="I24" s="927">
        <v>0</v>
      </c>
      <c r="J24" s="841">
        <f t="shared" si="0"/>
        <v>0</v>
      </c>
      <c r="K24" s="927">
        <v>0</v>
      </c>
      <c r="L24" s="926">
        <f t="shared" si="1"/>
        <v>0</v>
      </c>
      <c r="M24" s="579">
        <f t="shared" si="2"/>
        <v>0</v>
      </c>
      <c r="N24" s="925">
        <f>IF(F24=0,0,IF(O7=0,0,((O7-F24)/O7)*100))</f>
        <v>0</v>
      </c>
      <c r="O24" s="928"/>
      <c r="P24" s="563"/>
      <c r="Q24" s="578">
        <f t="shared" si="3"/>
        <v>0</v>
      </c>
      <c r="R24" s="924" t="str">
        <f t="shared" si="4"/>
        <v xml:space="preserve"> </v>
      </c>
      <c r="S24" s="926">
        <f t="shared" si="5"/>
        <v>0</v>
      </c>
    </row>
    <row r="25" spans="1:19" ht="20.100000000000001" customHeight="1" thickBot="1">
      <c r="A25" s="560"/>
      <c r="B25" s="1138">
        <f>IF(D25=0,0,VLOOKUP(D25,Coefficients!A29:F50,5,0))</f>
        <v>0</v>
      </c>
      <c r="C25" s="578"/>
      <c r="D25" s="841"/>
      <c r="E25" s="924" t="s">
        <v>115</v>
      </c>
      <c r="F25" s="924" t="s">
        <v>115</v>
      </c>
      <c r="G25" s="925" t="s">
        <v>115</v>
      </c>
      <c r="H25" s="926" t="s">
        <v>115</v>
      </c>
      <c r="I25" s="927">
        <v>0</v>
      </c>
      <c r="J25" s="841">
        <f t="shared" si="0"/>
        <v>0</v>
      </c>
      <c r="K25" s="927">
        <v>0</v>
      </c>
      <c r="L25" s="926">
        <f t="shared" si="1"/>
        <v>0</v>
      </c>
      <c r="M25" s="579">
        <f t="shared" si="2"/>
        <v>0</v>
      </c>
      <c r="N25" s="925">
        <f>IF(F25=0,0,IF(O7=0,0,((O7-F25)/O7)*100))</f>
        <v>0</v>
      </c>
      <c r="O25" s="928"/>
      <c r="P25" s="563"/>
      <c r="Q25" s="578">
        <f t="shared" si="3"/>
        <v>0</v>
      </c>
      <c r="R25" s="924" t="str">
        <f t="shared" si="4"/>
        <v xml:space="preserve"> </v>
      </c>
      <c r="S25" s="926">
        <f t="shared" si="5"/>
        <v>0</v>
      </c>
    </row>
    <row r="26" spans="1:19" ht="20.100000000000001" customHeight="1" thickBot="1">
      <c r="A26" s="560"/>
      <c r="B26" s="1138">
        <f>IF(D26=0,0,VLOOKUP(D26,Coefficients!A29:F50,5,0))</f>
        <v>0</v>
      </c>
      <c r="C26" s="578"/>
      <c r="D26" s="841"/>
      <c r="E26" s="924" t="s">
        <v>115</v>
      </c>
      <c r="F26" s="924" t="s">
        <v>115</v>
      </c>
      <c r="G26" s="925" t="s">
        <v>115</v>
      </c>
      <c r="H26" s="926" t="s">
        <v>115</v>
      </c>
      <c r="I26" s="927">
        <v>0</v>
      </c>
      <c r="J26" s="841">
        <f t="shared" si="0"/>
        <v>0</v>
      </c>
      <c r="K26" s="927">
        <v>0</v>
      </c>
      <c r="L26" s="926">
        <f t="shared" si="1"/>
        <v>0</v>
      </c>
      <c r="M26" s="579">
        <f t="shared" si="2"/>
        <v>0</v>
      </c>
      <c r="N26" s="925">
        <f>IF(F26=0,0,IF(O7=0,0,((O7-F26)/O7)*100))</f>
        <v>0</v>
      </c>
      <c r="O26" s="928"/>
      <c r="P26" s="563"/>
      <c r="Q26" s="578">
        <f t="shared" si="3"/>
        <v>0</v>
      </c>
      <c r="R26" s="924" t="str">
        <f t="shared" si="4"/>
        <v xml:space="preserve"> </v>
      </c>
      <c r="S26" s="926">
        <f t="shared" si="5"/>
        <v>0</v>
      </c>
    </row>
    <row r="27" spans="1:19" ht="20.100000000000001" customHeight="1" thickBot="1">
      <c r="A27" s="560"/>
      <c r="B27" s="1138">
        <f>IF(D27=0,0,VLOOKUP(D27,Coefficients!A29:F50,5,0))</f>
        <v>0</v>
      </c>
      <c r="C27" s="578"/>
      <c r="D27" s="841"/>
      <c r="E27" s="924" t="s">
        <v>115</v>
      </c>
      <c r="F27" s="924" t="s">
        <v>115</v>
      </c>
      <c r="G27" s="925" t="s">
        <v>115</v>
      </c>
      <c r="H27" s="926" t="s">
        <v>115</v>
      </c>
      <c r="I27" s="927">
        <v>0</v>
      </c>
      <c r="J27" s="841">
        <f t="shared" si="0"/>
        <v>0</v>
      </c>
      <c r="K27" s="927">
        <v>0</v>
      </c>
      <c r="L27" s="926">
        <f t="shared" si="1"/>
        <v>0</v>
      </c>
      <c r="M27" s="579">
        <f t="shared" si="2"/>
        <v>0</v>
      </c>
      <c r="N27" s="925">
        <f>IF(F27=0,0,IF(O7=0,0,((O7-F27)/O7)*100))</f>
        <v>0</v>
      </c>
      <c r="O27" s="928"/>
      <c r="P27" s="563"/>
      <c r="Q27" s="578">
        <f t="shared" si="3"/>
        <v>0</v>
      </c>
      <c r="R27" s="924" t="str">
        <f t="shared" si="4"/>
        <v xml:space="preserve"> </v>
      </c>
      <c r="S27" s="926">
        <f t="shared" si="5"/>
        <v>0</v>
      </c>
    </row>
    <row r="28" spans="1:19" ht="20.100000000000001" customHeight="1" thickBot="1">
      <c r="A28" s="560"/>
      <c r="B28" s="1138">
        <f>IF(D28=0,0,VLOOKUP(D28,Coefficients!A29:F50,5,0))</f>
        <v>0</v>
      </c>
      <c r="C28" s="578"/>
      <c r="D28" s="841"/>
      <c r="E28" s="924" t="s">
        <v>115</v>
      </c>
      <c r="F28" s="924" t="s">
        <v>115</v>
      </c>
      <c r="G28" s="925" t="s">
        <v>115</v>
      </c>
      <c r="H28" s="926" t="s">
        <v>115</v>
      </c>
      <c r="I28" s="927">
        <v>0</v>
      </c>
      <c r="J28" s="841">
        <f t="shared" si="0"/>
        <v>0</v>
      </c>
      <c r="K28" s="927">
        <v>0</v>
      </c>
      <c r="L28" s="926">
        <f t="shared" si="1"/>
        <v>0</v>
      </c>
      <c r="M28" s="579">
        <f t="shared" si="2"/>
        <v>0</v>
      </c>
      <c r="N28" s="925">
        <f>IF(F28=0,0,IF(O7=0,0,((O7-F28)/O7)*100))</f>
        <v>0</v>
      </c>
      <c r="O28" s="928"/>
      <c r="P28" s="563"/>
      <c r="Q28" s="578">
        <f t="shared" si="3"/>
        <v>0</v>
      </c>
      <c r="R28" s="924" t="str">
        <f t="shared" si="4"/>
        <v xml:space="preserve"> </v>
      </c>
      <c r="S28" s="926">
        <f t="shared" si="5"/>
        <v>0</v>
      </c>
    </row>
    <row r="29" spans="1:19" ht="20.100000000000001" customHeight="1" thickBot="1">
      <c r="A29" s="560"/>
      <c r="B29" s="1138">
        <f>IF(D29=0,0,VLOOKUP(D29,Coefficients!A29:F50,5,0))</f>
        <v>0</v>
      </c>
      <c r="C29" s="578"/>
      <c r="D29" s="841"/>
      <c r="E29" s="924" t="s">
        <v>115</v>
      </c>
      <c r="F29" s="924" t="s">
        <v>115</v>
      </c>
      <c r="G29" s="925" t="s">
        <v>115</v>
      </c>
      <c r="H29" s="926" t="s">
        <v>115</v>
      </c>
      <c r="I29" s="927">
        <v>0</v>
      </c>
      <c r="J29" s="841">
        <f t="shared" si="0"/>
        <v>0</v>
      </c>
      <c r="K29" s="927">
        <v>0</v>
      </c>
      <c r="L29" s="926">
        <f t="shared" si="1"/>
        <v>0</v>
      </c>
      <c r="M29" s="579">
        <f t="shared" si="2"/>
        <v>0</v>
      </c>
      <c r="N29" s="925">
        <f>IF(F29=0,0,IF(O7=0,0,((O7-F29)/O7)*100))</f>
        <v>0</v>
      </c>
      <c r="O29" s="928"/>
      <c r="P29" s="563"/>
      <c r="Q29" s="578">
        <f t="shared" si="3"/>
        <v>0</v>
      </c>
      <c r="R29" s="924" t="str">
        <f t="shared" si="4"/>
        <v xml:space="preserve"> </v>
      </c>
      <c r="S29" s="926">
        <f t="shared" si="5"/>
        <v>0</v>
      </c>
    </row>
    <row r="30" spans="1:19" ht="20.100000000000001" customHeight="1" thickBot="1">
      <c r="A30" s="560"/>
      <c r="B30" s="1138">
        <f>IF(D30=0,0,VLOOKUP(D30,Coefficients!A29:F50,5,0))</f>
        <v>0</v>
      </c>
      <c r="C30" s="578"/>
      <c r="D30" s="841"/>
      <c r="E30" s="924" t="s">
        <v>115</v>
      </c>
      <c r="F30" s="924" t="s">
        <v>115</v>
      </c>
      <c r="G30" s="925" t="s">
        <v>115</v>
      </c>
      <c r="H30" s="926" t="s">
        <v>115</v>
      </c>
      <c r="I30" s="927">
        <v>0</v>
      </c>
      <c r="J30" s="841">
        <f t="shared" si="0"/>
        <v>0</v>
      </c>
      <c r="K30" s="927">
        <v>0</v>
      </c>
      <c r="L30" s="926">
        <f t="shared" si="1"/>
        <v>0</v>
      </c>
      <c r="M30" s="579">
        <f t="shared" si="2"/>
        <v>0</v>
      </c>
      <c r="N30" s="925">
        <f>IF(F30=0,0,IF(O7=0,0,((O7-F30)/O7)*100))</f>
        <v>0</v>
      </c>
      <c r="O30" s="928"/>
      <c r="P30" s="563"/>
      <c r="Q30" s="578">
        <f t="shared" si="3"/>
        <v>0</v>
      </c>
      <c r="R30" s="924" t="str">
        <f t="shared" si="4"/>
        <v xml:space="preserve"> </v>
      </c>
      <c r="S30" s="926">
        <f t="shared" si="5"/>
        <v>0</v>
      </c>
    </row>
    <row r="31" spans="1:19" ht="20.100000000000001" customHeight="1" thickBot="1">
      <c r="A31" s="560"/>
      <c r="B31" s="1138">
        <f>IF(D31=0,0,VLOOKUP(D31,Coefficients!A29:F50,5,0))</f>
        <v>0</v>
      </c>
      <c r="C31" s="578"/>
      <c r="D31" s="841"/>
      <c r="E31" s="924" t="s">
        <v>115</v>
      </c>
      <c r="F31" s="924" t="s">
        <v>115</v>
      </c>
      <c r="G31" s="925" t="s">
        <v>115</v>
      </c>
      <c r="H31" s="926" t="s">
        <v>115</v>
      </c>
      <c r="I31" s="927">
        <v>0</v>
      </c>
      <c r="J31" s="841">
        <f t="shared" si="0"/>
        <v>0</v>
      </c>
      <c r="K31" s="927">
        <v>0</v>
      </c>
      <c r="L31" s="926">
        <f t="shared" si="1"/>
        <v>0</v>
      </c>
      <c r="M31" s="579">
        <f t="shared" si="2"/>
        <v>0</v>
      </c>
      <c r="N31" s="925">
        <f>IF(F31=0,0,IF(O7=0,0,((O7-F31)/O7)*100))</f>
        <v>0</v>
      </c>
      <c r="O31" s="928"/>
      <c r="P31" s="563"/>
      <c r="Q31" s="578">
        <f t="shared" si="3"/>
        <v>0</v>
      </c>
      <c r="R31" s="924" t="str">
        <f t="shared" si="4"/>
        <v xml:space="preserve"> </v>
      </c>
      <c r="S31" s="926">
        <f t="shared" si="5"/>
        <v>0</v>
      </c>
    </row>
    <row r="32" spans="1:19" ht="20.100000000000001" customHeight="1">
      <c r="A32" s="560"/>
      <c r="B32" s="580" t="s">
        <v>274</v>
      </c>
      <c r="C32" s="536" t="str">
        <f>IF(J8="Yes","In the event this report differs from Tester's Notes, the Tester's Notes should be used as the absolute"," ")</f>
        <v>In the event this report differs from Tester's Notes, the Tester's Notes should be used as the absolute</v>
      </c>
      <c r="D32" s="581"/>
      <c r="E32" s="582"/>
      <c r="F32" s="582"/>
      <c r="G32" s="536"/>
      <c r="H32" s="582"/>
      <c r="I32" s="583"/>
      <c r="J32" s="583"/>
      <c r="K32" s="583"/>
      <c r="L32" s="583"/>
      <c r="M32" s="583"/>
      <c r="N32" s="583"/>
      <c r="O32" s="929"/>
      <c r="P32" s="563"/>
    </row>
    <row r="33" spans="1:19" ht="20.100000000000001" customHeight="1">
      <c r="A33" s="560"/>
      <c r="B33" s="584"/>
      <c r="C33" s="539" t="s">
        <v>414</v>
      </c>
      <c r="D33" s="929"/>
      <c r="E33" s="929"/>
      <c r="F33" s="929"/>
      <c r="G33" s="929"/>
      <c r="H33" s="929"/>
      <c r="I33" s="930"/>
      <c r="J33" s="930"/>
      <c r="K33" s="930"/>
      <c r="L33" s="931"/>
      <c r="M33" s="931"/>
      <c r="N33" s="931"/>
      <c r="O33" s="930"/>
      <c r="P33" s="563"/>
    </row>
    <row r="34" spans="1:19" ht="20.100000000000001" customHeight="1" thickBot="1">
      <c r="A34" s="560"/>
      <c r="B34" s="584"/>
      <c r="C34" s="585" t="s">
        <v>115</v>
      </c>
      <c r="D34" s="929"/>
      <c r="E34" s="929"/>
      <c r="F34" s="929"/>
      <c r="G34" s="929"/>
      <c r="H34" s="929"/>
      <c r="I34" s="586"/>
      <c r="J34" s="586"/>
      <c r="K34" s="586"/>
      <c r="L34" s="931"/>
      <c r="M34" s="931"/>
      <c r="N34" s="931"/>
      <c r="O34" s="930"/>
      <c r="P34" s="563"/>
    </row>
    <row r="35" spans="1:19" ht="20.100000000000001" customHeight="1" thickBot="1">
      <c r="A35" s="560"/>
      <c r="B35" s="587" t="s">
        <v>275</v>
      </c>
      <c r="C35" s="559" t="s">
        <v>276</v>
      </c>
      <c r="D35" s="932">
        <f>SUM(K12:K31)</f>
        <v>0</v>
      </c>
      <c r="E35" s="914" t="s">
        <v>256</v>
      </c>
      <c r="F35" s="914" t="s">
        <v>277</v>
      </c>
      <c r="G35" s="933">
        <f>SUM(I12:I31)</f>
        <v>0</v>
      </c>
      <c r="H35" s="914" t="s">
        <v>256</v>
      </c>
      <c r="I35" s="588"/>
      <c r="J35" s="588"/>
      <c r="K35" s="588"/>
      <c r="M35" s="589" t="s">
        <v>151</v>
      </c>
      <c r="N35" s="590"/>
      <c r="O35" s="934">
        <f>(Summary!C63)</f>
        <v>0</v>
      </c>
      <c r="P35" s="563"/>
    </row>
    <row r="36" spans="1:19" ht="15.25" thickBot="1">
      <c r="A36" s="591"/>
      <c r="B36" s="592"/>
      <c r="C36" s="593" t="s">
        <v>115</v>
      </c>
      <c r="D36" s="594" t="s">
        <v>115</v>
      </c>
      <c r="E36" s="935"/>
      <c r="F36" s="935" t="s">
        <v>278</v>
      </c>
      <c r="G36" s="936">
        <f>D35+G35</f>
        <v>0</v>
      </c>
      <c r="H36" s="935" t="s">
        <v>256</v>
      </c>
      <c r="I36" s="935"/>
      <c r="J36" s="935"/>
      <c r="K36" s="935"/>
      <c r="L36" s="595"/>
      <c r="M36" s="595"/>
      <c r="N36" s="595"/>
      <c r="O36" s="595"/>
      <c r="P36" s="596"/>
    </row>
    <row r="37" spans="1:19" ht="20.100000000000001" customHeight="1">
      <c r="A37" s="554"/>
      <c r="B37" s="555">
        <f>B1</f>
        <v>0</v>
      </c>
      <c r="C37" s="556"/>
      <c r="D37" s="556"/>
      <c r="E37" s="557"/>
      <c r="F37" s="557"/>
      <c r="G37" s="557"/>
      <c r="H37" s="557"/>
      <c r="I37" s="557"/>
      <c r="J37" s="557"/>
      <c r="K37" s="557"/>
      <c r="L37" s="557"/>
      <c r="N37" s="557"/>
      <c r="O37" s="557"/>
      <c r="P37" s="558"/>
    </row>
    <row r="38" spans="1:19" ht="20.100000000000001" customHeight="1">
      <c r="A38" s="560"/>
      <c r="B38" s="561" t="s">
        <v>115</v>
      </c>
      <c r="C38" s="562"/>
      <c r="D38" s="562"/>
      <c r="P38" s="563"/>
    </row>
    <row r="39" spans="1:19" ht="20.100000000000001" customHeight="1">
      <c r="A39" s="560"/>
      <c r="B39" s="564" t="s">
        <v>247</v>
      </c>
      <c r="C39" s="565"/>
      <c r="D39" s="565"/>
      <c r="E39" s="565"/>
      <c r="F39" s="565"/>
      <c r="G39" s="565"/>
      <c r="H39" s="565"/>
      <c r="I39" s="565"/>
      <c r="J39" s="565"/>
      <c r="K39" s="565"/>
      <c r="L39" s="565"/>
      <c r="M39" s="565"/>
      <c r="N39" s="894" t="s">
        <v>248</v>
      </c>
      <c r="O39" s="937" t="str">
        <f>IF(O41=O5,IF(O3="1 of 2","2 of 2","1"),1)</f>
        <v>1</v>
      </c>
      <c r="P39" s="563"/>
    </row>
    <row r="40" spans="1:19" ht="10.15" customHeight="1" thickBot="1">
      <c r="A40" s="560"/>
      <c r="B40" s="566"/>
      <c r="P40" s="563"/>
    </row>
    <row r="41" spans="1:19" ht="20.100000000000001" customHeight="1" thickBot="1">
      <c r="A41" s="560"/>
      <c r="B41" s="567" t="s">
        <v>249</v>
      </c>
      <c r="C41" s="568"/>
      <c r="D41" s="2515">
        <f>(Summary!C6)</f>
        <v>0</v>
      </c>
      <c r="E41" s="2516"/>
      <c r="F41" s="2516"/>
      <c r="G41" s="2516"/>
      <c r="H41" s="2516"/>
      <c r="I41" s="2516"/>
      <c r="J41" s="2516"/>
      <c r="K41" s="2517"/>
      <c r="L41" s="896" t="s">
        <v>352</v>
      </c>
      <c r="M41" s="897"/>
      <c r="N41" s="898"/>
      <c r="O41" s="899" t="s">
        <v>115</v>
      </c>
      <c r="P41" s="563"/>
    </row>
    <row r="42" spans="1:19" ht="20.100000000000001" customHeight="1" thickBot="1">
      <c r="A42" s="560"/>
      <c r="B42" s="569" t="s">
        <v>250</v>
      </c>
      <c r="C42" s="570"/>
      <c r="D42" s="2480" t="str">
        <f>D6</f>
        <v xml:space="preserve"> </v>
      </c>
      <c r="E42" s="2481"/>
      <c r="F42" s="2481" t="str">
        <f>F6</f>
        <v xml:space="preserve"> </v>
      </c>
      <c r="G42" s="2481"/>
      <c r="H42" s="2481" t="str">
        <f>H6</f>
        <v xml:space="preserve"> </v>
      </c>
      <c r="I42" s="2481"/>
      <c r="J42" s="795"/>
      <c r="K42" s="795"/>
      <c r="L42" s="900" t="s">
        <v>251</v>
      </c>
      <c r="M42" s="901"/>
      <c r="N42" s="571"/>
      <c r="O42" s="902" t="str">
        <f>IF(O39="2 of 2",O6," ")</f>
        <v xml:space="preserve"> </v>
      </c>
      <c r="P42" s="563"/>
    </row>
    <row r="43" spans="1:19" ht="20.100000000000001" customHeight="1" thickBot="1">
      <c r="A43" s="560"/>
      <c r="B43" s="569" t="s">
        <v>252</v>
      </c>
      <c r="C43" s="570"/>
      <c r="D43" s="903" t="str">
        <f>D7</f>
        <v xml:space="preserve"> </v>
      </c>
      <c r="E43" s="904"/>
      <c r="F43" s="905"/>
      <c r="G43" s="906"/>
      <c r="H43" s="905"/>
      <c r="I43" s="907"/>
      <c r="J43" s="908"/>
      <c r="K43" s="903"/>
      <c r="L43" s="900" t="s">
        <v>279</v>
      </c>
      <c r="M43" s="901"/>
      <c r="N43" s="571"/>
      <c r="O43" s="902">
        <v>0</v>
      </c>
      <c r="P43" s="563"/>
    </row>
    <row r="44" spans="1:19" ht="20.100000000000001" customHeight="1" thickBot="1">
      <c r="A44" s="560" t="s">
        <v>115</v>
      </c>
      <c r="B44" s="569" t="s">
        <v>254</v>
      </c>
      <c r="C44" s="571" t="s">
        <v>255</v>
      </c>
      <c r="D44" s="909">
        <f>SUM(J48:J72)</f>
        <v>0</v>
      </c>
      <c r="E44" s="910" t="str">
        <f>E8</f>
        <v>10³m³</v>
      </c>
      <c r="F44" s="911">
        <f>D44/0.0283</f>
        <v>0</v>
      </c>
      <c r="G44" s="910" t="s">
        <v>257</v>
      </c>
      <c r="H44" s="2474" t="s">
        <v>631</v>
      </c>
      <c r="I44" s="2475"/>
      <c r="J44" s="804" t="s">
        <v>418</v>
      </c>
      <c r="K44" s="912"/>
      <c r="L44" s="900" t="s">
        <v>115</v>
      </c>
      <c r="M44" s="901" t="s">
        <v>115</v>
      </c>
      <c r="N44" s="571" t="s">
        <v>115</v>
      </c>
      <c r="O44" s="913" t="s">
        <v>115</v>
      </c>
      <c r="P44" s="563"/>
    </row>
    <row r="45" spans="1:19" ht="10.15" customHeight="1" thickBot="1">
      <c r="A45" s="560"/>
      <c r="B45" s="572"/>
      <c r="C45" s="573"/>
      <c r="D45" s="914"/>
      <c r="E45" s="914"/>
      <c r="F45" s="914"/>
      <c r="G45" s="914"/>
      <c r="H45" s="914"/>
      <c r="I45" s="914"/>
      <c r="J45" s="914"/>
      <c r="K45" s="914"/>
      <c r="L45" s="914"/>
      <c r="M45" s="914"/>
      <c r="N45" s="914"/>
      <c r="O45" s="914"/>
      <c r="P45" s="563"/>
    </row>
    <row r="46" spans="1:19" ht="20.100000000000001" customHeight="1" thickBot="1">
      <c r="A46" s="560"/>
      <c r="B46" s="574" t="s">
        <v>125</v>
      </c>
      <c r="C46" s="575"/>
      <c r="D46" s="915" t="s">
        <v>259</v>
      </c>
      <c r="E46" s="915" t="s">
        <v>204</v>
      </c>
      <c r="F46" s="916" t="s">
        <v>260</v>
      </c>
      <c r="G46" s="2518" t="s">
        <v>332</v>
      </c>
      <c r="H46" s="2519"/>
      <c r="I46" s="917" t="s">
        <v>262</v>
      </c>
      <c r="J46" s="917"/>
      <c r="K46" s="918"/>
      <c r="L46" s="915" t="s">
        <v>263</v>
      </c>
      <c r="M46" s="915" t="s">
        <v>263</v>
      </c>
      <c r="N46" s="915" t="s">
        <v>264</v>
      </c>
      <c r="O46" s="919" t="s">
        <v>265</v>
      </c>
      <c r="P46" s="563"/>
      <c r="Q46" s="575"/>
      <c r="R46" s="915" t="s">
        <v>204</v>
      </c>
      <c r="S46" s="915" t="s">
        <v>263</v>
      </c>
    </row>
    <row r="47" spans="1:19" ht="20.100000000000001" customHeight="1" thickBot="1">
      <c r="A47" s="560"/>
      <c r="B47" s="576" t="s">
        <v>266</v>
      </c>
      <c r="C47" s="577" t="s">
        <v>208</v>
      </c>
      <c r="D47" s="920" t="s">
        <v>267</v>
      </c>
      <c r="E47" s="920" t="s">
        <v>217</v>
      </c>
      <c r="F47" s="920" t="s">
        <v>217</v>
      </c>
      <c r="G47" s="920" t="s">
        <v>268</v>
      </c>
      <c r="H47" s="921" t="s">
        <v>415</v>
      </c>
      <c r="I47" s="920" t="s">
        <v>194</v>
      </c>
      <c r="J47" s="920" t="s">
        <v>270</v>
      </c>
      <c r="K47" s="920" t="s">
        <v>193</v>
      </c>
      <c r="L47" s="920" t="s">
        <v>271</v>
      </c>
      <c r="M47" s="920" t="s">
        <v>272</v>
      </c>
      <c r="N47" s="920" t="s">
        <v>273</v>
      </c>
      <c r="O47" s="922"/>
      <c r="P47" s="563"/>
      <c r="Q47" s="577" t="s">
        <v>208</v>
      </c>
      <c r="R47" s="920" t="s">
        <v>217</v>
      </c>
      <c r="S47" s="920" t="s">
        <v>271</v>
      </c>
    </row>
    <row r="48" spans="1:19" ht="20.100000000000001" customHeight="1" thickBot="1">
      <c r="A48" s="560"/>
      <c r="B48" s="1138">
        <f>IF(D48=0,0,VLOOKUP(D48,Coefficients!A29:F50,5,0))</f>
        <v>0</v>
      </c>
      <c r="C48" s="578" t="s">
        <v>115</v>
      </c>
      <c r="D48" s="923"/>
      <c r="E48" s="924" t="s">
        <v>115</v>
      </c>
      <c r="F48" s="924" t="s">
        <v>115</v>
      </c>
      <c r="G48" s="925" t="s">
        <v>115</v>
      </c>
      <c r="H48" s="926" t="s">
        <v>115</v>
      </c>
      <c r="I48" s="927">
        <v>0</v>
      </c>
      <c r="J48" s="841">
        <f t="shared" ref="J48:J67" si="6">(L48/48)</f>
        <v>0</v>
      </c>
      <c r="K48" s="927">
        <v>0</v>
      </c>
      <c r="L48" s="926">
        <f t="shared" ref="L48:L67" si="7">M48*0.0266</f>
        <v>0</v>
      </c>
      <c r="M48" s="579">
        <f t="shared" ref="M48:M67" si="8">IF(E48=0,0,(((E48/6.895)+14)*B48)/17.5)</f>
        <v>0</v>
      </c>
      <c r="N48" s="925">
        <f>IF(F48=0,0,IF(O43=0,0,((O43-F48)/O43)*100))</f>
        <v>0</v>
      </c>
      <c r="O48" s="928" t="s">
        <v>115</v>
      </c>
      <c r="P48" s="563"/>
      <c r="Q48" s="578" t="str">
        <f t="shared" ref="Q48:Q67" si="9">C48</f>
        <v xml:space="preserve"> </v>
      </c>
      <c r="R48" s="924" t="str">
        <f t="shared" ref="R48:R67" si="10">E48</f>
        <v xml:space="preserve"> </v>
      </c>
      <c r="S48" s="926">
        <f>L48</f>
        <v>0</v>
      </c>
    </row>
    <row r="49" spans="1:19" ht="20.100000000000001" customHeight="1" thickBot="1">
      <c r="A49" s="560"/>
      <c r="B49" s="1138">
        <f>IF(D49=0,0,VLOOKUP(D49,Coefficients!A29:F50,5,0))</f>
        <v>0</v>
      </c>
      <c r="C49" s="578"/>
      <c r="D49" s="923" t="s">
        <v>115</v>
      </c>
      <c r="E49" s="924" t="s">
        <v>115</v>
      </c>
      <c r="F49" s="924" t="s">
        <v>115</v>
      </c>
      <c r="G49" s="925" t="s">
        <v>115</v>
      </c>
      <c r="H49" s="926" t="s">
        <v>115</v>
      </c>
      <c r="I49" s="927">
        <v>0</v>
      </c>
      <c r="J49" s="841">
        <f t="shared" si="6"/>
        <v>0</v>
      </c>
      <c r="K49" s="927">
        <v>0</v>
      </c>
      <c r="L49" s="927">
        <f t="shared" si="7"/>
        <v>0</v>
      </c>
      <c r="M49" s="579">
        <f t="shared" si="8"/>
        <v>0</v>
      </c>
      <c r="N49" s="925">
        <f>IF(F49=0,0,IF(O43=0,0,((O43-F49)/O43)*100))</f>
        <v>0</v>
      </c>
      <c r="O49" s="928"/>
      <c r="P49" s="563"/>
      <c r="Q49" s="578">
        <f t="shared" si="9"/>
        <v>0</v>
      </c>
      <c r="R49" s="924" t="str">
        <f t="shared" si="10"/>
        <v xml:space="preserve"> </v>
      </c>
      <c r="S49" s="926">
        <f>L49</f>
        <v>0</v>
      </c>
    </row>
    <row r="50" spans="1:19" ht="20.100000000000001" customHeight="1" thickBot="1">
      <c r="A50" s="560"/>
      <c r="B50" s="1138">
        <f>IF(D50=0,0,VLOOKUP(D50,Coefficients!A29:F50,5,0))</f>
        <v>0</v>
      </c>
      <c r="C50" s="578"/>
      <c r="D50" s="923"/>
      <c r="E50" s="924" t="s">
        <v>115</v>
      </c>
      <c r="F50" s="924" t="s">
        <v>115</v>
      </c>
      <c r="G50" s="925" t="s">
        <v>115</v>
      </c>
      <c r="H50" s="926" t="s">
        <v>115</v>
      </c>
      <c r="I50" s="927">
        <v>0</v>
      </c>
      <c r="J50" s="841">
        <f t="shared" si="6"/>
        <v>0</v>
      </c>
      <c r="K50" s="927">
        <v>0</v>
      </c>
      <c r="L50" s="927">
        <f t="shared" si="7"/>
        <v>0</v>
      </c>
      <c r="M50" s="579">
        <f t="shared" si="8"/>
        <v>0</v>
      </c>
      <c r="N50" s="925">
        <f>IF(F50=0,0,IF(O43=0,0,((O43-F50)/O43)*100))</f>
        <v>0</v>
      </c>
      <c r="O50" s="928"/>
      <c r="P50" s="563"/>
      <c r="Q50" s="578">
        <f t="shared" si="9"/>
        <v>0</v>
      </c>
      <c r="R50" s="924" t="str">
        <f t="shared" si="10"/>
        <v xml:space="preserve"> </v>
      </c>
      <c r="S50" s="926">
        <f>L50</f>
        <v>0</v>
      </c>
    </row>
    <row r="51" spans="1:19" ht="20.100000000000001" customHeight="1" thickBot="1">
      <c r="A51" s="560"/>
      <c r="B51" s="1138">
        <f>IF(D51=0,0,VLOOKUP(D51,Coefficients!A29:F50,5,0))</f>
        <v>0</v>
      </c>
      <c r="C51" s="578"/>
      <c r="D51" s="923"/>
      <c r="E51" s="924" t="s">
        <v>115</v>
      </c>
      <c r="F51" s="924" t="s">
        <v>115</v>
      </c>
      <c r="G51" s="925" t="s">
        <v>115</v>
      </c>
      <c r="H51" s="926" t="s">
        <v>115</v>
      </c>
      <c r="I51" s="927">
        <v>0</v>
      </c>
      <c r="J51" s="841">
        <f t="shared" si="6"/>
        <v>0</v>
      </c>
      <c r="K51" s="927">
        <v>0</v>
      </c>
      <c r="L51" s="927">
        <f t="shared" si="7"/>
        <v>0</v>
      </c>
      <c r="M51" s="579">
        <f t="shared" si="8"/>
        <v>0</v>
      </c>
      <c r="N51" s="925">
        <f>IF(F51=0,0,IF(O43=0,0,((O43-F51)/O43)*100))</f>
        <v>0</v>
      </c>
      <c r="O51" s="928"/>
      <c r="P51" s="563"/>
      <c r="Q51" s="578">
        <f t="shared" si="9"/>
        <v>0</v>
      </c>
      <c r="R51" s="924" t="str">
        <f t="shared" si="10"/>
        <v xml:space="preserve"> </v>
      </c>
      <c r="S51" s="926">
        <f t="shared" ref="S51:S67" si="11">L51</f>
        <v>0</v>
      </c>
    </row>
    <row r="52" spans="1:19" ht="20.100000000000001" customHeight="1" thickBot="1">
      <c r="A52" s="560"/>
      <c r="B52" s="1138">
        <f>IF(D52=0,0,VLOOKUP(D52,Coefficients!A29:F50,5,0))</f>
        <v>0</v>
      </c>
      <c r="C52" s="578"/>
      <c r="D52" s="923"/>
      <c r="E52" s="924" t="s">
        <v>115</v>
      </c>
      <c r="F52" s="924" t="s">
        <v>115</v>
      </c>
      <c r="G52" s="925" t="s">
        <v>115</v>
      </c>
      <c r="H52" s="926" t="s">
        <v>115</v>
      </c>
      <c r="I52" s="927">
        <v>0</v>
      </c>
      <c r="J52" s="841">
        <f t="shared" si="6"/>
        <v>0</v>
      </c>
      <c r="K52" s="927">
        <v>0</v>
      </c>
      <c r="L52" s="927">
        <f t="shared" si="7"/>
        <v>0</v>
      </c>
      <c r="M52" s="579">
        <f t="shared" si="8"/>
        <v>0</v>
      </c>
      <c r="N52" s="925">
        <f>IF(F52=0,0,IF(O43=0,0,((O43-F52)/O43)*100))</f>
        <v>0</v>
      </c>
      <c r="O52" s="928"/>
      <c r="P52" s="563"/>
      <c r="Q52" s="578">
        <f t="shared" si="9"/>
        <v>0</v>
      </c>
      <c r="R52" s="924" t="str">
        <f t="shared" si="10"/>
        <v xml:space="preserve"> </v>
      </c>
      <c r="S52" s="926">
        <f t="shared" si="11"/>
        <v>0</v>
      </c>
    </row>
    <row r="53" spans="1:19" ht="20.100000000000001" customHeight="1" thickBot="1">
      <c r="A53" s="560"/>
      <c r="B53" s="1138">
        <f>IF(D53=0,0,VLOOKUP(D53,Coefficients!A29:F50,5,0))</f>
        <v>0</v>
      </c>
      <c r="C53" s="578"/>
      <c r="D53" s="923"/>
      <c r="E53" s="924" t="s">
        <v>115</v>
      </c>
      <c r="F53" s="924" t="s">
        <v>115</v>
      </c>
      <c r="G53" s="925" t="s">
        <v>115</v>
      </c>
      <c r="H53" s="926" t="s">
        <v>115</v>
      </c>
      <c r="I53" s="927">
        <v>0</v>
      </c>
      <c r="J53" s="841">
        <f t="shared" si="6"/>
        <v>0</v>
      </c>
      <c r="K53" s="927">
        <v>0</v>
      </c>
      <c r="L53" s="927">
        <f t="shared" si="7"/>
        <v>0</v>
      </c>
      <c r="M53" s="579">
        <f t="shared" si="8"/>
        <v>0</v>
      </c>
      <c r="N53" s="925">
        <f>IF(F53=0,0,IF(O43=0,0,((O43-F53)/O43)*100))</f>
        <v>0</v>
      </c>
      <c r="O53" s="928"/>
      <c r="P53" s="563"/>
      <c r="Q53" s="578">
        <f t="shared" si="9"/>
        <v>0</v>
      </c>
      <c r="R53" s="924" t="str">
        <f t="shared" si="10"/>
        <v xml:space="preserve"> </v>
      </c>
      <c r="S53" s="926">
        <f t="shared" si="11"/>
        <v>0</v>
      </c>
    </row>
    <row r="54" spans="1:19" ht="20.100000000000001" customHeight="1" thickBot="1">
      <c r="A54" s="560"/>
      <c r="B54" s="1138">
        <f>IF(D54=0,0,VLOOKUP(D54,Coefficients!A29:F50,5,0))</f>
        <v>0</v>
      </c>
      <c r="C54" s="578"/>
      <c r="D54" s="923"/>
      <c r="E54" s="924" t="s">
        <v>115</v>
      </c>
      <c r="F54" s="924" t="s">
        <v>115</v>
      </c>
      <c r="G54" s="925" t="s">
        <v>115</v>
      </c>
      <c r="H54" s="926" t="s">
        <v>115</v>
      </c>
      <c r="I54" s="927">
        <v>0</v>
      </c>
      <c r="J54" s="841">
        <f t="shared" si="6"/>
        <v>0</v>
      </c>
      <c r="K54" s="927">
        <v>0</v>
      </c>
      <c r="L54" s="927">
        <f t="shared" si="7"/>
        <v>0</v>
      </c>
      <c r="M54" s="579">
        <f t="shared" si="8"/>
        <v>0</v>
      </c>
      <c r="N54" s="925">
        <f>IF(F54=0,0,IF(O43=0,0,((O43-F54)/O43)*100))</f>
        <v>0</v>
      </c>
      <c r="O54" s="928"/>
      <c r="P54" s="563"/>
      <c r="Q54" s="578">
        <f t="shared" si="9"/>
        <v>0</v>
      </c>
      <c r="R54" s="924" t="str">
        <f t="shared" si="10"/>
        <v xml:space="preserve"> </v>
      </c>
      <c r="S54" s="926">
        <f t="shared" si="11"/>
        <v>0</v>
      </c>
    </row>
    <row r="55" spans="1:19" ht="20.100000000000001" customHeight="1" thickBot="1">
      <c r="A55" s="560"/>
      <c r="B55" s="1138">
        <f>IF(D55=0,0,VLOOKUP(D55,Coefficients!A29:F50,5,0))</f>
        <v>0</v>
      </c>
      <c r="C55" s="578"/>
      <c r="D55" s="923"/>
      <c r="E55" s="924" t="s">
        <v>115</v>
      </c>
      <c r="F55" s="924" t="s">
        <v>115</v>
      </c>
      <c r="G55" s="925" t="s">
        <v>115</v>
      </c>
      <c r="H55" s="926" t="s">
        <v>115</v>
      </c>
      <c r="I55" s="927">
        <v>0</v>
      </c>
      <c r="J55" s="841">
        <f t="shared" si="6"/>
        <v>0</v>
      </c>
      <c r="K55" s="927">
        <v>0</v>
      </c>
      <c r="L55" s="926">
        <f t="shared" si="7"/>
        <v>0</v>
      </c>
      <c r="M55" s="579">
        <f t="shared" si="8"/>
        <v>0</v>
      </c>
      <c r="N55" s="925">
        <f>IF(F55=0,0,IF(O43=0,0,((O43-F55)/O43)*100))</f>
        <v>0</v>
      </c>
      <c r="O55" s="928"/>
      <c r="P55" s="563"/>
      <c r="Q55" s="578">
        <f t="shared" si="9"/>
        <v>0</v>
      </c>
      <c r="R55" s="924" t="str">
        <f t="shared" si="10"/>
        <v xml:space="preserve"> </v>
      </c>
      <c r="S55" s="926">
        <f t="shared" si="11"/>
        <v>0</v>
      </c>
    </row>
    <row r="56" spans="1:19" ht="20.100000000000001" customHeight="1" thickBot="1">
      <c r="A56" s="560"/>
      <c r="B56" s="1138">
        <f>IF(D56=0,0,VLOOKUP(D56,Coefficients!A29:F50,5,0))</f>
        <v>0</v>
      </c>
      <c r="C56" s="578"/>
      <c r="D56" s="923"/>
      <c r="E56" s="924" t="s">
        <v>115</v>
      </c>
      <c r="F56" s="924" t="s">
        <v>115</v>
      </c>
      <c r="G56" s="925" t="s">
        <v>115</v>
      </c>
      <c r="H56" s="926" t="s">
        <v>115</v>
      </c>
      <c r="I56" s="927">
        <v>0</v>
      </c>
      <c r="J56" s="841">
        <f t="shared" si="6"/>
        <v>0</v>
      </c>
      <c r="K56" s="927">
        <v>0</v>
      </c>
      <c r="L56" s="926">
        <f t="shared" si="7"/>
        <v>0</v>
      </c>
      <c r="M56" s="579">
        <f t="shared" si="8"/>
        <v>0</v>
      </c>
      <c r="N56" s="925">
        <f>IF(F56=0,0,IF(O43=0,0,((O43-F56)/O43)*100))</f>
        <v>0</v>
      </c>
      <c r="O56" s="928"/>
      <c r="P56" s="563"/>
      <c r="Q56" s="578">
        <f t="shared" si="9"/>
        <v>0</v>
      </c>
      <c r="R56" s="924" t="str">
        <f t="shared" si="10"/>
        <v xml:space="preserve"> </v>
      </c>
      <c r="S56" s="926">
        <f t="shared" si="11"/>
        <v>0</v>
      </c>
    </row>
    <row r="57" spans="1:19" ht="20.100000000000001" customHeight="1" thickBot="1">
      <c r="A57" s="560"/>
      <c r="B57" s="1138">
        <f>IF(D57=0,0,VLOOKUP(D57,Coefficients!A29:F50,5,0))</f>
        <v>0</v>
      </c>
      <c r="C57" s="578"/>
      <c r="D57" s="923"/>
      <c r="E57" s="924" t="s">
        <v>115</v>
      </c>
      <c r="F57" s="924" t="s">
        <v>115</v>
      </c>
      <c r="G57" s="925" t="s">
        <v>115</v>
      </c>
      <c r="H57" s="926" t="s">
        <v>115</v>
      </c>
      <c r="I57" s="927">
        <v>0</v>
      </c>
      <c r="J57" s="841">
        <f t="shared" si="6"/>
        <v>0</v>
      </c>
      <c r="K57" s="927">
        <v>0</v>
      </c>
      <c r="L57" s="926">
        <f t="shared" si="7"/>
        <v>0</v>
      </c>
      <c r="M57" s="579">
        <f t="shared" si="8"/>
        <v>0</v>
      </c>
      <c r="N57" s="925">
        <f>IF(F57=0,0,IF(O43=0,0,((O43-F57)/O43)*100))</f>
        <v>0</v>
      </c>
      <c r="O57" s="928"/>
      <c r="P57" s="563"/>
      <c r="Q57" s="578">
        <f t="shared" si="9"/>
        <v>0</v>
      </c>
      <c r="R57" s="924" t="str">
        <f t="shared" si="10"/>
        <v xml:space="preserve"> </v>
      </c>
      <c r="S57" s="926">
        <f t="shared" si="11"/>
        <v>0</v>
      </c>
    </row>
    <row r="58" spans="1:19" ht="20.100000000000001" customHeight="1" thickBot="1">
      <c r="A58" s="560"/>
      <c r="B58" s="1138">
        <f>IF(D58=0,0,VLOOKUP(D58,Coefficients!A29:F50,5,0))</f>
        <v>0</v>
      </c>
      <c r="C58" s="578"/>
      <c r="D58" s="923"/>
      <c r="E58" s="924" t="s">
        <v>115</v>
      </c>
      <c r="F58" s="924" t="s">
        <v>115</v>
      </c>
      <c r="G58" s="925" t="s">
        <v>115</v>
      </c>
      <c r="H58" s="926" t="s">
        <v>115</v>
      </c>
      <c r="I58" s="927">
        <v>0</v>
      </c>
      <c r="J58" s="841">
        <f t="shared" si="6"/>
        <v>0</v>
      </c>
      <c r="K58" s="927">
        <v>0</v>
      </c>
      <c r="L58" s="926">
        <f t="shared" si="7"/>
        <v>0</v>
      </c>
      <c r="M58" s="579">
        <f t="shared" si="8"/>
        <v>0</v>
      </c>
      <c r="N58" s="925">
        <f>IF(F58=0,0,IF(O43=0,0,((O43-F58)/O43)*100))</f>
        <v>0</v>
      </c>
      <c r="O58" s="928"/>
      <c r="P58" s="563"/>
      <c r="Q58" s="578">
        <f t="shared" si="9"/>
        <v>0</v>
      </c>
      <c r="R58" s="924" t="str">
        <f t="shared" si="10"/>
        <v xml:space="preserve"> </v>
      </c>
      <c r="S58" s="926">
        <f t="shared" si="11"/>
        <v>0</v>
      </c>
    </row>
    <row r="59" spans="1:19" ht="20.100000000000001" customHeight="1" thickBot="1">
      <c r="A59" s="560"/>
      <c r="B59" s="1138">
        <f>IF(D59=0,0,VLOOKUP(D59,Coefficients!A29:F50,5,0))</f>
        <v>0</v>
      </c>
      <c r="C59" s="578"/>
      <c r="D59" s="923"/>
      <c r="E59" s="924" t="s">
        <v>115</v>
      </c>
      <c r="F59" s="924" t="s">
        <v>115</v>
      </c>
      <c r="G59" s="925" t="s">
        <v>115</v>
      </c>
      <c r="H59" s="926" t="s">
        <v>115</v>
      </c>
      <c r="I59" s="927">
        <v>0</v>
      </c>
      <c r="J59" s="841">
        <f t="shared" si="6"/>
        <v>0</v>
      </c>
      <c r="K59" s="927">
        <v>0</v>
      </c>
      <c r="L59" s="926">
        <f t="shared" si="7"/>
        <v>0</v>
      </c>
      <c r="M59" s="579">
        <f t="shared" si="8"/>
        <v>0</v>
      </c>
      <c r="N59" s="925">
        <f>IF(F59=0,0,IF(O43=0,0,((O43-F59)/O43)*100))</f>
        <v>0</v>
      </c>
      <c r="O59" s="928"/>
      <c r="P59" s="563"/>
      <c r="Q59" s="578">
        <f t="shared" si="9"/>
        <v>0</v>
      </c>
      <c r="R59" s="924" t="str">
        <f t="shared" si="10"/>
        <v xml:space="preserve"> </v>
      </c>
      <c r="S59" s="926">
        <f t="shared" si="11"/>
        <v>0</v>
      </c>
    </row>
    <row r="60" spans="1:19" ht="20.100000000000001" customHeight="1" thickBot="1">
      <c r="A60" s="560"/>
      <c r="B60" s="1138">
        <f>IF(D60=0,0,VLOOKUP(D60,Coefficients!A29:F50,5,0))</f>
        <v>0</v>
      </c>
      <c r="C60" s="578"/>
      <c r="D60" s="923"/>
      <c r="E60" s="924" t="s">
        <v>115</v>
      </c>
      <c r="F60" s="924" t="s">
        <v>115</v>
      </c>
      <c r="G60" s="925" t="s">
        <v>115</v>
      </c>
      <c r="H60" s="926" t="s">
        <v>115</v>
      </c>
      <c r="I60" s="927">
        <v>0</v>
      </c>
      <c r="J60" s="841">
        <f t="shared" si="6"/>
        <v>0</v>
      </c>
      <c r="K60" s="927">
        <v>0</v>
      </c>
      <c r="L60" s="926">
        <f t="shared" si="7"/>
        <v>0</v>
      </c>
      <c r="M60" s="579">
        <f t="shared" si="8"/>
        <v>0</v>
      </c>
      <c r="N60" s="925">
        <f>IF(F60=0,0,IF(O43=0,0,((O43-F60)/O43)*100))</f>
        <v>0</v>
      </c>
      <c r="O60" s="928"/>
      <c r="P60" s="563"/>
      <c r="Q60" s="578">
        <f t="shared" si="9"/>
        <v>0</v>
      </c>
      <c r="R60" s="924" t="str">
        <f t="shared" si="10"/>
        <v xml:space="preserve"> </v>
      </c>
      <c r="S60" s="926">
        <f t="shared" si="11"/>
        <v>0</v>
      </c>
    </row>
    <row r="61" spans="1:19" ht="20.100000000000001" customHeight="1" thickBot="1">
      <c r="A61" s="560"/>
      <c r="B61" s="1138">
        <f>IF(D61=0,0,VLOOKUP(D61,Coefficients!A29:F50,5,0))</f>
        <v>0</v>
      </c>
      <c r="C61" s="578"/>
      <c r="D61" s="923"/>
      <c r="E61" s="924" t="s">
        <v>115</v>
      </c>
      <c r="F61" s="924" t="s">
        <v>115</v>
      </c>
      <c r="G61" s="925" t="s">
        <v>115</v>
      </c>
      <c r="H61" s="926" t="s">
        <v>115</v>
      </c>
      <c r="I61" s="927">
        <v>0</v>
      </c>
      <c r="J61" s="841">
        <f t="shared" si="6"/>
        <v>0</v>
      </c>
      <c r="K61" s="927">
        <v>0</v>
      </c>
      <c r="L61" s="926">
        <f t="shared" si="7"/>
        <v>0</v>
      </c>
      <c r="M61" s="579">
        <f t="shared" si="8"/>
        <v>0</v>
      </c>
      <c r="N61" s="925">
        <f>IF(F61=0,0,IF(O43=0,0,((O43-F61)/O43)*100))</f>
        <v>0</v>
      </c>
      <c r="O61" s="928"/>
      <c r="P61" s="563"/>
      <c r="Q61" s="578">
        <f t="shared" si="9"/>
        <v>0</v>
      </c>
      <c r="R61" s="924" t="str">
        <f t="shared" si="10"/>
        <v xml:space="preserve"> </v>
      </c>
      <c r="S61" s="926">
        <f t="shared" si="11"/>
        <v>0</v>
      </c>
    </row>
    <row r="62" spans="1:19" ht="20.100000000000001" customHeight="1" thickBot="1">
      <c r="A62" s="560"/>
      <c r="B62" s="1138">
        <f>IF(D62=0,0,VLOOKUP(D62,Coefficients!A29:F50,5,0))</f>
        <v>0</v>
      </c>
      <c r="C62" s="578"/>
      <c r="D62" s="923"/>
      <c r="E62" s="924" t="s">
        <v>115</v>
      </c>
      <c r="F62" s="924" t="s">
        <v>115</v>
      </c>
      <c r="G62" s="925" t="s">
        <v>115</v>
      </c>
      <c r="H62" s="926" t="s">
        <v>115</v>
      </c>
      <c r="I62" s="927">
        <v>0</v>
      </c>
      <c r="J62" s="841">
        <f t="shared" si="6"/>
        <v>0</v>
      </c>
      <c r="K62" s="927">
        <v>0</v>
      </c>
      <c r="L62" s="926">
        <f t="shared" si="7"/>
        <v>0</v>
      </c>
      <c r="M62" s="579">
        <f t="shared" si="8"/>
        <v>0</v>
      </c>
      <c r="N62" s="925">
        <f>IF(F62=0,0,IF(O43=0,0,((O43-F62)/O43)*100))</f>
        <v>0</v>
      </c>
      <c r="O62" s="928"/>
      <c r="P62" s="563"/>
      <c r="Q62" s="578">
        <f t="shared" si="9"/>
        <v>0</v>
      </c>
      <c r="R62" s="924" t="str">
        <f t="shared" si="10"/>
        <v xml:space="preserve"> </v>
      </c>
      <c r="S62" s="926">
        <f t="shared" si="11"/>
        <v>0</v>
      </c>
    </row>
    <row r="63" spans="1:19" ht="20.100000000000001" customHeight="1" thickBot="1">
      <c r="A63" s="560"/>
      <c r="B63" s="1138">
        <f>IF(D63=0,0,VLOOKUP(D63,Coefficients!A29:F50,5,0))</f>
        <v>0</v>
      </c>
      <c r="C63" s="578"/>
      <c r="D63" s="923"/>
      <c r="E63" s="924" t="s">
        <v>115</v>
      </c>
      <c r="F63" s="924" t="s">
        <v>115</v>
      </c>
      <c r="G63" s="925" t="s">
        <v>115</v>
      </c>
      <c r="H63" s="926" t="s">
        <v>115</v>
      </c>
      <c r="I63" s="927">
        <v>0</v>
      </c>
      <c r="J63" s="841">
        <f t="shared" si="6"/>
        <v>0</v>
      </c>
      <c r="K63" s="927">
        <v>0</v>
      </c>
      <c r="L63" s="926">
        <f t="shared" si="7"/>
        <v>0</v>
      </c>
      <c r="M63" s="579">
        <f t="shared" si="8"/>
        <v>0</v>
      </c>
      <c r="N63" s="925">
        <f>IF(F63=0,0,IF(O43=0,0,((O43-F63)/O43)*100))</f>
        <v>0</v>
      </c>
      <c r="O63" s="928"/>
      <c r="P63" s="563"/>
      <c r="Q63" s="578">
        <f t="shared" si="9"/>
        <v>0</v>
      </c>
      <c r="R63" s="924" t="str">
        <f t="shared" si="10"/>
        <v xml:space="preserve"> </v>
      </c>
      <c r="S63" s="926">
        <f t="shared" si="11"/>
        <v>0</v>
      </c>
    </row>
    <row r="64" spans="1:19" ht="20.100000000000001" customHeight="1" thickBot="1">
      <c r="A64" s="560"/>
      <c r="B64" s="1138">
        <f>IF(D64=0,0,VLOOKUP(D64,Coefficients!A29:F50,5,0))</f>
        <v>0</v>
      </c>
      <c r="C64" s="578"/>
      <c r="D64" s="923"/>
      <c r="E64" s="924" t="s">
        <v>115</v>
      </c>
      <c r="F64" s="924" t="s">
        <v>115</v>
      </c>
      <c r="G64" s="925" t="s">
        <v>115</v>
      </c>
      <c r="H64" s="926" t="s">
        <v>115</v>
      </c>
      <c r="I64" s="927">
        <v>0</v>
      </c>
      <c r="J64" s="841">
        <f t="shared" si="6"/>
        <v>0</v>
      </c>
      <c r="K64" s="927">
        <v>0</v>
      </c>
      <c r="L64" s="926">
        <f t="shared" si="7"/>
        <v>0</v>
      </c>
      <c r="M64" s="579">
        <f t="shared" si="8"/>
        <v>0</v>
      </c>
      <c r="N64" s="925">
        <f>IF(F64=0,0,IF(O43=0,0,((O43-F64)/O43)*100))</f>
        <v>0</v>
      </c>
      <c r="O64" s="928"/>
      <c r="P64" s="563"/>
      <c r="Q64" s="578">
        <f t="shared" si="9"/>
        <v>0</v>
      </c>
      <c r="R64" s="924" t="str">
        <f t="shared" si="10"/>
        <v xml:space="preserve"> </v>
      </c>
      <c r="S64" s="926">
        <f t="shared" si="11"/>
        <v>0</v>
      </c>
    </row>
    <row r="65" spans="1:19" ht="20.100000000000001" customHeight="1" thickBot="1">
      <c r="A65" s="560"/>
      <c r="B65" s="1138">
        <f>IF(D65=0,0,VLOOKUP(D65,Coefficients!A29:F50,5,0))</f>
        <v>0</v>
      </c>
      <c r="C65" s="578"/>
      <c r="D65" s="923"/>
      <c r="E65" s="924" t="s">
        <v>115</v>
      </c>
      <c r="F65" s="924" t="s">
        <v>115</v>
      </c>
      <c r="G65" s="925" t="s">
        <v>115</v>
      </c>
      <c r="H65" s="926" t="s">
        <v>115</v>
      </c>
      <c r="I65" s="927">
        <v>0</v>
      </c>
      <c r="J65" s="841">
        <f t="shared" si="6"/>
        <v>0</v>
      </c>
      <c r="K65" s="927">
        <v>0</v>
      </c>
      <c r="L65" s="926">
        <f t="shared" si="7"/>
        <v>0</v>
      </c>
      <c r="M65" s="579">
        <f t="shared" si="8"/>
        <v>0</v>
      </c>
      <c r="N65" s="925">
        <f>IF(F65=0,0,IF(O43=0,0,((O43-F65)/O43)*100))</f>
        <v>0</v>
      </c>
      <c r="O65" s="928"/>
      <c r="P65" s="563"/>
      <c r="Q65" s="578">
        <f t="shared" si="9"/>
        <v>0</v>
      </c>
      <c r="R65" s="924" t="str">
        <f t="shared" si="10"/>
        <v xml:space="preserve"> </v>
      </c>
      <c r="S65" s="926">
        <f t="shared" si="11"/>
        <v>0</v>
      </c>
    </row>
    <row r="66" spans="1:19" ht="20.100000000000001" customHeight="1" thickBot="1">
      <c r="A66" s="560"/>
      <c r="B66" s="1138">
        <f>IF(D66=0,0,VLOOKUP(D66,Coefficients!A29:F50,5,0))</f>
        <v>0</v>
      </c>
      <c r="C66" s="578"/>
      <c r="D66" s="923"/>
      <c r="E66" s="924" t="s">
        <v>115</v>
      </c>
      <c r="F66" s="924" t="s">
        <v>115</v>
      </c>
      <c r="G66" s="925" t="s">
        <v>115</v>
      </c>
      <c r="H66" s="926" t="s">
        <v>115</v>
      </c>
      <c r="I66" s="927">
        <v>0</v>
      </c>
      <c r="J66" s="841">
        <f t="shared" si="6"/>
        <v>0</v>
      </c>
      <c r="K66" s="927">
        <v>0</v>
      </c>
      <c r="L66" s="926">
        <f t="shared" si="7"/>
        <v>0</v>
      </c>
      <c r="M66" s="579">
        <f t="shared" si="8"/>
        <v>0</v>
      </c>
      <c r="N66" s="925">
        <f>IF(F66=0,0,IF(O43=0,0,((O43-F66)/O43)*100))</f>
        <v>0</v>
      </c>
      <c r="O66" s="928"/>
      <c r="P66" s="563"/>
      <c r="Q66" s="578">
        <f t="shared" si="9"/>
        <v>0</v>
      </c>
      <c r="R66" s="924" t="str">
        <f t="shared" si="10"/>
        <v xml:space="preserve"> </v>
      </c>
      <c r="S66" s="926">
        <f t="shared" si="11"/>
        <v>0</v>
      </c>
    </row>
    <row r="67" spans="1:19" ht="20.100000000000001" customHeight="1" thickBot="1">
      <c r="A67" s="560"/>
      <c r="B67" s="1138">
        <f>IF(D67=0,0,VLOOKUP(D67,Coefficients!A29:F50,5,0))</f>
        <v>0</v>
      </c>
      <c r="C67" s="578"/>
      <c r="D67" s="923"/>
      <c r="E67" s="924" t="s">
        <v>115</v>
      </c>
      <c r="F67" s="924" t="s">
        <v>115</v>
      </c>
      <c r="G67" s="925" t="s">
        <v>115</v>
      </c>
      <c r="H67" s="926" t="s">
        <v>115</v>
      </c>
      <c r="I67" s="927">
        <v>0</v>
      </c>
      <c r="J67" s="841">
        <f t="shared" si="6"/>
        <v>0</v>
      </c>
      <c r="K67" s="927">
        <v>0</v>
      </c>
      <c r="L67" s="926">
        <f t="shared" si="7"/>
        <v>0</v>
      </c>
      <c r="M67" s="579">
        <f t="shared" si="8"/>
        <v>0</v>
      </c>
      <c r="N67" s="925">
        <f>IF(F67=0,0,IF(O43=0,0,((O43-F67)/O43)*100))</f>
        <v>0</v>
      </c>
      <c r="O67" s="928"/>
      <c r="P67" s="563"/>
      <c r="Q67" s="578">
        <f t="shared" si="9"/>
        <v>0</v>
      </c>
      <c r="R67" s="924" t="str">
        <f t="shared" si="10"/>
        <v xml:space="preserve"> </v>
      </c>
      <c r="S67" s="926">
        <f t="shared" si="11"/>
        <v>0</v>
      </c>
    </row>
    <row r="68" spans="1:19" ht="20.100000000000001" customHeight="1">
      <c r="A68" s="560"/>
      <c r="B68" s="580" t="s">
        <v>274</v>
      </c>
      <c r="C68" s="536" t="str">
        <f>IF(J44="Yes","In the event this report differs from Tester's Notes, the Tester's Notes should be used as the absolute"," ")</f>
        <v xml:space="preserve"> </v>
      </c>
      <c r="D68" s="581"/>
      <c r="E68" s="582"/>
      <c r="F68" s="582"/>
      <c r="G68" s="536" t="str">
        <f>IF(J44="Yes","In the event this report differs from Tester's Notes, the Tester's Notes should be used as the absolute"," ")</f>
        <v xml:space="preserve"> </v>
      </c>
      <c r="H68" s="582"/>
      <c r="I68" s="583"/>
      <c r="J68" s="583"/>
      <c r="K68" s="583"/>
      <c r="L68" s="583"/>
      <c r="M68" s="583"/>
      <c r="N68" s="583"/>
      <c r="O68" s="929"/>
      <c r="P68" s="563"/>
    </row>
    <row r="69" spans="1:19" ht="20.100000000000001" customHeight="1">
      <c r="A69" s="560"/>
      <c r="B69" s="584"/>
      <c r="C69" s="539" t="s">
        <v>414</v>
      </c>
      <c r="D69" s="929"/>
      <c r="E69" s="929"/>
      <c r="F69" s="929"/>
      <c r="G69" s="929"/>
      <c r="H69" s="929"/>
      <c r="I69" s="930"/>
      <c r="J69" s="930"/>
      <c r="K69" s="930"/>
      <c r="L69" s="931"/>
      <c r="M69" s="931"/>
      <c r="N69" s="931"/>
      <c r="O69" s="930"/>
      <c r="P69" s="563"/>
    </row>
    <row r="70" spans="1:19" ht="20.100000000000001" customHeight="1" thickBot="1">
      <c r="A70" s="560"/>
      <c r="B70" s="584"/>
      <c r="C70" s="585" t="s">
        <v>115</v>
      </c>
      <c r="D70" s="929"/>
      <c r="E70" s="929"/>
      <c r="F70" s="929"/>
      <c r="G70" s="929"/>
      <c r="H70" s="929"/>
      <c r="I70" s="586"/>
      <c r="J70" s="586"/>
      <c r="K70" s="586"/>
      <c r="L70" s="931"/>
      <c r="M70" s="931"/>
      <c r="N70" s="931"/>
      <c r="O70" s="930"/>
      <c r="P70" s="563"/>
    </row>
    <row r="71" spans="1:19" ht="20.100000000000001" customHeight="1" thickBot="1">
      <c r="A71" s="560"/>
      <c r="B71" s="587" t="s">
        <v>275</v>
      </c>
      <c r="C71" s="559" t="s">
        <v>276</v>
      </c>
      <c r="D71" s="936">
        <f>SUM(K48:K67)</f>
        <v>0</v>
      </c>
      <c r="E71" s="914" t="s">
        <v>256</v>
      </c>
      <c r="F71" s="914" t="s">
        <v>277</v>
      </c>
      <c r="G71" s="933">
        <f>SUM(I48:I67)</f>
        <v>0</v>
      </c>
      <c r="H71" s="914" t="s">
        <v>256</v>
      </c>
      <c r="I71" s="588"/>
      <c r="J71" s="588"/>
      <c r="K71" s="588"/>
      <c r="M71" s="589" t="s">
        <v>151</v>
      </c>
      <c r="N71" s="590"/>
      <c r="O71" s="934">
        <f>O35</f>
        <v>0</v>
      </c>
      <c r="P71" s="563"/>
    </row>
    <row r="72" spans="1:19" ht="20.100000000000001" customHeight="1" thickBot="1">
      <c r="A72" s="591"/>
      <c r="B72" s="592"/>
      <c r="C72" s="593" t="s">
        <v>115</v>
      </c>
      <c r="D72" s="594" t="s">
        <v>115</v>
      </c>
      <c r="E72" s="935"/>
      <c r="F72" s="935" t="s">
        <v>278</v>
      </c>
      <c r="G72" s="936">
        <f>D71+G71</f>
        <v>0</v>
      </c>
      <c r="H72" s="935" t="s">
        <v>256</v>
      </c>
      <c r="I72" s="935"/>
      <c r="J72" s="935"/>
      <c r="K72" s="935"/>
      <c r="L72" s="595"/>
      <c r="M72" s="595"/>
      <c r="N72" s="595"/>
      <c r="O72" s="595"/>
      <c r="P72" s="596"/>
    </row>
  </sheetData>
  <protectedRanges>
    <protectedRange password="D0C7" sqref="B12:B31 B48:B67" name="Range1" securityDescriptor="O:WDG:WDD:(A;;CC;;;S-1-5-21-2025429265-1708537768-854245398-500)"/>
  </protectedRanges>
  <mergeCells count="12">
    <mergeCell ref="G46:H46"/>
    <mergeCell ref="D42:E42"/>
    <mergeCell ref="F42:G42"/>
    <mergeCell ref="H42:I42"/>
    <mergeCell ref="H8:I8"/>
    <mergeCell ref="H44:I44"/>
    <mergeCell ref="D5:K5"/>
    <mergeCell ref="D41:K41"/>
    <mergeCell ref="G10:H10"/>
    <mergeCell ref="D6:E6"/>
    <mergeCell ref="F6:G6"/>
    <mergeCell ref="H6:I6"/>
  </mergeCells>
  <phoneticPr fontId="0" type="noConversion"/>
  <printOptions gridLinesSet="0"/>
  <pageMargins left="0.20699999999999999" right="0.20699999999999999" top="0.5" bottom="0.25" header="0.5" footer="0.5"/>
  <pageSetup scale="35" orientation="landscape" horizontalDpi="360" verticalDpi="360" r:id="rId1"/>
  <headerFooter alignWithMargins="0"/>
  <ignoredErrors>
    <ignoredError sqref="B12:B32 B48:B52 B53:B6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2" r:id="rId4" name="Button 4">
              <controlPr defaultSize="0" print="0" autoFill="0" autoPict="0" macro="[0]!BACKTOMENU">
                <anchor moveWithCells="1">
                  <from>
                    <xdr:col>1</xdr:col>
                    <xdr:colOff>435429</xdr:colOff>
                    <xdr:row>0</xdr:row>
                    <xdr:rowOff>163286</xdr:rowOff>
                  </from>
                  <to>
                    <xdr:col>1</xdr:col>
                    <xdr:colOff>979714</xdr:colOff>
                    <xdr:row>1</xdr:row>
                    <xdr:rowOff>144236</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41166AF2-BABB-40F6-B1DF-58B17EAFA56E}">
          <x14:formula1>
            <xm:f>'Data Validation'!$C$14:$D$14</xm:f>
          </x14:formula1>
          <xm:sqref>E8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EBD1A-0CC4-4E24-A7CC-AF7BA4B68765}">
  <sheetPr>
    <pageSetUpPr fitToPage="1"/>
  </sheetPr>
  <dimension ref="A1:O46"/>
  <sheetViews>
    <sheetView showGridLines="0" showZeros="0" view="pageBreakPreview" zoomScale="80" zoomScaleNormal="100" workbookViewId="0">
      <selection activeCell="A2" sqref="A2:J2"/>
    </sheetView>
  </sheetViews>
  <sheetFormatPr defaultRowHeight="12.9"/>
  <cols>
    <col min="1" max="1" width="5.57421875" customWidth="1"/>
    <col min="2" max="2" width="16.57421875" customWidth="1"/>
    <col min="3" max="3" width="14.84375" customWidth="1"/>
    <col min="6" max="6" width="6.84375" customWidth="1"/>
    <col min="7" max="7" width="15" customWidth="1"/>
    <col min="9" max="9" width="18.15234375" customWidth="1"/>
    <col min="10" max="10" width="13" customWidth="1"/>
    <col min="11" max="11" width="14.69140625" customWidth="1"/>
    <col min="12" max="12" width="9.84375" customWidth="1"/>
    <col min="13" max="13" width="15.15234375" customWidth="1"/>
    <col min="14" max="14" width="11.15234375" customWidth="1"/>
  </cols>
  <sheetData>
    <row r="1" spans="1:15" ht="27.65">
      <c r="A1" s="2528">
        <f>Summary!C5</f>
        <v>0</v>
      </c>
      <c r="B1" s="2528"/>
      <c r="C1" s="2528"/>
      <c r="D1" s="2528"/>
      <c r="E1" s="2528"/>
      <c r="F1" s="2528"/>
      <c r="G1" s="2528"/>
      <c r="H1" s="2528"/>
      <c r="I1" s="2528"/>
      <c r="J1" s="2528"/>
    </row>
    <row r="2" spans="1:15" ht="18.75" customHeight="1">
      <c r="A2" s="1890" t="s">
        <v>740</v>
      </c>
      <c r="B2" s="1890"/>
      <c r="C2" s="1890"/>
      <c r="D2" s="1890"/>
      <c r="E2" s="1890"/>
      <c r="F2" s="1890"/>
      <c r="G2" s="1890"/>
      <c r="H2" s="1890"/>
      <c r="I2" s="1890"/>
      <c r="J2" s="1890"/>
    </row>
    <row r="3" spans="1:15" ht="15" customHeight="1">
      <c r="A3" s="3"/>
      <c r="B3" s="3"/>
      <c r="C3" s="3"/>
      <c r="D3" s="3"/>
      <c r="E3" s="3"/>
      <c r="F3" s="3"/>
      <c r="G3" s="3"/>
      <c r="H3" s="3"/>
      <c r="I3" s="3"/>
      <c r="J3" s="3"/>
      <c r="K3" s="3"/>
      <c r="L3" s="4" t="s">
        <v>741</v>
      </c>
      <c r="M3" s="1197"/>
      <c r="N3" s="19"/>
    </row>
    <row r="4" spans="1:15" ht="18.75" customHeight="1">
      <c r="A4" s="3"/>
      <c r="B4" s="4" t="s">
        <v>742</v>
      </c>
      <c r="C4" s="1222"/>
      <c r="D4" s="3"/>
      <c r="E4" s="3"/>
      <c r="F4" s="3"/>
      <c r="G4" s="3"/>
      <c r="H4" s="3"/>
      <c r="I4" s="3"/>
      <c r="J4" s="3"/>
      <c r="K4" s="3"/>
      <c r="L4" s="4" t="s">
        <v>743</v>
      </c>
      <c r="M4" s="1193"/>
      <c r="N4" s="18"/>
    </row>
    <row r="5" spans="1:15" ht="9.75" customHeight="1" thickBot="1">
      <c r="A5" s="3"/>
      <c r="B5" s="3"/>
      <c r="C5" s="3"/>
      <c r="D5" s="3"/>
      <c r="E5" s="3"/>
      <c r="F5" s="3"/>
      <c r="G5" s="3"/>
      <c r="H5" s="3"/>
      <c r="I5" s="3"/>
      <c r="J5" s="3"/>
      <c r="K5" s="3"/>
      <c r="L5" s="3"/>
      <c r="M5" s="3"/>
    </row>
    <row r="6" spans="1:15" ht="12.75" customHeight="1">
      <c r="A6" s="1163"/>
      <c r="B6" s="1191"/>
      <c r="C6" s="1191"/>
      <c r="D6" s="1191"/>
      <c r="E6" s="1191"/>
      <c r="F6" s="1191"/>
      <c r="G6" s="1191"/>
      <c r="H6" s="1191"/>
      <c r="I6" s="1191"/>
      <c r="J6" s="1192"/>
      <c r="K6" s="3"/>
      <c r="L6" s="1211" t="s">
        <v>744</v>
      </c>
      <c r="M6" s="1191"/>
      <c r="N6" s="43"/>
    </row>
    <row r="7" spans="1:15" ht="13.75" thickBot="1">
      <c r="A7" s="738"/>
      <c r="B7" s="194" t="s">
        <v>745</v>
      </c>
      <c r="C7" s="1916"/>
      <c r="D7" s="1916"/>
      <c r="E7" s="1916"/>
      <c r="F7" s="1916"/>
      <c r="G7" s="948" t="s">
        <v>746</v>
      </c>
      <c r="H7" s="1916"/>
      <c r="I7" s="1916"/>
      <c r="J7" s="2530"/>
      <c r="K7" s="3"/>
      <c r="L7" s="1212"/>
      <c r="M7" s="1193"/>
      <c r="N7" s="498"/>
    </row>
    <row r="8" spans="1:15" ht="29.25" customHeight="1">
      <c r="A8" s="2526" t="s">
        <v>747</v>
      </c>
      <c r="B8" s="2527"/>
      <c r="C8" s="2527"/>
      <c r="D8" s="2527"/>
      <c r="E8" s="2527"/>
      <c r="F8" s="2527"/>
      <c r="G8" s="4"/>
      <c r="H8" s="4"/>
      <c r="I8" s="4"/>
      <c r="J8" s="133"/>
      <c r="K8" s="3"/>
      <c r="L8" s="738"/>
      <c r="M8" s="3"/>
      <c r="N8" s="45"/>
    </row>
    <row r="9" spans="1:15" ht="16.5" customHeight="1">
      <c r="A9" s="738"/>
      <c r="B9" s="4" t="s">
        <v>748</v>
      </c>
      <c r="C9" s="1738"/>
      <c r="D9" s="1738"/>
      <c r="E9" s="1738"/>
      <c r="F9" s="4"/>
      <c r="G9" s="4" t="s">
        <v>749</v>
      </c>
      <c r="H9" s="1738"/>
      <c r="I9" s="1738"/>
      <c r="J9" s="133"/>
      <c r="K9" s="3"/>
      <c r="L9" s="1212"/>
      <c r="M9" s="1193"/>
      <c r="N9" s="498"/>
    </row>
    <row r="10" spans="1:15" ht="12.75" customHeight="1">
      <c r="A10" s="738"/>
      <c r="B10" s="4"/>
      <c r="C10" s="4"/>
      <c r="D10" s="4"/>
      <c r="E10" s="4"/>
      <c r="F10" s="4"/>
      <c r="G10" s="4"/>
      <c r="H10" s="4"/>
      <c r="I10" s="4"/>
      <c r="J10" s="133"/>
      <c r="K10" s="3"/>
      <c r="L10" s="738"/>
      <c r="M10" s="3"/>
      <c r="N10" s="45"/>
    </row>
    <row r="11" spans="1:15" ht="12" customHeight="1">
      <c r="A11" s="738"/>
      <c r="B11" s="4" t="s">
        <v>750</v>
      </c>
      <c r="C11" s="1741">
        <f>Operations!J8</f>
        <v>0</v>
      </c>
      <c r="D11" s="1738"/>
      <c r="E11" s="1738"/>
      <c r="F11" s="4"/>
      <c r="G11" s="4" t="s">
        <v>750</v>
      </c>
      <c r="H11" s="1738"/>
      <c r="I11" s="1738"/>
      <c r="J11" s="133"/>
      <c r="K11" s="3"/>
      <c r="L11" s="1212"/>
      <c r="M11" s="1193"/>
      <c r="N11" s="498"/>
    </row>
    <row r="12" spans="1:15" ht="10.5" customHeight="1" thickBot="1">
      <c r="A12" s="1178"/>
      <c r="B12" s="1195"/>
      <c r="C12" s="1195"/>
      <c r="D12" s="1195"/>
      <c r="E12" s="1195"/>
      <c r="F12" s="1195"/>
      <c r="G12" s="1195"/>
      <c r="H12" s="1195"/>
      <c r="I12" s="1195"/>
      <c r="J12" s="51"/>
      <c r="K12" s="3"/>
      <c r="L12" s="1178"/>
      <c r="M12" s="1195"/>
      <c r="N12" s="47"/>
    </row>
    <row r="13" spans="1:15" ht="8.25" customHeight="1" thickBot="1">
      <c r="A13" s="3"/>
      <c r="B13" s="3"/>
      <c r="C13" s="3"/>
      <c r="D13" s="3"/>
      <c r="E13" s="3"/>
      <c r="F13" s="3"/>
      <c r="G13" s="3"/>
      <c r="H13" s="3"/>
      <c r="I13" s="3"/>
      <c r="J13" s="3"/>
      <c r="K13" s="3"/>
      <c r="L13" s="3"/>
      <c r="M13" s="3"/>
      <c r="N13" s="3"/>
    </row>
    <row r="14" spans="1:15" ht="29.25" customHeight="1" thickBot="1">
      <c r="A14" s="1213" t="s">
        <v>751</v>
      </c>
      <c r="B14" s="1214" t="s">
        <v>752</v>
      </c>
      <c r="C14" s="1213" t="s">
        <v>753</v>
      </c>
      <c r="D14" s="2529" t="s">
        <v>754</v>
      </c>
      <c r="E14" s="2529"/>
      <c r="F14" s="2529"/>
      <c r="G14" s="2529"/>
      <c r="H14" s="2529"/>
      <c r="I14" s="2529"/>
      <c r="J14" s="1213" t="s">
        <v>755</v>
      </c>
      <c r="K14" s="1214" t="s">
        <v>756</v>
      </c>
      <c r="L14" s="1213" t="s">
        <v>757</v>
      </c>
      <c r="M14" s="1214" t="s">
        <v>758</v>
      </c>
      <c r="N14" s="1213" t="s">
        <v>759</v>
      </c>
      <c r="O14" s="1196"/>
    </row>
    <row r="15" spans="1:15" ht="18.75" customHeight="1">
      <c r="A15" s="1215"/>
      <c r="B15" s="3"/>
      <c r="C15" s="1215"/>
      <c r="D15" s="2534"/>
      <c r="E15" s="2535"/>
      <c r="F15" s="2535"/>
      <c r="G15" s="2535"/>
      <c r="H15" s="2535"/>
      <c r="I15" s="2536"/>
      <c r="J15" s="1215"/>
      <c r="K15" s="1325"/>
      <c r="L15" s="1215"/>
      <c r="M15" s="1325"/>
      <c r="N15" s="1369"/>
    </row>
    <row r="16" spans="1:15" ht="19.5" customHeight="1">
      <c r="A16" s="1216"/>
      <c r="B16" s="1193"/>
      <c r="C16" s="1216"/>
      <c r="D16" s="2531"/>
      <c r="E16" s="2532"/>
      <c r="F16" s="2532"/>
      <c r="G16" s="2532"/>
      <c r="H16" s="2532"/>
      <c r="I16" s="2533"/>
      <c r="J16" s="1216"/>
      <c r="K16" s="1326"/>
      <c r="L16" s="1216"/>
      <c r="M16" s="1326"/>
      <c r="N16" s="1370"/>
    </row>
    <row r="17" spans="1:14" ht="18.75" customHeight="1">
      <c r="A17" s="1215"/>
      <c r="B17" s="3"/>
      <c r="C17" s="1215"/>
      <c r="D17" s="2531"/>
      <c r="E17" s="2532"/>
      <c r="F17" s="2532"/>
      <c r="G17" s="2532"/>
      <c r="H17" s="2532"/>
      <c r="I17" s="2533"/>
      <c r="J17" s="1215"/>
      <c r="K17" s="1325"/>
      <c r="L17" s="1215"/>
      <c r="M17" s="1325"/>
      <c r="N17" s="1369"/>
    </row>
    <row r="18" spans="1:14" ht="19.5" customHeight="1">
      <c r="A18" s="1216"/>
      <c r="B18" s="1193"/>
      <c r="C18" s="1216"/>
      <c r="D18" s="2531"/>
      <c r="E18" s="2532"/>
      <c r="F18" s="2532"/>
      <c r="G18" s="2532"/>
      <c r="H18" s="2532"/>
      <c r="I18" s="2533"/>
      <c r="J18" s="1216"/>
      <c r="K18" s="1326"/>
      <c r="L18" s="1216"/>
      <c r="M18" s="1326"/>
      <c r="N18" s="1370"/>
    </row>
    <row r="19" spans="1:14" ht="19.5" customHeight="1">
      <c r="A19" s="1215"/>
      <c r="B19" s="3"/>
      <c r="C19" s="1215"/>
      <c r="D19" s="2531"/>
      <c r="E19" s="2532"/>
      <c r="F19" s="2532"/>
      <c r="G19" s="2532"/>
      <c r="H19" s="2532"/>
      <c r="I19" s="2533"/>
      <c r="J19" s="1215"/>
      <c r="K19" s="1325"/>
      <c r="L19" s="1215"/>
      <c r="M19" s="1325"/>
      <c r="N19" s="1369"/>
    </row>
    <row r="20" spans="1:14" ht="19.5" customHeight="1">
      <c r="A20" s="1216"/>
      <c r="B20" s="1193"/>
      <c r="C20" s="1216"/>
      <c r="D20" s="2531"/>
      <c r="E20" s="2532"/>
      <c r="F20" s="2532"/>
      <c r="G20" s="2532"/>
      <c r="H20" s="2532"/>
      <c r="I20" s="2533"/>
      <c r="J20" s="1216"/>
      <c r="K20" s="1326"/>
      <c r="L20" s="1216"/>
      <c r="M20" s="1326"/>
      <c r="N20" s="1370"/>
    </row>
    <row r="21" spans="1:14" ht="19.5" customHeight="1">
      <c r="A21" s="1215"/>
      <c r="B21" s="3"/>
      <c r="C21" s="1215"/>
      <c r="D21" s="2531"/>
      <c r="E21" s="2532"/>
      <c r="F21" s="2532"/>
      <c r="G21" s="2532"/>
      <c r="H21" s="2532"/>
      <c r="I21" s="2533"/>
      <c r="J21" s="1215"/>
      <c r="K21" s="1325"/>
      <c r="L21" s="1215"/>
      <c r="M21" s="1325"/>
      <c r="N21" s="1369"/>
    </row>
    <row r="22" spans="1:14" ht="19.5" customHeight="1">
      <c r="A22" s="1216"/>
      <c r="B22" s="1193"/>
      <c r="C22" s="1216"/>
      <c r="D22" s="2531"/>
      <c r="E22" s="2532"/>
      <c r="F22" s="2532"/>
      <c r="G22" s="2532"/>
      <c r="H22" s="2532"/>
      <c r="I22" s="2533"/>
      <c r="J22" s="1216"/>
      <c r="K22" s="1326"/>
      <c r="L22" s="1216"/>
      <c r="M22" s="1326"/>
      <c r="N22" s="1370"/>
    </row>
    <row r="23" spans="1:14" ht="19.5" customHeight="1">
      <c r="A23" s="1215"/>
      <c r="B23" s="3"/>
      <c r="C23" s="1215"/>
      <c r="D23" s="2531"/>
      <c r="E23" s="2532"/>
      <c r="F23" s="2532"/>
      <c r="G23" s="2532"/>
      <c r="H23" s="2532"/>
      <c r="I23" s="2533"/>
      <c r="J23" s="1215"/>
      <c r="K23" s="1325"/>
      <c r="L23" s="1215"/>
      <c r="M23" s="1325"/>
      <c r="N23" s="1369"/>
    </row>
    <row r="24" spans="1:14" ht="19.5" customHeight="1">
      <c r="A24" s="1216"/>
      <c r="B24" s="1193"/>
      <c r="C24" s="1216"/>
      <c r="D24" s="2531"/>
      <c r="E24" s="2532"/>
      <c r="F24" s="2532"/>
      <c r="G24" s="2532"/>
      <c r="H24" s="2532"/>
      <c r="I24" s="2533"/>
      <c r="J24" s="1216"/>
      <c r="K24" s="1326"/>
      <c r="L24" s="1216"/>
      <c r="M24" s="1326"/>
      <c r="N24" s="1370"/>
    </row>
    <row r="25" spans="1:14" ht="19.5" customHeight="1">
      <c r="A25" s="1215"/>
      <c r="B25" s="3"/>
      <c r="C25" s="1215"/>
      <c r="D25" s="2531"/>
      <c r="E25" s="2532"/>
      <c r="F25" s="2532"/>
      <c r="G25" s="2532"/>
      <c r="H25" s="2532"/>
      <c r="I25" s="2533"/>
      <c r="J25" s="1215"/>
      <c r="K25" s="1325"/>
      <c r="L25" s="1215"/>
      <c r="M25" s="1325"/>
      <c r="N25" s="1369"/>
    </row>
    <row r="26" spans="1:14" ht="19.5" customHeight="1">
      <c r="A26" s="1216"/>
      <c r="B26" s="1193"/>
      <c r="C26" s="1216"/>
      <c r="D26" s="2531"/>
      <c r="E26" s="2532"/>
      <c r="F26" s="2532"/>
      <c r="G26" s="2532"/>
      <c r="H26" s="2532"/>
      <c r="I26" s="2533"/>
      <c r="J26" s="1216"/>
      <c r="K26" s="1326"/>
      <c r="L26" s="1216"/>
      <c r="M26" s="1326"/>
      <c r="N26" s="1370"/>
    </row>
    <row r="27" spans="1:14" ht="19.5" customHeight="1">
      <c r="A27" s="1215"/>
      <c r="B27" s="3"/>
      <c r="C27" s="1215"/>
      <c r="D27" s="2531"/>
      <c r="E27" s="2532"/>
      <c r="F27" s="2532"/>
      <c r="G27" s="2532"/>
      <c r="H27" s="2532"/>
      <c r="I27" s="2533"/>
      <c r="J27" s="1215"/>
      <c r="K27" s="1325"/>
      <c r="L27" s="1215"/>
      <c r="M27" s="1325"/>
      <c r="N27" s="1369"/>
    </row>
    <row r="28" spans="1:14" ht="19.5" customHeight="1">
      <c r="A28" s="1216"/>
      <c r="B28" s="1193"/>
      <c r="C28" s="1216"/>
      <c r="D28" s="2531"/>
      <c r="E28" s="2532"/>
      <c r="F28" s="2532"/>
      <c r="G28" s="2532"/>
      <c r="H28" s="2532"/>
      <c r="I28" s="2533"/>
      <c r="J28" s="1216"/>
      <c r="K28" s="1326"/>
      <c r="L28" s="1216"/>
      <c r="M28" s="1326"/>
      <c r="N28" s="1370"/>
    </row>
    <row r="29" spans="1:14" ht="19.5" customHeight="1">
      <c r="A29" s="1216"/>
      <c r="B29" s="1193"/>
      <c r="C29" s="1216"/>
      <c r="D29" s="2531"/>
      <c r="E29" s="2532"/>
      <c r="F29" s="2532"/>
      <c r="G29" s="2532"/>
      <c r="H29" s="2532"/>
      <c r="I29" s="2533"/>
      <c r="J29" s="1216"/>
      <c r="K29" s="1326"/>
      <c r="L29" s="1216"/>
      <c r="M29" s="1326"/>
      <c r="N29" s="1370"/>
    </row>
    <row r="30" spans="1:14" ht="19.5" customHeight="1" thickBot="1">
      <c r="A30" s="1217"/>
      <c r="B30" s="1195"/>
      <c r="C30" s="1217"/>
      <c r="D30" s="2537"/>
      <c r="E30" s="2538"/>
      <c r="F30" s="2538"/>
      <c r="G30" s="2538"/>
      <c r="H30" s="2538"/>
      <c r="I30" s="2539"/>
      <c r="J30" s="1217"/>
      <c r="K30" s="1327"/>
      <c r="L30" s="1217"/>
      <c r="M30" s="1327"/>
      <c r="N30" s="1371"/>
    </row>
    <row r="31" spans="1:14" ht="13.75" thickBot="1">
      <c r="A31" s="3"/>
      <c r="B31" s="3"/>
      <c r="C31" s="3"/>
      <c r="D31" s="3"/>
      <c r="E31" s="3"/>
      <c r="F31" s="3"/>
      <c r="G31" s="3"/>
      <c r="H31" s="3"/>
      <c r="I31" s="3"/>
      <c r="J31" s="3"/>
      <c r="K31" s="3"/>
      <c r="L31" s="4"/>
      <c r="M31" s="4" t="s">
        <v>760</v>
      </c>
      <c r="N31" s="1372">
        <f>SUM(N15:N30)</f>
        <v>0</v>
      </c>
    </row>
    <row r="32" spans="1:14" ht="14.4" thickTop="1" thickBot="1">
      <c r="A32" s="3"/>
      <c r="B32" s="3"/>
      <c r="C32" s="3"/>
      <c r="D32" s="3"/>
      <c r="E32" s="3"/>
      <c r="F32" s="3"/>
      <c r="G32" s="3"/>
      <c r="H32" s="3"/>
      <c r="I32" s="3"/>
      <c r="J32" s="3"/>
      <c r="K32" s="3"/>
      <c r="L32" s="953"/>
      <c r="M32" s="133" t="s">
        <v>280</v>
      </c>
      <c r="N32" s="1371">
        <f>N31</f>
        <v>0</v>
      </c>
    </row>
    <row r="33" spans="1:14" ht="13.1" hidden="1">
      <c r="A33" s="3"/>
      <c r="B33" s="3"/>
      <c r="C33" s="3"/>
      <c r="D33" s="3"/>
      <c r="E33" s="3"/>
      <c r="F33" s="3"/>
      <c r="G33" s="3"/>
      <c r="H33" s="3"/>
      <c r="I33" s="3"/>
      <c r="J33" s="3"/>
      <c r="K33" s="3"/>
      <c r="L33" s="4"/>
      <c r="M33" s="4"/>
      <c r="N33" s="1368"/>
    </row>
    <row r="34" spans="1:14" ht="13.5" thickBot="1">
      <c r="A34" s="3"/>
      <c r="B34" s="3"/>
      <c r="C34" s="3"/>
      <c r="D34" s="3"/>
      <c r="E34" s="3"/>
      <c r="F34" s="3"/>
      <c r="G34" s="3"/>
      <c r="H34" s="3"/>
      <c r="I34" s="3"/>
      <c r="J34" s="3"/>
      <c r="K34" s="3"/>
      <c r="L34" s="3"/>
      <c r="M34" s="3"/>
      <c r="N34" s="1368"/>
    </row>
    <row r="35" spans="1:14" ht="13.75" thickBot="1">
      <c r="A35" s="2364" t="s">
        <v>757</v>
      </c>
      <c r="B35" s="2522"/>
      <c r="C35" s="180" t="s">
        <v>761</v>
      </c>
      <c r="D35" s="2523" t="s">
        <v>306</v>
      </c>
      <c r="E35" s="2524"/>
      <c r="F35" s="2524"/>
      <c r="G35" s="2524"/>
      <c r="H35" s="2524"/>
      <c r="I35" s="2524"/>
      <c r="J35" s="2524"/>
      <c r="K35" s="2524"/>
      <c r="L35" s="2524"/>
      <c r="M35" s="2524"/>
      <c r="N35" s="2525"/>
    </row>
    <row r="36" spans="1:14">
      <c r="A36" s="1163"/>
      <c r="B36" s="1194" t="s">
        <v>762</v>
      </c>
      <c r="C36" s="1218">
        <v>1</v>
      </c>
      <c r="D36" s="1219" t="s">
        <v>763</v>
      </c>
      <c r="E36" s="1191"/>
      <c r="F36" s="1191"/>
      <c r="G36" s="1191"/>
      <c r="H36" s="1191"/>
      <c r="I36" s="1191"/>
      <c r="J36" s="1191"/>
      <c r="K36" s="1191"/>
      <c r="L36" s="1191"/>
      <c r="M36" s="1191"/>
      <c r="N36" s="1192"/>
    </row>
    <row r="37" spans="1:14">
      <c r="A37" s="44"/>
      <c r="B37" s="45" t="s">
        <v>764</v>
      </c>
      <c r="C37" s="1220">
        <v>0.75</v>
      </c>
      <c r="D37" s="44" t="s">
        <v>765</v>
      </c>
      <c r="N37" s="45"/>
    </row>
    <row r="38" spans="1:14">
      <c r="A38" s="44"/>
      <c r="B38" s="45" t="s">
        <v>766</v>
      </c>
      <c r="C38" s="1220">
        <v>0.5</v>
      </c>
      <c r="D38" s="44" t="s">
        <v>791</v>
      </c>
      <c r="N38" s="45"/>
    </row>
    <row r="39" spans="1:14">
      <c r="A39" s="44"/>
      <c r="B39" s="45" t="s">
        <v>792</v>
      </c>
      <c r="C39" s="1220">
        <v>0</v>
      </c>
      <c r="D39" s="44" t="s">
        <v>793</v>
      </c>
      <c r="N39" s="45"/>
    </row>
    <row r="40" spans="1:14" ht="13.5" thickBot="1">
      <c r="A40" s="46"/>
      <c r="B40" s="47" t="s">
        <v>794</v>
      </c>
      <c r="C40" s="1217"/>
      <c r="D40" s="46" t="s">
        <v>795</v>
      </c>
      <c r="E40" s="21"/>
      <c r="F40" s="21"/>
      <c r="G40" s="21"/>
      <c r="H40" s="21"/>
      <c r="I40" s="21"/>
      <c r="J40" s="21"/>
      <c r="K40" s="21"/>
      <c r="L40" s="21"/>
      <c r="M40" s="21"/>
      <c r="N40" s="47"/>
    </row>
    <row r="41" spans="1:14" ht="13.5" thickBot="1"/>
    <row r="42" spans="1:14">
      <c r="A42" s="42"/>
      <c r="B42" s="50"/>
      <c r="C42" s="50"/>
      <c r="D42" s="50"/>
      <c r="E42" s="50"/>
      <c r="F42" s="50"/>
      <c r="G42" s="50"/>
      <c r="H42" s="50"/>
      <c r="I42" s="50"/>
      <c r="J42" s="50"/>
      <c r="K42" s="50"/>
      <c r="L42" s="50"/>
      <c r="M42" s="50"/>
      <c r="N42" s="43"/>
    </row>
    <row r="43" spans="1:14" ht="13.1">
      <c r="A43" s="137"/>
      <c r="B43" s="131" t="s">
        <v>796</v>
      </c>
      <c r="C43" s="1738">
        <f>Summary!C63</f>
        <v>0</v>
      </c>
      <c r="D43" s="1738"/>
      <c r="E43" s="1738"/>
      <c r="F43" s="22"/>
      <c r="G43" s="131" t="s">
        <v>797</v>
      </c>
      <c r="H43" s="1738"/>
      <c r="I43" s="1738"/>
      <c r="J43" s="22"/>
      <c r="K43" s="131" t="s">
        <v>798</v>
      </c>
      <c r="L43" s="183"/>
      <c r="M43" s="183"/>
      <c r="N43" s="1221"/>
    </row>
    <row r="44" spans="1:14" ht="13.75" thickBot="1">
      <c r="A44" s="138"/>
      <c r="B44" s="139"/>
      <c r="C44" s="139"/>
      <c r="D44" s="139"/>
      <c r="E44" s="139"/>
      <c r="F44" s="139"/>
      <c r="G44" s="139"/>
      <c r="H44" s="139"/>
      <c r="I44" s="139"/>
      <c r="J44" s="139"/>
      <c r="K44" s="139"/>
      <c r="L44" s="139"/>
      <c r="M44" s="139"/>
      <c r="N44" s="206"/>
    </row>
    <row r="46" spans="1:14" ht="13.1">
      <c r="A46" s="22" t="s">
        <v>799</v>
      </c>
      <c r="B46" s="22"/>
      <c r="C46" s="22"/>
      <c r="D46" s="22"/>
    </row>
  </sheetData>
  <mergeCells count="30">
    <mergeCell ref="C43:E43"/>
    <mergeCell ref="H43:I43"/>
    <mergeCell ref="C9:E9"/>
    <mergeCell ref="H9:I9"/>
    <mergeCell ref="C11:E11"/>
    <mergeCell ref="H11:I11"/>
    <mergeCell ref="D15:I15"/>
    <mergeCell ref="D16:I16"/>
    <mergeCell ref="D17:I17"/>
    <mergeCell ref="D18:I18"/>
    <mergeCell ref="D30:I30"/>
    <mergeCell ref="D25:I25"/>
    <mergeCell ref="D26:I26"/>
    <mergeCell ref="D27:I27"/>
    <mergeCell ref="D28:I28"/>
    <mergeCell ref="D21:I21"/>
    <mergeCell ref="A35:B35"/>
    <mergeCell ref="D35:N35"/>
    <mergeCell ref="A8:F8"/>
    <mergeCell ref="A1:J1"/>
    <mergeCell ref="A2:J2"/>
    <mergeCell ref="D14:I14"/>
    <mergeCell ref="C7:F7"/>
    <mergeCell ref="H7:J7"/>
    <mergeCell ref="D19:I19"/>
    <mergeCell ref="D20:I20"/>
    <mergeCell ref="D22:I22"/>
    <mergeCell ref="D23:I23"/>
    <mergeCell ref="D24:I24"/>
    <mergeCell ref="D29:I29"/>
  </mergeCells>
  <phoneticPr fontId="118" type="noConversion"/>
  <printOptions horizontalCentered="1" verticalCentered="1"/>
  <pageMargins left="0.5" right="0.5" top="0" bottom="0" header="0" footer="0"/>
  <pageSetup scale="7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BACKTOMENU">
                <anchor moveWithCells="1">
                  <from>
                    <xdr:col>10</xdr:col>
                    <xdr:colOff>353786</xdr:colOff>
                    <xdr:row>0</xdr:row>
                    <xdr:rowOff>0</xdr:rowOff>
                  </from>
                  <to>
                    <xdr:col>10</xdr:col>
                    <xdr:colOff>889907</xdr:colOff>
                    <xdr:row>0</xdr:row>
                    <xdr:rowOff>209550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9F91-0BC9-4158-8280-7E37634AB798}">
  <sheetPr codeName="Sheet8"/>
  <dimension ref="A1:AC416"/>
  <sheetViews>
    <sheetView showGridLines="0" topLeftCell="A193" zoomScale="85" workbookViewId="0">
      <selection activeCell="A194" sqref="A194:R194"/>
    </sheetView>
  </sheetViews>
  <sheetFormatPr defaultColWidth="9.15234375" defaultRowHeight="13.95"/>
  <cols>
    <col min="1" max="16384" width="9.15234375" style="473"/>
  </cols>
  <sheetData>
    <row r="1" spans="1:28" s="773" customFormat="1" ht="14.15">
      <c r="A1" s="938" t="s">
        <v>958</v>
      </c>
    </row>
    <row r="2" spans="1:28" s="773" customFormat="1" ht="18">
      <c r="A2" s="773" t="s">
        <v>959</v>
      </c>
      <c r="D2" s="1698" t="s">
        <v>632</v>
      </c>
      <c r="E2" s="1698"/>
      <c r="F2" s="1698"/>
      <c r="G2" s="1698"/>
      <c r="H2" s="1698"/>
      <c r="I2" s="1698"/>
      <c r="J2" s="1698"/>
      <c r="K2" s="1698"/>
      <c r="L2" s="1698"/>
      <c r="Q2" s="1329" t="s">
        <v>385</v>
      </c>
      <c r="R2" s="1330"/>
      <c r="S2" s="1330"/>
      <c r="T2" s="1331"/>
      <c r="U2" s="1331"/>
      <c r="V2" s="1329" t="s">
        <v>386</v>
      </c>
      <c r="W2" s="1331"/>
      <c r="X2" s="1331"/>
      <c r="Y2" s="1331"/>
      <c r="Z2" s="1331"/>
      <c r="AA2" s="1329" t="s">
        <v>387</v>
      </c>
      <c r="AB2" s="1331"/>
    </row>
    <row r="3" spans="1:28" s="773" customFormat="1" ht="18">
      <c r="A3" s="773" t="s">
        <v>960</v>
      </c>
      <c r="D3" s="1698"/>
      <c r="E3" s="1698"/>
      <c r="F3" s="1698"/>
      <c r="G3" s="1698"/>
      <c r="H3" s="1698"/>
      <c r="I3" s="1698"/>
      <c r="J3" s="1698"/>
      <c r="K3" s="1698"/>
      <c r="L3" s="1698"/>
      <c r="Q3" s="1329"/>
      <c r="R3" s="1330"/>
      <c r="S3" s="1330"/>
      <c r="T3" s="1331"/>
      <c r="U3" s="1331"/>
      <c r="V3" s="1329"/>
      <c r="W3" s="1331"/>
      <c r="X3" s="1331"/>
      <c r="Y3" s="1331"/>
      <c r="Z3" s="1331"/>
      <c r="AA3" s="1329"/>
      <c r="AB3" s="1331"/>
    </row>
    <row r="4" spans="1:28" s="773" customFormat="1" ht="18">
      <c r="A4" s="773" t="s">
        <v>961</v>
      </c>
      <c r="D4" s="1698"/>
      <c r="E4" s="1698"/>
      <c r="F4" s="1698"/>
      <c r="G4" s="1698"/>
      <c r="H4" s="1698"/>
      <c r="I4" s="1698"/>
      <c r="J4" s="1698"/>
      <c r="K4" s="1698"/>
      <c r="L4" s="1698"/>
      <c r="M4" s="22"/>
      <c r="N4" s="22"/>
      <c r="Q4" s="1329"/>
      <c r="R4" s="1330"/>
      <c r="S4" s="1330"/>
      <c r="T4" s="1331"/>
      <c r="U4" s="1331"/>
      <c r="V4" s="1329"/>
      <c r="W4" s="1331"/>
      <c r="X4" s="1331"/>
      <c r="Y4" s="1331"/>
      <c r="Z4" s="1331"/>
      <c r="AA4" s="1329"/>
      <c r="AB4" s="1331"/>
    </row>
    <row r="5" spans="1:28" s="773" customFormat="1" ht="18">
      <c r="A5" s="773" t="s">
        <v>962</v>
      </c>
      <c r="D5" s="1698"/>
      <c r="E5" s="1698"/>
      <c r="F5" s="1698"/>
      <c r="G5" s="1698"/>
      <c r="H5" s="1698"/>
      <c r="I5" s="1698"/>
      <c r="J5" s="1698"/>
      <c r="K5" s="1698"/>
      <c r="L5" s="1698"/>
      <c r="M5" s="22"/>
      <c r="N5" s="22"/>
      <c r="Q5" s="1329"/>
      <c r="R5" s="1330"/>
      <c r="S5" s="1330"/>
      <c r="T5" s="1331"/>
      <c r="U5" s="1331"/>
      <c r="V5" s="1329"/>
      <c r="W5" s="1331"/>
      <c r="X5" s="1331"/>
      <c r="Y5" s="1331"/>
      <c r="Z5" s="1331"/>
      <c r="AA5" s="1329"/>
      <c r="AB5" s="1331"/>
    </row>
    <row r="6" spans="1:28" s="773" customFormat="1" ht="18">
      <c r="A6" s="773" t="s">
        <v>963</v>
      </c>
      <c r="D6" s="1698"/>
      <c r="E6" s="1698"/>
      <c r="F6" s="1698"/>
      <c r="G6" s="1698"/>
      <c r="H6" s="1698"/>
      <c r="I6" s="1698"/>
      <c r="J6" s="1698"/>
      <c r="K6" s="1698"/>
      <c r="L6" s="1698"/>
      <c r="M6" s="22"/>
      <c r="N6" s="22"/>
      <c r="Q6" s="1329" t="s">
        <v>388</v>
      </c>
      <c r="R6" s="1330"/>
      <c r="S6" s="1330"/>
      <c r="T6" s="1331"/>
      <c r="U6" s="1331"/>
      <c r="V6" s="1329"/>
      <c r="W6" s="1331"/>
      <c r="X6" s="1331"/>
      <c r="Y6" s="1331"/>
      <c r="Z6" s="1331"/>
      <c r="AA6" s="1329"/>
      <c r="AB6" s="1331"/>
    </row>
    <row r="7" spans="1:28" ht="18">
      <c r="D7" s="1698"/>
      <c r="E7" s="1698"/>
      <c r="F7" s="1698"/>
      <c r="G7" s="1698"/>
      <c r="H7" s="1698"/>
      <c r="I7" s="1698"/>
      <c r="J7" s="1698"/>
      <c r="K7" s="1698"/>
      <c r="L7" s="1698"/>
      <c r="M7"/>
      <c r="N7"/>
      <c r="Q7" s="1329"/>
      <c r="R7" s="1330"/>
      <c r="S7" s="1330"/>
      <c r="T7" s="1331"/>
      <c r="U7" s="1331"/>
      <c r="V7" s="1329"/>
      <c r="W7" s="1331"/>
      <c r="X7" s="1331"/>
      <c r="Y7" s="1331"/>
      <c r="Z7" s="1331"/>
      <c r="AA7" s="1329"/>
      <c r="AB7" s="1331"/>
    </row>
    <row r="8" spans="1:28" ht="18">
      <c r="C8" s="473" t="s">
        <v>115</v>
      </c>
      <c r="D8" s="474" t="s">
        <v>115</v>
      </c>
      <c r="G8"/>
      <c r="H8"/>
      <c r="I8"/>
      <c r="J8"/>
      <c r="K8"/>
      <c r="L8"/>
      <c r="M8"/>
      <c r="N8"/>
      <c r="Q8" s="1329"/>
      <c r="R8" s="1330"/>
      <c r="S8" s="1330"/>
      <c r="T8" s="1331"/>
      <c r="U8" s="1331"/>
      <c r="V8" s="1329" t="s">
        <v>389</v>
      </c>
      <c r="W8" s="1331"/>
      <c r="X8" s="1331"/>
      <c r="Y8" s="1331"/>
      <c r="Z8" s="1331"/>
      <c r="AA8" s="1329"/>
      <c r="AB8" s="1331"/>
    </row>
    <row r="9" spans="1:28" ht="19.100000000000001">
      <c r="C9" s="473" t="s">
        <v>115</v>
      </c>
      <c r="D9" s="475" t="s">
        <v>115</v>
      </c>
      <c r="G9"/>
      <c r="H9"/>
      <c r="I9"/>
      <c r="J9"/>
      <c r="K9"/>
      <c r="Q9" s="1329"/>
      <c r="R9" s="1330"/>
      <c r="S9" s="1330"/>
      <c r="T9" s="1331"/>
      <c r="U9" s="1331"/>
      <c r="V9" s="1329"/>
      <c r="W9" s="1331"/>
      <c r="X9" s="1331"/>
      <c r="Y9" s="1331"/>
      <c r="Z9" s="1331"/>
      <c r="AA9" s="1329"/>
      <c r="AB9" s="1331"/>
    </row>
    <row r="10" spans="1:28" ht="19.100000000000001">
      <c r="C10" s="473" t="s">
        <v>115</v>
      </c>
      <c r="D10" s="476" t="s">
        <v>115</v>
      </c>
      <c r="I10" s="473" t="s">
        <v>968</v>
      </c>
      <c r="Q10" s="1329" t="s">
        <v>390</v>
      </c>
      <c r="R10" s="1330"/>
      <c r="S10" s="1330"/>
      <c r="T10" s="1331"/>
      <c r="U10" s="1331"/>
      <c r="V10" s="1329"/>
      <c r="W10" s="1331"/>
      <c r="X10" s="1331"/>
      <c r="Y10" s="1331"/>
      <c r="Z10" s="1331"/>
      <c r="AA10" s="1329"/>
      <c r="AB10" s="1331"/>
    </row>
    <row r="11" spans="1:28" ht="18">
      <c r="G11" s="477" t="s">
        <v>271</v>
      </c>
      <c r="Q11" s="1329"/>
      <c r="R11" s="1330"/>
      <c r="S11" s="1330"/>
      <c r="T11" s="1331"/>
      <c r="U11" s="1331"/>
      <c r="V11" s="1329" t="s">
        <v>391</v>
      </c>
      <c r="W11" s="1331"/>
      <c r="X11" s="1331"/>
      <c r="Y11" s="1331"/>
      <c r="Z11" s="1331"/>
      <c r="AA11" s="1329"/>
      <c r="AB11" s="1331"/>
    </row>
    <row r="12" spans="1:28" ht="18">
      <c r="M12" s="1700" t="s">
        <v>1440</v>
      </c>
      <c r="N12" s="1701"/>
      <c r="O12" s="1702"/>
      <c r="Q12" s="1329"/>
      <c r="R12" s="1330"/>
      <c r="S12" s="1330"/>
      <c r="T12" s="1331"/>
      <c r="U12" s="1331"/>
      <c r="V12" s="1329"/>
      <c r="W12" s="1331"/>
      <c r="X12" s="1331"/>
      <c r="Y12" s="1331"/>
      <c r="Z12" s="1331"/>
      <c r="AA12" s="1329"/>
      <c r="AB12" s="1331"/>
    </row>
    <row r="13" spans="1:28" ht="18">
      <c r="M13" s="709"/>
      <c r="N13" s="694"/>
      <c r="O13" s="710"/>
      <c r="Q13" s="1329"/>
      <c r="R13" s="1330"/>
      <c r="S13" s="1330"/>
      <c r="T13" s="1331"/>
      <c r="U13" s="1331"/>
      <c r="V13" s="1329"/>
      <c r="W13" s="1331"/>
      <c r="X13" s="1331"/>
      <c r="Y13" s="1331"/>
      <c r="Z13" s="1331"/>
      <c r="AA13" s="1329"/>
      <c r="AB13" s="1331"/>
    </row>
    <row r="14" spans="1:28" ht="18">
      <c r="M14" s="709"/>
      <c r="O14" s="711"/>
      <c r="Q14" s="1329" t="s">
        <v>392</v>
      </c>
      <c r="R14" s="1330"/>
      <c r="S14" s="1330"/>
      <c r="T14" s="1331"/>
      <c r="U14" s="1331"/>
      <c r="V14" s="1329"/>
      <c r="W14" s="1331"/>
      <c r="X14" s="1331"/>
      <c r="Y14" s="1331"/>
      <c r="Z14" s="1331"/>
      <c r="AA14" s="1329"/>
      <c r="AB14" s="1331"/>
    </row>
    <row r="15" spans="1:28" ht="18">
      <c r="A15" s="478"/>
      <c r="B15" s="478"/>
      <c r="C15" s="478"/>
      <c r="I15" s="479" t="s">
        <v>966</v>
      </c>
      <c r="M15" s="709"/>
      <c r="O15" s="711"/>
      <c r="Q15" s="1329"/>
      <c r="R15" s="1330"/>
      <c r="S15" s="1330"/>
      <c r="T15" s="1331"/>
      <c r="U15" s="1331"/>
      <c r="V15" s="1329" t="s">
        <v>393</v>
      </c>
      <c r="W15" s="1331"/>
      <c r="X15" s="1331"/>
      <c r="Y15" s="1331"/>
      <c r="Z15" s="1331"/>
      <c r="AA15" s="1329"/>
      <c r="AB15" s="1331"/>
    </row>
    <row r="16" spans="1:28" ht="18">
      <c r="A16" s="478"/>
      <c r="B16" s="480"/>
      <c r="C16" s="478"/>
      <c r="M16" s="709"/>
      <c r="N16" s="694"/>
      <c r="O16" s="710"/>
      <c r="Q16" s="1329"/>
      <c r="R16" s="1330"/>
      <c r="S16" s="1330"/>
      <c r="T16" s="1331"/>
      <c r="U16" s="1331"/>
      <c r="V16" s="1329"/>
      <c r="W16" s="1331"/>
      <c r="X16" s="1331"/>
      <c r="Y16" s="1331"/>
      <c r="Z16" s="1331"/>
      <c r="AA16" s="1329"/>
      <c r="AB16" s="1331"/>
    </row>
    <row r="17" spans="1:28" ht="18">
      <c r="A17" s="478"/>
      <c r="B17" s="481"/>
      <c r="C17" s="478"/>
      <c r="M17" s="709"/>
      <c r="O17" s="711"/>
      <c r="Q17" s="1329"/>
      <c r="R17" s="1330"/>
      <c r="S17" s="1330"/>
      <c r="T17" s="1331"/>
      <c r="U17" s="1331"/>
      <c r="V17" s="1329"/>
      <c r="W17" s="1331"/>
      <c r="X17" s="1331"/>
      <c r="Y17" s="1331"/>
      <c r="Z17" s="1331"/>
      <c r="AA17" s="1329"/>
      <c r="AB17" s="1331"/>
    </row>
    <row r="18" spans="1:28" ht="18">
      <c r="A18" s="478"/>
      <c r="B18" s="482"/>
      <c r="C18" s="478"/>
      <c r="M18" s="709"/>
      <c r="O18" s="711"/>
      <c r="Q18" s="1329" t="s">
        <v>972</v>
      </c>
      <c r="R18" s="1330"/>
      <c r="S18" s="1330"/>
      <c r="T18" s="1331"/>
      <c r="U18" s="1331"/>
      <c r="V18" s="1329"/>
      <c r="W18" s="1331"/>
      <c r="X18" s="1331"/>
      <c r="Y18" s="1331"/>
      <c r="Z18" s="1331"/>
      <c r="AA18" s="1329"/>
      <c r="AB18" s="1331"/>
    </row>
    <row r="19" spans="1:28" ht="18">
      <c r="A19" s="478"/>
      <c r="B19" s="482"/>
      <c r="C19" s="478"/>
      <c r="M19" s="709"/>
      <c r="N19" s="694"/>
      <c r="O19" s="710"/>
      <c r="Q19" s="1329"/>
      <c r="R19" s="1330"/>
      <c r="S19" s="1330"/>
      <c r="T19" s="1331"/>
      <c r="U19" s="1331"/>
      <c r="V19" s="1329"/>
      <c r="W19" s="1331"/>
      <c r="X19" s="1331"/>
      <c r="Y19" s="1331"/>
      <c r="Z19" s="1331"/>
      <c r="AA19" s="1329"/>
      <c r="AB19" s="1331"/>
    </row>
    <row r="20" spans="1:28" ht="18">
      <c r="A20" s="478"/>
      <c r="B20" s="482"/>
      <c r="C20" s="478"/>
      <c r="G20" s="483" t="s">
        <v>969</v>
      </c>
      <c r="H20" s="484"/>
      <c r="M20" s="709"/>
      <c r="O20" s="711"/>
      <c r="Q20" s="1329"/>
      <c r="R20" s="1330"/>
      <c r="S20" s="1330"/>
      <c r="T20" s="1331"/>
      <c r="U20" s="1331"/>
      <c r="V20" s="1329" t="s">
        <v>394</v>
      </c>
      <c r="W20" s="1331"/>
      <c r="X20" s="1331"/>
      <c r="Y20" s="1331"/>
      <c r="Z20" s="1331"/>
      <c r="AA20" s="1329"/>
      <c r="AB20" s="1331"/>
    </row>
    <row r="21" spans="1:28" ht="18">
      <c r="A21" s="478"/>
      <c r="B21" s="482"/>
      <c r="C21" s="478"/>
      <c r="G21" s="484"/>
      <c r="H21" s="484"/>
      <c r="M21" s="709"/>
      <c r="O21" s="711"/>
      <c r="Q21" s="1329"/>
      <c r="R21" s="1330"/>
      <c r="S21" s="1330"/>
      <c r="T21" s="1331"/>
      <c r="U21" s="1331"/>
      <c r="V21" s="1329"/>
      <c r="W21" s="1331"/>
      <c r="X21" s="1331"/>
      <c r="Y21" s="1331"/>
      <c r="Z21" s="1331"/>
      <c r="AA21" s="1329"/>
      <c r="AB21" s="1331"/>
    </row>
    <row r="22" spans="1:28" ht="18">
      <c r="A22" s="478"/>
      <c r="B22" s="482"/>
      <c r="C22" s="478"/>
      <c r="G22" s="484"/>
      <c r="H22" s="484"/>
      <c r="M22" s="709"/>
      <c r="N22" s="694"/>
      <c r="O22" s="710"/>
      <c r="Q22" s="1329" t="s">
        <v>395</v>
      </c>
      <c r="R22" s="1330"/>
      <c r="S22" s="1330"/>
      <c r="T22" s="1331"/>
      <c r="U22" s="1331"/>
      <c r="V22" s="1329"/>
      <c r="W22" s="1331"/>
      <c r="X22" s="1331"/>
      <c r="Y22" s="1331"/>
      <c r="Z22" s="1331"/>
      <c r="AA22" s="1329"/>
      <c r="AB22" s="1331"/>
    </row>
    <row r="23" spans="1:28" ht="18">
      <c r="A23" s="478"/>
      <c r="B23" s="482"/>
      <c r="C23" s="478"/>
      <c r="G23" s="484"/>
      <c r="H23" s="484"/>
      <c r="M23" s="709"/>
      <c r="O23" s="711"/>
      <c r="Q23" s="1329"/>
      <c r="R23" s="1330"/>
      <c r="S23" s="1330"/>
      <c r="T23" s="1331"/>
      <c r="U23" s="1331"/>
      <c r="V23" s="1329"/>
      <c r="W23" s="1331"/>
      <c r="X23" s="1331"/>
      <c r="Y23" s="1331"/>
      <c r="Z23" s="1331"/>
      <c r="AA23" s="1329"/>
      <c r="AB23" s="1331"/>
    </row>
    <row r="24" spans="1:28" ht="18">
      <c r="A24" s="478"/>
      <c r="B24" s="482"/>
      <c r="C24" s="478"/>
      <c r="G24" s="1699" t="s">
        <v>973</v>
      </c>
      <c r="H24" s="1699"/>
      <c r="M24" s="709"/>
      <c r="O24" s="711"/>
      <c r="Q24" s="1329"/>
      <c r="R24" s="1330"/>
      <c r="S24" s="1330"/>
      <c r="T24" s="1331"/>
      <c r="U24" s="1331"/>
      <c r="V24" s="1329"/>
      <c r="W24" s="1331"/>
      <c r="X24" s="1331"/>
      <c r="Y24" s="1331"/>
      <c r="Z24" s="1331"/>
      <c r="AA24" s="1329"/>
      <c r="AB24" s="1331"/>
    </row>
    <row r="25" spans="1:28" ht="18">
      <c r="A25" s="478" t="s">
        <v>115</v>
      </c>
      <c r="B25" s="482" t="s">
        <v>115</v>
      </c>
      <c r="M25" s="709"/>
      <c r="N25" s="694"/>
      <c r="O25" s="710"/>
      <c r="Q25" s="1329"/>
      <c r="R25" s="1330"/>
      <c r="S25" s="1330"/>
      <c r="T25" s="1331"/>
      <c r="U25" s="1331"/>
      <c r="V25" s="1329"/>
      <c r="W25" s="1331"/>
      <c r="X25" s="1331"/>
      <c r="Y25" s="1331"/>
      <c r="Z25" s="1331"/>
      <c r="AA25" s="1329"/>
      <c r="AB25" s="1331"/>
    </row>
    <row r="26" spans="1:28" ht="18">
      <c r="A26" s="478"/>
      <c r="B26" s="482"/>
      <c r="G26" s="485"/>
      <c r="I26" s="485"/>
      <c r="K26" s="485"/>
      <c r="M26" s="709"/>
      <c r="O26" s="711"/>
      <c r="Q26" s="1329" t="s">
        <v>396</v>
      </c>
      <c r="R26" s="1330"/>
      <c r="S26" s="1330"/>
      <c r="T26" s="1331"/>
      <c r="U26" s="1331"/>
      <c r="V26" s="1329"/>
      <c r="W26" s="1331"/>
      <c r="X26" s="1331"/>
      <c r="Y26" s="1331"/>
      <c r="Z26" s="1331"/>
      <c r="AA26" s="1329"/>
      <c r="AB26" s="1331"/>
    </row>
    <row r="27" spans="1:28" ht="18">
      <c r="A27" s="478"/>
      <c r="B27" s="482"/>
      <c r="M27" s="712"/>
      <c r="N27" s="713"/>
      <c r="O27" s="714"/>
      <c r="Q27" s="1329"/>
      <c r="R27" s="1330"/>
      <c r="S27" s="1330"/>
      <c r="T27" s="1331"/>
      <c r="U27" s="1331"/>
      <c r="V27" s="1329"/>
      <c r="W27" s="1331"/>
      <c r="X27" s="1331"/>
      <c r="Y27" s="1331"/>
      <c r="Z27" s="1331"/>
      <c r="AA27" s="1329"/>
      <c r="AB27" s="1331"/>
    </row>
    <row r="28" spans="1:28" ht="18">
      <c r="A28" s="478"/>
      <c r="B28" s="482"/>
      <c r="Q28" s="1329"/>
      <c r="R28" s="1330"/>
      <c r="S28" s="1330"/>
      <c r="T28" s="1331"/>
      <c r="U28" s="1331"/>
      <c r="V28" s="1329"/>
      <c r="W28" s="1331"/>
      <c r="X28" s="1331"/>
      <c r="Y28" s="1331"/>
      <c r="Z28" s="1331"/>
      <c r="AA28" s="1329"/>
      <c r="AB28" s="1331"/>
    </row>
    <row r="29" spans="1:28" ht="14.15">
      <c r="A29" s="478"/>
      <c r="B29" s="478"/>
    </row>
    <row r="30" spans="1:28" ht="14.15">
      <c r="A30" s="478"/>
      <c r="B30" s="478"/>
      <c r="G30" s="484" t="s">
        <v>970</v>
      </c>
      <c r="H30" s="473" t="s">
        <v>510</v>
      </c>
    </row>
    <row r="31" spans="1:28" ht="14.15">
      <c r="A31" s="478"/>
      <c r="B31" s="478"/>
      <c r="F31" s="473" t="s">
        <v>974</v>
      </c>
    </row>
    <row r="32" spans="1:28" ht="14.15">
      <c r="A32" s="478"/>
      <c r="B32" s="478"/>
    </row>
    <row r="33" spans="1:9" ht="14.8" thickBot="1">
      <c r="A33" s="478"/>
      <c r="B33" s="478"/>
    </row>
    <row r="34" spans="1:9" ht="15.45">
      <c r="A34" s="478"/>
      <c r="B34" s="478"/>
      <c r="I34" s="486" t="s">
        <v>975</v>
      </c>
    </row>
    <row r="35" spans="1:9" ht="14.15">
      <c r="A35" s="478"/>
      <c r="B35" s="478"/>
    </row>
    <row r="36" spans="1:9" ht="14.15">
      <c r="A36" s="478"/>
      <c r="B36" s="478"/>
    </row>
    <row r="37" spans="1:9" ht="14.15">
      <c r="A37" s="478"/>
      <c r="B37" s="478"/>
    </row>
    <row r="38" spans="1:9" ht="14.15">
      <c r="A38" s="478"/>
      <c r="B38" s="478"/>
    </row>
    <row r="39" spans="1:9" ht="14.15">
      <c r="A39" s="478"/>
      <c r="B39" s="478"/>
    </row>
    <row r="40" spans="1:9" ht="14.15">
      <c r="A40" s="478"/>
      <c r="B40" s="478"/>
      <c r="C40" s="473" t="s">
        <v>971</v>
      </c>
    </row>
    <row r="41" spans="1:9" ht="14.15">
      <c r="A41" s="478"/>
      <c r="B41" s="478"/>
    </row>
    <row r="42" spans="1:9" ht="14.15">
      <c r="A42" s="478"/>
      <c r="B42" s="478"/>
    </row>
    <row r="43" spans="1:9" ht="14.15">
      <c r="A43" s="478"/>
      <c r="B43" s="478"/>
    </row>
    <row r="44" spans="1:9" ht="14.15">
      <c r="A44" s="478"/>
      <c r="B44" s="478"/>
    </row>
    <row r="45" spans="1:9" ht="14.15">
      <c r="A45" s="478"/>
      <c r="B45" s="478"/>
    </row>
    <row r="46" spans="1:9" ht="14.15">
      <c r="A46" s="478"/>
      <c r="B46" s="478"/>
    </row>
    <row r="47" spans="1:9" ht="14.15">
      <c r="A47" s="478"/>
      <c r="B47" s="478"/>
    </row>
    <row r="48" spans="1:9" ht="14.15">
      <c r="A48" s="478"/>
      <c r="B48" s="478"/>
      <c r="C48" s="473" t="s">
        <v>972</v>
      </c>
    </row>
    <row r="49" spans="1:16" ht="14.15">
      <c r="A49" s="478"/>
      <c r="B49" s="478"/>
    </row>
    <row r="50" spans="1:16" ht="14.15">
      <c r="A50" s="478"/>
      <c r="B50" s="478"/>
    </row>
    <row r="51" spans="1:16" ht="14.15">
      <c r="A51" s="478"/>
      <c r="B51" s="478"/>
    </row>
    <row r="52" spans="1:16" ht="14.15">
      <c r="A52" s="478"/>
      <c r="B52" s="478"/>
    </row>
    <row r="53" spans="1:16" ht="14.15">
      <c r="A53" s="478"/>
      <c r="B53" s="478"/>
    </row>
    <row r="55" spans="1:16">
      <c r="A55" s="713"/>
      <c r="B55" s="713"/>
      <c r="C55" s="713"/>
      <c r="D55" s="713"/>
      <c r="E55" s="713"/>
      <c r="F55" s="713"/>
      <c r="G55" s="713"/>
      <c r="H55" s="713"/>
      <c r="I55" s="713"/>
      <c r="J55" s="713"/>
      <c r="K55" s="713"/>
      <c r="L55" s="713"/>
      <c r="M55" s="713"/>
      <c r="N55" s="713"/>
      <c r="O55" s="713"/>
      <c r="P55" s="713"/>
    </row>
    <row r="56" spans="1:16" ht="14.15">
      <c r="A56" s="1703" t="s">
        <v>1463</v>
      </c>
      <c r="B56" s="1703"/>
      <c r="C56" s="1703"/>
      <c r="D56" s="1703"/>
      <c r="E56" s="1703"/>
      <c r="F56" s="1703"/>
      <c r="G56" s="1703"/>
      <c r="H56" s="1703"/>
      <c r="I56" s="1703"/>
      <c r="J56" s="1703"/>
      <c r="K56" s="1703"/>
      <c r="L56" s="1703"/>
      <c r="M56" s="1703"/>
      <c r="N56" s="1703"/>
      <c r="O56" s="1703"/>
      <c r="P56" s="1703"/>
    </row>
    <row r="57" spans="1:16">
      <c r="A57" s="769"/>
      <c r="B57" s="770"/>
      <c r="C57" s="769"/>
      <c r="D57" s="770"/>
      <c r="E57" s="769"/>
      <c r="F57" s="771"/>
      <c r="G57" s="769"/>
      <c r="H57" s="771"/>
      <c r="I57" s="769"/>
      <c r="J57" s="770"/>
      <c r="K57" s="769"/>
      <c r="L57" s="770"/>
    </row>
    <row r="58" spans="1:16">
      <c r="A58" s="709"/>
      <c r="B58" s="711"/>
      <c r="C58" s="709"/>
      <c r="D58" s="711"/>
      <c r="E58" s="709"/>
      <c r="G58" s="709"/>
      <c r="I58" s="709"/>
      <c r="J58" s="711"/>
      <c r="K58" s="709"/>
      <c r="L58" s="711"/>
    </row>
    <row r="59" spans="1:16">
      <c r="A59" s="709"/>
      <c r="B59" s="711"/>
      <c r="C59" s="709"/>
      <c r="D59" s="711"/>
      <c r="E59" s="709"/>
      <c r="G59" s="709"/>
      <c r="I59" s="709"/>
      <c r="J59" s="711"/>
      <c r="K59" s="709"/>
      <c r="L59" s="711"/>
    </row>
    <row r="60" spans="1:16">
      <c r="A60" s="709"/>
      <c r="B60" s="711"/>
      <c r="C60" s="709"/>
      <c r="D60" s="711"/>
      <c r="E60" s="709"/>
      <c r="G60" s="709"/>
      <c r="I60" s="709"/>
      <c r="J60" s="711"/>
      <c r="K60" s="709"/>
      <c r="L60" s="711"/>
    </row>
    <row r="61" spans="1:16">
      <c r="A61" s="709"/>
      <c r="B61" s="711"/>
      <c r="C61" s="709"/>
      <c r="D61" s="711"/>
      <c r="E61" s="709"/>
      <c r="G61" s="709"/>
      <c r="I61" s="709"/>
      <c r="J61" s="711"/>
      <c r="K61" s="709"/>
      <c r="L61" s="711"/>
    </row>
    <row r="62" spans="1:16">
      <c r="A62" s="709"/>
      <c r="B62" s="711"/>
      <c r="C62" s="709"/>
      <c r="D62" s="711"/>
      <c r="E62" s="709"/>
      <c r="G62" s="709"/>
      <c r="I62" s="709"/>
      <c r="J62" s="711"/>
      <c r="K62" s="709"/>
      <c r="L62" s="711"/>
    </row>
    <row r="63" spans="1:16">
      <c r="A63" s="709"/>
      <c r="B63" s="711"/>
      <c r="C63" s="709"/>
      <c r="D63" s="711"/>
      <c r="E63" s="709"/>
      <c r="G63" s="709"/>
      <c r="I63" s="709"/>
      <c r="J63" s="711"/>
      <c r="K63" s="709"/>
      <c r="L63" s="711"/>
    </row>
    <row r="64" spans="1:16">
      <c r="A64" s="709"/>
      <c r="B64" s="711"/>
      <c r="C64" s="709"/>
      <c r="D64" s="711"/>
      <c r="E64" s="709"/>
      <c r="G64" s="709"/>
      <c r="I64" s="709"/>
      <c r="J64" s="711"/>
      <c r="K64" s="709"/>
      <c r="L64" s="711"/>
    </row>
    <row r="65" spans="1:12">
      <c r="A65" s="709"/>
      <c r="B65" s="711"/>
      <c r="C65" s="709"/>
      <c r="D65" s="711"/>
      <c r="E65" s="709"/>
      <c r="G65" s="709"/>
      <c r="I65" s="709"/>
      <c r="J65" s="711"/>
      <c r="K65" s="709"/>
      <c r="L65" s="711"/>
    </row>
    <row r="66" spans="1:12">
      <c r="A66" s="712"/>
      <c r="B66" s="714"/>
      <c r="C66" s="712"/>
      <c r="D66" s="714"/>
      <c r="E66" s="712"/>
      <c r="F66" s="713"/>
      <c r="G66" s="709"/>
      <c r="I66" s="709"/>
      <c r="J66" s="711"/>
      <c r="K66" s="709"/>
      <c r="L66" s="711"/>
    </row>
    <row r="67" spans="1:12">
      <c r="A67" s="769"/>
      <c r="B67" s="770"/>
      <c r="C67" s="769"/>
      <c r="D67" s="771"/>
      <c r="E67" s="769"/>
      <c r="F67" s="770"/>
      <c r="I67" s="709"/>
      <c r="J67" s="711"/>
      <c r="K67" s="709"/>
      <c r="L67" s="711"/>
    </row>
    <row r="68" spans="1:12">
      <c r="A68" s="709"/>
      <c r="B68" s="711"/>
      <c r="C68" s="709"/>
      <c r="E68" s="709"/>
      <c r="F68" s="711"/>
      <c r="I68" s="709"/>
      <c r="J68" s="711"/>
      <c r="K68" s="709"/>
      <c r="L68" s="711"/>
    </row>
    <row r="69" spans="1:12">
      <c r="A69" s="709"/>
      <c r="B69" s="711"/>
      <c r="C69" s="709"/>
      <c r="E69" s="709"/>
      <c r="F69" s="711"/>
      <c r="I69" s="709"/>
      <c r="J69" s="711"/>
      <c r="K69" s="709"/>
      <c r="L69" s="711"/>
    </row>
    <row r="70" spans="1:12">
      <c r="A70" s="709"/>
      <c r="B70" s="711"/>
      <c r="C70" s="709"/>
      <c r="E70" s="709"/>
      <c r="F70" s="711"/>
      <c r="I70" s="709"/>
      <c r="J70" s="711"/>
      <c r="K70" s="712"/>
      <c r="L70" s="714"/>
    </row>
    <row r="71" spans="1:12">
      <c r="A71" s="709"/>
      <c r="B71" s="711"/>
      <c r="C71" s="709"/>
      <c r="E71" s="709"/>
      <c r="F71" s="711"/>
      <c r="I71" s="709"/>
      <c r="K71" s="769"/>
      <c r="L71" s="770"/>
    </row>
    <row r="72" spans="1:12">
      <c r="A72" s="709"/>
      <c r="B72" s="711"/>
      <c r="C72" s="709"/>
      <c r="E72" s="709"/>
      <c r="F72" s="711"/>
      <c r="I72" s="709"/>
      <c r="K72" s="709"/>
      <c r="L72" s="711"/>
    </row>
    <row r="73" spans="1:12">
      <c r="A73" s="709"/>
      <c r="B73" s="711"/>
      <c r="C73" s="709"/>
      <c r="E73" s="709"/>
      <c r="F73" s="711"/>
      <c r="I73" s="709"/>
      <c r="K73" s="709"/>
      <c r="L73" s="711"/>
    </row>
    <row r="74" spans="1:12">
      <c r="A74" s="709"/>
      <c r="B74" s="711"/>
      <c r="C74" s="709"/>
      <c r="E74" s="709"/>
      <c r="F74" s="711"/>
      <c r="I74" s="709"/>
      <c r="K74" s="709"/>
      <c r="L74" s="711"/>
    </row>
    <row r="75" spans="1:12">
      <c r="A75" s="709"/>
      <c r="B75" s="711"/>
      <c r="C75" s="709"/>
      <c r="E75" s="709"/>
      <c r="F75" s="711"/>
      <c r="I75" s="709"/>
      <c r="K75" s="709"/>
      <c r="L75" s="711"/>
    </row>
    <row r="76" spans="1:12">
      <c r="A76" s="712"/>
      <c r="B76" s="714"/>
      <c r="C76" s="712"/>
      <c r="D76" s="713"/>
      <c r="E76" s="709"/>
      <c r="F76" s="711"/>
      <c r="G76" s="713"/>
      <c r="H76" s="713"/>
      <c r="I76" s="709"/>
      <c r="K76" s="709"/>
      <c r="L76" s="711"/>
    </row>
    <row r="77" spans="1:12">
      <c r="A77" s="195"/>
      <c r="B77" s="29"/>
      <c r="C77" s="769"/>
      <c r="D77" s="770"/>
      <c r="G77" s="769"/>
      <c r="H77" s="770"/>
      <c r="K77" s="709"/>
      <c r="L77" s="711"/>
    </row>
    <row r="78" spans="1:12">
      <c r="A78" s="31"/>
      <c r="B78"/>
      <c r="C78" s="709"/>
      <c r="D78" s="711"/>
      <c r="G78" s="709"/>
      <c r="H78" s="711"/>
      <c r="K78" s="709"/>
      <c r="L78" s="711"/>
    </row>
    <row r="79" spans="1:12">
      <c r="A79" s="31"/>
      <c r="B79"/>
      <c r="C79" s="709"/>
      <c r="D79" s="711"/>
      <c r="G79" s="709"/>
      <c r="H79" s="711"/>
      <c r="K79" s="709"/>
      <c r="L79" s="711"/>
    </row>
    <row r="80" spans="1:12">
      <c r="A80" s="709"/>
      <c r="C80" s="709"/>
      <c r="D80" s="711"/>
      <c r="E80" s="713"/>
      <c r="F80" s="713"/>
      <c r="G80" s="709"/>
      <c r="H80" s="711"/>
      <c r="K80" s="709"/>
      <c r="L80" s="711"/>
    </row>
    <row r="81" spans="1:12">
      <c r="A81" s="709"/>
      <c r="C81" s="709"/>
      <c r="D81" s="711"/>
      <c r="E81" s="769"/>
      <c r="F81" s="770"/>
      <c r="H81" s="711"/>
      <c r="K81" s="709"/>
      <c r="L81" s="711"/>
    </row>
    <row r="82" spans="1:12">
      <c r="A82" s="709"/>
      <c r="C82" s="709"/>
      <c r="D82" s="711"/>
      <c r="E82" s="709"/>
      <c r="F82" s="711"/>
      <c r="H82" s="711"/>
      <c r="I82" s="713"/>
      <c r="J82" s="713"/>
      <c r="K82" s="709"/>
      <c r="L82" s="711"/>
    </row>
    <row r="83" spans="1:12">
      <c r="A83" s="709"/>
      <c r="C83" s="709"/>
      <c r="D83" s="711"/>
      <c r="E83" s="709"/>
      <c r="F83" s="711"/>
      <c r="H83" s="711"/>
      <c r="K83" s="709"/>
      <c r="L83" s="711"/>
    </row>
    <row r="84" spans="1:12">
      <c r="A84" s="709"/>
      <c r="C84" s="709"/>
      <c r="D84" s="711"/>
      <c r="E84" s="709"/>
      <c r="F84" s="711"/>
      <c r="H84" s="711"/>
      <c r="K84" s="709"/>
      <c r="L84" s="711"/>
    </row>
    <row r="85" spans="1:12">
      <c r="A85" s="709"/>
      <c r="C85" s="709"/>
      <c r="D85" s="711"/>
      <c r="E85" s="709"/>
      <c r="F85" s="711"/>
      <c r="H85" s="711"/>
      <c r="K85" s="709"/>
      <c r="L85" s="711"/>
    </row>
    <row r="86" spans="1:12">
      <c r="A86" s="709"/>
      <c r="C86" s="709"/>
      <c r="D86" s="711"/>
      <c r="E86" s="709"/>
      <c r="F86" s="711"/>
      <c r="H86" s="711"/>
      <c r="K86" s="709"/>
      <c r="L86" s="711"/>
    </row>
    <row r="87" spans="1:12">
      <c r="A87" s="709"/>
      <c r="C87" s="709"/>
      <c r="D87" s="711"/>
      <c r="E87" s="709"/>
      <c r="F87" s="711"/>
      <c r="H87" s="711"/>
      <c r="K87" s="709"/>
      <c r="L87" s="711"/>
    </row>
    <row r="88" spans="1:12">
      <c r="A88" s="712"/>
      <c r="B88" s="713"/>
      <c r="C88" s="709"/>
      <c r="D88" s="711"/>
      <c r="E88" s="709"/>
      <c r="F88" s="711"/>
      <c r="G88" s="713"/>
      <c r="H88" s="714"/>
      <c r="K88" s="709"/>
      <c r="L88" s="711"/>
    </row>
    <row r="89" spans="1:12">
      <c r="C89" s="709"/>
      <c r="D89" s="711"/>
      <c r="E89" s="709"/>
      <c r="F89" s="711"/>
      <c r="K89" s="709"/>
      <c r="L89" s="711"/>
    </row>
    <row r="90" spans="1:12">
      <c r="C90" s="709"/>
      <c r="D90" s="711"/>
      <c r="E90" s="709"/>
      <c r="F90" s="711"/>
      <c r="K90" s="709"/>
      <c r="L90" s="711"/>
    </row>
    <row r="91" spans="1:12">
      <c r="C91" s="709"/>
      <c r="D91" s="711"/>
      <c r="E91" s="712"/>
      <c r="F91" s="714"/>
      <c r="K91" s="709"/>
      <c r="L91" s="711"/>
    </row>
    <row r="92" spans="1:12">
      <c r="C92" s="709"/>
      <c r="D92" s="711"/>
      <c r="K92" s="709"/>
      <c r="L92" s="711"/>
    </row>
    <row r="93" spans="1:12">
      <c r="C93" s="712"/>
      <c r="D93" s="714"/>
      <c r="K93" s="709"/>
      <c r="L93" s="711"/>
    </row>
    <row r="94" spans="1:12">
      <c r="K94" s="709"/>
      <c r="L94" s="711"/>
    </row>
    <row r="95" spans="1:12">
      <c r="K95" s="709"/>
      <c r="L95" s="711"/>
    </row>
    <row r="96" spans="1:12">
      <c r="K96" s="709"/>
      <c r="L96" s="711"/>
    </row>
    <row r="97" spans="1:18">
      <c r="K97" s="709"/>
      <c r="L97" s="711"/>
    </row>
    <row r="98" spans="1:18">
      <c r="K98" s="712"/>
      <c r="L98" s="714"/>
    </row>
    <row r="100" spans="1:18">
      <c r="A100" s="1704" t="s">
        <v>1004</v>
      </c>
      <c r="B100" s="1705"/>
      <c r="C100" s="1705"/>
      <c r="D100" s="1705"/>
      <c r="E100" s="1705"/>
      <c r="F100" s="1705"/>
      <c r="G100" s="1705"/>
      <c r="H100" s="1705"/>
      <c r="I100" s="1705"/>
      <c r="J100" s="1705"/>
      <c r="K100" s="1705"/>
      <c r="L100" s="1705"/>
      <c r="M100" s="1705"/>
      <c r="N100" s="1705"/>
      <c r="O100" s="1705"/>
      <c r="P100" s="1705"/>
      <c r="Q100" s="1705"/>
      <c r="R100" s="1706"/>
    </row>
    <row r="101" spans="1:18">
      <c r="A101" s="1707"/>
      <c r="B101" s="1708"/>
      <c r="C101" s="1708"/>
      <c r="D101" s="1708"/>
      <c r="E101" s="1708"/>
      <c r="F101" s="1708"/>
      <c r="G101" s="1708"/>
      <c r="H101" s="1708"/>
      <c r="I101" s="1708"/>
      <c r="J101" s="1708"/>
      <c r="K101" s="1708"/>
      <c r="L101" s="1708"/>
      <c r="M101" s="1708"/>
      <c r="N101" s="1708"/>
      <c r="O101" s="1708"/>
      <c r="P101" s="1708"/>
      <c r="Q101" s="1708"/>
      <c r="R101" s="1709"/>
    </row>
    <row r="104" spans="1:18">
      <c r="A104" s="769"/>
      <c r="B104" s="771"/>
      <c r="C104" s="770"/>
    </row>
    <row r="105" spans="1:18">
      <c r="A105" s="709"/>
      <c r="C105" s="711"/>
      <c r="D105" s="769"/>
      <c r="E105" s="771"/>
      <c r="F105" s="771"/>
      <c r="G105" s="771"/>
      <c r="H105" s="771"/>
      <c r="I105" s="771"/>
      <c r="J105" s="771"/>
      <c r="K105" s="771"/>
      <c r="L105" s="771"/>
      <c r="M105" s="771"/>
      <c r="N105" s="771"/>
      <c r="O105" s="770"/>
    </row>
    <row r="106" spans="1:18">
      <c r="A106" s="709"/>
      <c r="C106" s="711"/>
      <c r="D106" s="709"/>
      <c r="O106" s="711"/>
    </row>
    <row r="107" spans="1:18">
      <c r="A107" s="709"/>
      <c r="C107" s="711"/>
      <c r="D107" s="709"/>
      <c r="O107" s="711"/>
    </row>
    <row r="108" spans="1:18">
      <c r="A108" s="709"/>
      <c r="C108" s="711"/>
      <c r="D108" s="709"/>
      <c r="O108" s="711"/>
    </row>
    <row r="109" spans="1:18">
      <c r="A109" s="709"/>
      <c r="C109" s="711"/>
      <c r="D109" s="709"/>
      <c r="O109" s="711"/>
    </row>
    <row r="110" spans="1:18">
      <c r="A110" s="709"/>
      <c r="C110" s="711"/>
      <c r="D110" s="709"/>
      <c r="O110" s="711"/>
    </row>
    <row r="111" spans="1:18">
      <c r="A111" s="709"/>
      <c r="C111" s="711"/>
      <c r="D111" s="709"/>
      <c r="O111" s="711"/>
    </row>
    <row r="112" spans="1:18">
      <c r="A112" s="709"/>
      <c r="C112" s="711"/>
      <c r="D112" s="709"/>
      <c r="O112" s="711"/>
    </row>
    <row r="113" spans="1:15">
      <c r="A113" s="709"/>
      <c r="C113" s="711"/>
      <c r="D113" s="712"/>
      <c r="E113" s="713"/>
      <c r="F113" s="713"/>
      <c r="G113" s="713"/>
      <c r="H113" s="713"/>
      <c r="I113" s="713"/>
      <c r="J113" s="713"/>
      <c r="K113" s="713"/>
      <c r="L113" s="713"/>
      <c r="M113" s="713"/>
      <c r="N113" s="713"/>
      <c r="O113" s="714"/>
    </row>
    <row r="114" spans="1:15">
      <c r="A114" s="709"/>
      <c r="C114" s="711"/>
      <c r="F114" s="769"/>
      <c r="G114" s="771"/>
      <c r="H114" s="771"/>
      <c r="I114" s="771"/>
      <c r="J114" s="770"/>
    </row>
    <row r="115" spans="1:15">
      <c r="A115" s="709"/>
      <c r="C115" s="711"/>
      <c r="F115" s="709"/>
      <c r="J115" s="711"/>
    </row>
    <row r="116" spans="1:15">
      <c r="A116" s="709"/>
      <c r="C116" s="711"/>
      <c r="F116" s="709"/>
      <c r="J116" s="711"/>
    </row>
    <row r="117" spans="1:15">
      <c r="A117" s="709"/>
      <c r="C117" s="711"/>
      <c r="F117" s="709"/>
      <c r="J117" s="711"/>
    </row>
    <row r="118" spans="1:15">
      <c r="A118" s="709"/>
      <c r="C118" s="711"/>
      <c r="F118" s="709"/>
      <c r="J118" s="711"/>
    </row>
    <row r="119" spans="1:15">
      <c r="A119" s="709"/>
      <c r="C119" s="711"/>
      <c r="F119" s="709"/>
      <c r="J119" s="711"/>
    </row>
    <row r="120" spans="1:15">
      <c r="A120" s="709"/>
      <c r="C120" s="711"/>
      <c r="F120" s="709"/>
      <c r="J120" s="711"/>
    </row>
    <row r="121" spans="1:15">
      <c r="A121" s="709"/>
      <c r="C121" s="711"/>
      <c r="F121" s="709"/>
      <c r="J121" s="711"/>
    </row>
    <row r="122" spans="1:15">
      <c r="A122" s="709"/>
      <c r="C122" s="711"/>
      <c r="F122" s="709"/>
      <c r="J122" s="711"/>
    </row>
    <row r="123" spans="1:15">
      <c r="A123" s="709"/>
      <c r="C123" s="711"/>
      <c r="F123" s="709"/>
      <c r="J123" s="711"/>
      <c r="K123" s="769"/>
      <c r="L123" s="771"/>
      <c r="M123" s="770"/>
    </row>
    <row r="124" spans="1:15">
      <c r="A124" s="709"/>
      <c r="C124" s="711"/>
      <c r="F124" s="709"/>
      <c r="J124" s="711"/>
      <c r="K124" s="709"/>
      <c r="M124" s="711"/>
    </row>
    <row r="125" spans="1:15">
      <c r="A125" s="709"/>
      <c r="C125" s="711"/>
      <c r="F125" s="709"/>
      <c r="J125" s="711"/>
      <c r="K125" s="709"/>
      <c r="M125" s="711"/>
    </row>
    <row r="126" spans="1:15">
      <c r="A126" s="709"/>
      <c r="C126" s="711"/>
      <c r="F126" s="709"/>
      <c r="J126" s="711"/>
      <c r="K126" s="709"/>
      <c r="M126" s="711"/>
    </row>
    <row r="127" spans="1:15">
      <c r="A127" s="709"/>
      <c r="C127" s="711"/>
      <c r="F127" s="709"/>
      <c r="J127" s="711"/>
      <c r="K127" s="709"/>
      <c r="M127" s="711"/>
    </row>
    <row r="128" spans="1:15">
      <c r="A128" s="709"/>
      <c r="C128" s="711"/>
      <c r="F128" s="709"/>
      <c r="J128" s="711"/>
      <c r="K128" s="712"/>
      <c r="L128" s="713"/>
      <c r="M128" s="714"/>
    </row>
    <row r="129" spans="1:13">
      <c r="A129" s="709"/>
      <c r="C129" s="711"/>
      <c r="F129" s="709"/>
      <c r="J129" s="711"/>
      <c r="K129" s="769"/>
      <c r="L129" s="771"/>
      <c r="M129" s="770"/>
    </row>
    <row r="130" spans="1:13">
      <c r="A130" s="709"/>
      <c r="C130" s="711"/>
      <c r="F130" s="709"/>
      <c r="J130" s="711"/>
      <c r="K130" s="709"/>
      <c r="M130" s="711"/>
    </row>
    <row r="131" spans="1:13">
      <c r="A131" s="709"/>
      <c r="C131" s="711"/>
      <c r="F131" s="709"/>
      <c r="J131" s="711"/>
      <c r="K131" s="709"/>
      <c r="M131" s="711"/>
    </row>
    <row r="132" spans="1:13">
      <c r="A132" s="709"/>
      <c r="C132" s="711"/>
      <c r="F132" s="709"/>
      <c r="J132" s="711"/>
      <c r="K132" s="712"/>
      <c r="L132" s="713"/>
      <c r="M132" s="714"/>
    </row>
    <row r="133" spans="1:13">
      <c r="A133" s="712"/>
      <c r="B133" s="713"/>
      <c r="C133" s="714"/>
      <c r="F133" s="709"/>
      <c r="J133" s="711"/>
      <c r="K133" s="769"/>
      <c r="L133" s="771"/>
      <c r="M133" s="770"/>
    </row>
    <row r="134" spans="1:13">
      <c r="F134" s="709"/>
      <c r="J134" s="711"/>
      <c r="K134" s="709"/>
      <c r="M134" s="711"/>
    </row>
    <row r="135" spans="1:13">
      <c r="A135" s="769"/>
      <c r="B135" s="771"/>
      <c r="C135" s="771"/>
      <c r="D135" s="770"/>
      <c r="F135" s="709"/>
      <c r="J135" s="711"/>
      <c r="K135" s="709"/>
      <c r="M135" s="711"/>
    </row>
    <row r="136" spans="1:13">
      <c r="A136" s="709"/>
      <c r="D136" s="711"/>
      <c r="F136" s="709"/>
      <c r="J136" s="711"/>
      <c r="K136" s="709"/>
      <c r="M136" s="711"/>
    </row>
    <row r="137" spans="1:13">
      <c r="A137" s="709"/>
      <c r="D137" s="711"/>
      <c r="F137" s="709"/>
      <c r="J137" s="711"/>
      <c r="K137" s="712"/>
      <c r="L137" s="713"/>
      <c r="M137" s="714"/>
    </row>
    <row r="138" spans="1:13">
      <c r="A138" s="709"/>
      <c r="D138" s="711"/>
      <c r="F138" s="709"/>
      <c r="K138" s="769"/>
      <c r="L138" s="771"/>
      <c r="M138" s="770"/>
    </row>
    <row r="139" spans="1:13">
      <c r="A139" s="712"/>
      <c r="B139" s="713"/>
      <c r="C139" s="713"/>
      <c r="D139" s="714"/>
      <c r="F139" s="709"/>
      <c r="K139" s="709"/>
      <c r="M139" s="711"/>
    </row>
    <row r="140" spans="1:13">
      <c r="A140" s="769"/>
      <c r="B140" s="771"/>
      <c r="C140" s="771"/>
      <c r="D140" s="770"/>
      <c r="F140" s="709"/>
      <c r="K140" s="709"/>
      <c r="M140" s="711"/>
    </row>
    <row r="141" spans="1:13">
      <c r="A141" s="709"/>
      <c r="D141" s="711"/>
      <c r="F141" s="712"/>
      <c r="G141" s="713"/>
      <c r="H141" s="713"/>
      <c r="I141" s="713"/>
      <c r="J141" s="713"/>
      <c r="K141" s="709"/>
      <c r="M141" s="711"/>
    </row>
    <row r="142" spans="1:13">
      <c r="A142" s="709"/>
      <c r="D142" s="711"/>
      <c r="F142" s="769"/>
      <c r="G142" s="771"/>
      <c r="H142" s="771"/>
      <c r="I142" s="771"/>
      <c r="J142" s="770"/>
      <c r="M142" s="711"/>
    </row>
    <row r="143" spans="1:13">
      <c r="A143" s="31"/>
      <c r="B143"/>
      <c r="C143"/>
      <c r="D143" s="32"/>
      <c r="E143"/>
      <c r="F143" s="31"/>
      <c r="G143"/>
      <c r="H143"/>
      <c r="I143"/>
      <c r="J143" s="32"/>
      <c r="K143" s="19"/>
      <c r="L143" s="19"/>
      <c r="M143" s="714"/>
    </row>
    <row r="144" spans="1:13">
      <c r="A144" s="33"/>
      <c r="B144" s="19"/>
      <c r="C144" s="19"/>
      <c r="D144" s="34"/>
      <c r="E144"/>
      <c r="F144" s="31"/>
      <c r="G144"/>
      <c r="H144"/>
      <c r="I144"/>
      <c r="J144"/>
      <c r="K144" s="195"/>
      <c r="L144" s="29"/>
      <c r="M144" s="770"/>
    </row>
    <row r="145" spans="1:14">
      <c r="A145"/>
      <c r="B145"/>
      <c r="C145"/>
      <c r="D145"/>
      <c r="E145"/>
      <c r="F145" s="31"/>
      <c r="G145" s="19"/>
      <c r="H145" s="19"/>
      <c r="I145" s="19"/>
      <c r="J145" s="19"/>
      <c r="K145" s="31"/>
      <c r="L145"/>
      <c r="M145" s="711"/>
    </row>
    <row r="146" spans="1:14">
      <c r="A146" s="195"/>
      <c r="B146" s="30"/>
      <c r="C146" s="195"/>
      <c r="D146" s="29"/>
      <c r="E146" s="29"/>
      <c r="F146" s="30"/>
      <c r="G146" s="195"/>
      <c r="H146" s="29"/>
      <c r="I146" s="29"/>
      <c r="J146" s="30"/>
      <c r="K146"/>
      <c r="L146"/>
      <c r="M146" s="711"/>
    </row>
    <row r="147" spans="1:14">
      <c r="A147" s="31"/>
      <c r="B147" s="32"/>
      <c r="C147" s="31"/>
      <c r="D147"/>
      <c r="E147"/>
      <c r="F147" s="32"/>
      <c r="G147" s="31"/>
      <c r="H147"/>
      <c r="I147"/>
      <c r="J147" s="32"/>
      <c r="K147"/>
      <c r="L147"/>
      <c r="M147" s="711"/>
    </row>
    <row r="148" spans="1:14">
      <c r="A148" s="31"/>
      <c r="B148" s="32"/>
      <c r="C148" s="31"/>
      <c r="D148"/>
      <c r="E148"/>
      <c r="F148" s="32"/>
      <c r="G148" s="31"/>
      <c r="H148"/>
      <c r="I148"/>
      <c r="J148" s="32"/>
      <c r="K148"/>
      <c r="L148"/>
      <c r="M148" s="711"/>
    </row>
    <row r="149" spans="1:14">
      <c r="A149" s="31"/>
      <c r="B149" s="32"/>
      <c r="C149" s="31"/>
      <c r="D149"/>
      <c r="E149"/>
      <c r="F149" s="32"/>
      <c r="G149" s="31"/>
      <c r="H149"/>
      <c r="I149"/>
      <c r="J149" s="32"/>
      <c r="K149"/>
      <c r="L149"/>
      <c r="M149" s="711"/>
    </row>
    <row r="150" spans="1:14">
      <c r="A150" s="31"/>
      <c r="B150" s="32"/>
      <c r="C150" s="31"/>
      <c r="D150"/>
      <c r="E150"/>
      <c r="F150" s="32"/>
      <c r="G150" s="31"/>
      <c r="H150"/>
      <c r="I150"/>
      <c r="J150" s="32"/>
      <c r="K150" s="19"/>
      <c r="L150" s="19"/>
      <c r="M150" s="711"/>
    </row>
    <row r="151" spans="1:14">
      <c r="A151" s="31"/>
      <c r="B151" s="32"/>
      <c r="C151" s="31"/>
      <c r="D151"/>
      <c r="E151"/>
      <c r="F151" s="32"/>
      <c r="G151" s="31"/>
      <c r="H151"/>
      <c r="I151"/>
      <c r="J151" s="32"/>
      <c r="K151"/>
      <c r="L151"/>
      <c r="M151" s="769"/>
      <c r="N151" s="770"/>
    </row>
    <row r="152" spans="1:14">
      <c r="A152" s="33"/>
      <c r="B152" s="34"/>
      <c r="C152" s="33"/>
      <c r="D152" s="19"/>
      <c r="E152" s="19"/>
      <c r="F152" s="34"/>
      <c r="G152" s="33"/>
      <c r="H152" s="19"/>
      <c r="I152" s="19"/>
      <c r="J152" s="34"/>
      <c r="K152"/>
      <c r="L152"/>
      <c r="M152" s="709"/>
      <c r="N152" s="711"/>
    </row>
    <row r="153" spans="1:14">
      <c r="A153" s="195"/>
      <c r="B153" s="30"/>
      <c r="C153" s="195"/>
      <c r="D153" s="30"/>
      <c r="E153" s="195"/>
      <c r="F153" s="30"/>
      <c r="G153" s="195"/>
      <c r="H153" s="30"/>
      <c r="I153" s="195"/>
      <c r="J153" s="30"/>
      <c r="K153" s="195"/>
      <c r="L153" s="29"/>
      <c r="M153" s="709"/>
      <c r="N153" s="711"/>
    </row>
    <row r="154" spans="1:14">
      <c r="A154" s="31"/>
      <c r="B154" s="32"/>
      <c r="C154" s="31"/>
      <c r="D154" s="32"/>
      <c r="E154" s="31"/>
      <c r="F154" s="32"/>
      <c r="G154" s="31"/>
      <c r="H154" s="32"/>
      <c r="I154" s="31"/>
      <c r="J154" s="32"/>
      <c r="K154" s="31"/>
      <c r="L154"/>
      <c r="M154" s="709"/>
      <c r="N154" s="711"/>
    </row>
    <row r="155" spans="1:14">
      <c r="A155" s="31"/>
      <c r="B155" s="32"/>
      <c r="C155" s="31"/>
      <c r="D155" s="32"/>
      <c r="E155" s="31"/>
      <c r="F155" s="32"/>
      <c r="G155" s="31"/>
      <c r="H155" s="32"/>
      <c r="I155" s="31"/>
      <c r="J155" s="32"/>
      <c r="K155" s="31"/>
      <c r="L155"/>
      <c r="M155" s="709"/>
      <c r="N155" s="711"/>
    </row>
    <row r="156" spans="1:14">
      <c r="A156" s="33"/>
      <c r="B156" s="34"/>
      <c r="C156" s="33"/>
      <c r="D156" s="34"/>
      <c r="E156" s="33"/>
      <c r="F156" s="34"/>
      <c r="G156" s="33"/>
      <c r="H156" s="34"/>
      <c r="I156" s="33"/>
      <c r="J156" s="34"/>
      <c r="K156" s="33"/>
      <c r="L156" s="19"/>
      <c r="M156" s="712"/>
      <c r="N156" s="714"/>
    </row>
    <row r="157" spans="1:14">
      <c r="A157" s="195"/>
      <c r="B157" s="30"/>
      <c r="C157" s="195"/>
      <c r="D157" s="30"/>
      <c r="E157" s="195"/>
      <c r="F157" s="30"/>
      <c r="G157" s="195"/>
      <c r="H157" s="30"/>
      <c r="I157" s="195"/>
      <c r="J157" s="30"/>
      <c r="K157" s="195"/>
      <c r="L157" s="30"/>
    </row>
    <row r="158" spans="1:14">
      <c r="A158" s="31"/>
      <c r="B158" s="32"/>
      <c r="C158" s="31"/>
      <c r="D158" s="32"/>
      <c r="E158" s="31"/>
      <c r="F158" s="32"/>
      <c r="G158" s="31"/>
      <c r="H158" s="32"/>
      <c r="I158" s="31"/>
      <c r="J158" s="32"/>
      <c r="K158" s="31"/>
      <c r="L158" s="32"/>
    </row>
    <row r="159" spans="1:14">
      <c r="A159" s="31"/>
      <c r="B159" s="32"/>
      <c r="C159" s="31"/>
      <c r="D159" s="32"/>
      <c r="E159" s="31"/>
      <c r="F159" s="32"/>
      <c r="G159" s="31"/>
      <c r="H159" s="32"/>
      <c r="I159" s="31"/>
      <c r="J159" s="32"/>
      <c r="K159" s="31"/>
      <c r="L159" s="32"/>
    </row>
    <row r="160" spans="1:14">
      <c r="A160" s="33"/>
      <c r="B160" s="34"/>
      <c r="C160" s="33"/>
      <c r="D160" s="34"/>
      <c r="E160" s="33"/>
      <c r="F160" s="34"/>
      <c r="G160" s="33"/>
      <c r="H160" s="34"/>
      <c r="I160" s="33"/>
      <c r="J160" s="34"/>
      <c r="K160" s="31"/>
      <c r="L160" s="32"/>
    </row>
    <row r="161" spans="1:21">
      <c r="A161" s="195"/>
      <c r="B161" s="30"/>
      <c r="C161" s="195"/>
      <c r="D161" s="30"/>
      <c r="E161" s="195"/>
      <c r="F161" s="30"/>
      <c r="G161" s="195"/>
      <c r="H161" s="29"/>
      <c r="I161" s="29"/>
      <c r="J161" s="30"/>
      <c r="K161" s="195"/>
      <c r="L161" s="29"/>
      <c r="M161" s="771"/>
      <c r="N161" s="771"/>
      <c r="O161" s="770"/>
    </row>
    <row r="162" spans="1:21">
      <c r="A162" s="31"/>
      <c r="B162" s="32"/>
      <c r="C162" s="31"/>
      <c r="D162" s="32"/>
      <c r="E162" s="31"/>
      <c r="F162" s="32"/>
      <c r="G162" s="31"/>
      <c r="H162"/>
      <c r="I162"/>
      <c r="J162" s="32"/>
      <c r="K162" s="31"/>
      <c r="L162"/>
      <c r="O162" s="711"/>
    </row>
    <row r="163" spans="1:21">
      <c r="A163" s="31"/>
      <c r="B163" s="32"/>
      <c r="C163" s="31"/>
      <c r="D163" s="32"/>
      <c r="E163" s="31"/>
      <c r="F163" s="32"/>
      <c r="G163" s="31"/>
      <c r="H163"/>
      <c r="I163"/>
      <c r="J163" s="32"/>
      <c r="K163" s="31"/>
      <c r="L163"/>
      <c r="O163" s="711"/>
    </row>
    <row r="164" spans="1:21">
      <c r="A164" s="31"/>
      <c r="B164" s="32"/>
      <c r="C164" s="31"/>
      <c r="D164" s="32"/>
      <c r="E164" s="31"/>
      <c r="F164" s="32"/>
      <c r="G164" s="31"/>
      <c r="H164"/>
      <c r="I164"/>
      <c r="J164" s="32"/>
      <c r="K164" s="31"/>
      <c r="L164"/>
      <c r="O164" s="711"/>
    </row>
    <row r="165" spans="1:21">
      <c r="A165" s="33"/>
      <c r="B165" s="34"/>
      <c r="C165" s="33"/>
      <c r="D165" s="34"/>
      <c r="E165" s="33"/>
      <c r="F165" s="34"/>
      <c r="G165" s="33"/>
      <c r="H165" s="19"/>
      <c r="I165" s="19"/>
      <c r="J165" s="34"/>
      <c r="K165" s="33"/>
      <c r="L165" s="19"/>
      <c r="M165" s="713"/>
      <c r="N165" s="713"/>
      <c r="O165" s="714"/>
    </row>
    <row r="166" spans="1:21" ht="29.25" customHeight="1">
      <c r="A166" s="1689" t="s">
        <v>955</v>
      </c>
      <c r="B166" s="1690"/>
      <c r="C166" s="1690"/>
      <c r="D166" s="1690"/>
      <c r="E166" s="1690"/>
      <c r="F166" s="1690"/>
      <c r="G166" s="1690"/>
      <c r="H166" s="1690"/>
      <c r="I166" s="1690"/>
      <c r="J166" s="1690"/>
      <c r="K166" s="1690"/>
      <c r="L166" s="1690"/>
      <c r="M166" s="1690"/>
      <c r="N166" s="1690"/>
      <c r="O166" s="1691"/>
    </row>
    <row r="167" spans="1:21">
      <c r="A167"/>
      <c r="B167"/>
      <c r="C167"/>
      <c r="D167"/>
      <c r="E167"/>
      <c r="F167"/>
      <c r="G167"/>
      <c r="H167"/>
      <c r="I167"/>
      <c r="J167"/>
      <c r="K167"/>
      <c r="L167"/>
    </row>
    <row r="168" spans="1:21">
      <c r="A168"/>
      <c r="B168"/>
      <c r="C168"/>
      <c r="D168"/>
      <c r="E168"/>
      <c r="F168"/>
      <c r="G168"/>
      <c r="H168"/>
      <c r="I168"/>
      <c r="J168"/>
      <c r="K168"/>
      <c r="L168"/>
    </row>
    <row r="169" spans="1:21">
      <c r="A169"/>
      <c r="B169"/>
      <c r="C169"/>
      <c r="D169"/>
      <c r="E169"/>
      <c r="F169"/>
      <c r="G169"/>
      <c r="H169"/>
      <c r="I169"/>
      <c r="J169"/>
      <c r="K169"/>
      <c r="L169"/>
    </row>
    <row r="170" spans="1:21" ht="14.6" thickBot="1">
      <c r="A170" s="21"/>
      <c r="B170" s="21"/>
      <c r="C170" s="21"/>
      <c r="D170" s="21"/>
      <c r="E170" s="21"/>
      <c r="F170" s="21"/>
      <c r="G170" s="21"/>
      <c r="H170" s="21"/>
      <c r="I170" s="21"/>
      <c r="J170"/>
      <c r="K170"/>
      <c r="L170"/>
    </row>
    <row r="171" spans="1:21" customFormat="1" ht="14.6" thickBot="1">
      <c r="A171" s="26"/>
      <c r="B171" s="28"/>
      <c r="C171" s="28"/>
      <c r="D171" s="28"/>
      <c r="E171" s="28"/>
      <c r="F171" s="28"/>
      <c r="G171" s="28"/>
      <c r="H171" s="28"/>
      <c r="I171" s="28"/>
      <c r="J171" s="28"/>
      <c r="K171" s="772"/>
      <c r="S171" s="473"/>
      <c r="T171" s="473"/>
      <c r="U171" s="473"/>
    </row>
    <row r="172" spans="1:21" customFormat="1">
      <c r="S172" s="473"/>
      <c r="T172" s="473"/>
      <c r="U172" s="473"/>
    </row>
    <row r="173" spans="1:21" customFormat="1" ht="14.6" thickBot="1">
      <c r="A173" s="21"/>
      <c r="B173" s="21"/>
      <c r="C173" s="21"/>
      <c r="D173" s="21"/>
      <c r="E173" s="21"/>
      <c r="F173" s="21"/>
      <c r="G173" s="21"/>
      <c r="H173" s="21"/>
      <c r="I173" s="21"/>
      <c r="S173" s="473"/>
      <c r="T173" s="473"/>
      <c r="U173" s="473"/>
    </row>
    <row r="174" spans="1:21" customFormat="1" ht="18.45" thickBot="1">
      <c r="A174" s="26"/>
      <c r="B174" s="28"/>
      <c r="C174" s="28"/>
      <c r="D174" s="28"/>
      <c r="E174" s="28"/>
      <c r="F174" s="28"/>
      <c r="G174" s="28"/>
      <c r="H174" s="28"/>
      <c r="I174" s="28"/>
      <c r="J174" s="28"/>
      <c r="K174" s="772"/>
      <c r="S174" s="473"/>
      <c r="T174" s="473"/>
      <c r="U174" s="1331"/>
    </row>
    <row r="175" spans="1:21" customFormat="1" ht="18">
      <c r="N175" s="1329" t="s">
        <v>387</v>
      </c>
      <c r="O175" s="1331"/>
      <c r="P175" s="773"/>
      <c r="S175" s="473"/>
      <c r="T175" s="473"/>
      <c r="U175" s="1331"/>
    </row>
    <row r="176" spans="1:21" customFormat="1" ht="18.649999999999999" thickBot="1">
      <c r="A176" s="21"/>
      <c r="B176" s="21"/>
      <c r="C176" s="21"/>
      <c r="D176" s="21"/>
      <c r="E176" s="21"/>
      <c r="F176" s="21"/>
      <c r="G176" s="21"/>
      <c r="H176" s="21"/>
      <c r="I176" s="21"/>
      <c r="N176" s="1329"/>
      <c r="O176" s="1331"/>
      <c r="P176" s="773"/>
      <c r="S176" s="473"/>
      <c r="T176" s="473"/>
      <c r="U176" s="1331"/>
    </row>
    <row r="177" spans="1:21" customFormat="1" ht="18.649999999999999" thickBot="1">
      <c r="A177" s="26"/>
      <c r="B177" s="28"/>
      <c r="C177" s="28"/>
      <c r="D177" s="28"/>
      <c r="E177" s="28"/>
      <c r="F177" s="28"/>
      <c r="G177" s="28"/>
      <c r="H177" s="28"/>
      <c r="I177" s="28"/>
      <c r="J177" s="28"/>
      <c r="K177" s="772"/>
      <c r="N177" s="1329"/>
      <c r="O177" s="1331"/>
      <c r="P177" s="773"/>
      <c r="S177" s="1329"/>
      <c r="T177" s="1331"/>
      <c r="U177" s="1331"/>
    </row>
    <row r="178" spans="1:21" customFormat="1" ht="18">
      <c r="N178" s="1329"/>
      <c r="O178" s="1331"/>
      <c r="P178" s="773"/>
      <c r="S178" s="473"/>
      <c r="T178" s="473"/>
      <c r="U178" s="1331"/>
    </row>
    <row r="179" spans="1:21" customFormat="1" ht="18">
      <c r="N179" s="1329"/>
      <c r="O179" s="1331"/>
      <c r="P179" s="773"/>
      <c r="S179" s="473"/>
      <c r="T179" s="473"/>
      <c r="U179" s="1331"/>
    </row>
    <row r="180" spans="1:21" ht="18.649999999999999" thickBot="1">
      <c r="A180"/>
      <c r="B180"/>
      <c r="C180"/>
      <c r="D180"/>
      <c r="E180"/>
      <c r="F180"/>
      <c r="G180"/>
      <c r="H180"/>
      <c r="I180"/>
      <c r="J180"/>
      <c r="K180"/>
      <c r="L180"/>
      <c r="N180" s="1329"/>
      <c r="O180" s="1331"/>
      <c r="U180" s="1331"/>
    </row>
    <row r="181" spans="1:21" ht="18.45" thickBot="1">
      <c r="A181" s="26"/>
      <c r="B181" s="28"/>
      <c r="C181" s="28"/>
      <c r="D181" s="28"/>
      <c r="E181" s="28"/>
      <c r="F181" s="28"/>
      <c r="G181" s="28"/>
      <c r="H181" s="28"/>
      <c r="I181" s="28"/>
      <c r="J181" s="28"/>
      <c r="K181" s="772"/>
      <c r="U181" s="1331"/>
    </row>
    <row r="182" spans="1:21" ht="18">
      <c r="L182" s="1329" t="s">
        <v>394</v>
      </c>
      <c r="M182" s="1331"/>
      <c r="N182" s="1331"/>
      <c r="O182" s="1329" t="s">
        <v>392</v>
      </c>
      <c r="P182" s="1330"/>
      <c r="Q182" s="1330"/>
    </row>
    <row r="183" spans="1:21" ht="18">
      <c r="I183" s="1329" t="s">
        <v>393</v>
      </c>
      <c r="J183" s="1331"/>
      <c r="L183" s="1329"/>
      <c r="M183" s="1331"/>
      <c r="N183" s="1331"/>
      <c r="O183" s="1329"/>
      <c r="P183" s="1330"/>
      <c r="Q183" s="1330"/>
    </row>
    <row r="184" spans="1:21" ht="18">
      <c r="C184" s="1329" t="s">
        <v>385</v>
      </c>
      <c r="D184" s="1330"/>
      <c r="E184" s="1330"/>
      <c r="F184" s="1331"/>
      <c r="I184" s="1329"/>
      <c r="J184" s="1331"/>
      <c r="L184" s="1329"/>
      <c r="M184" s="1331"/>
      <c r="N184" s="1331"/>
      <c r="O184" s="1329"/>
      <c r="P184" s="1330"/>
      <c r="Q184" s="1330"/>
    </row>
    <row r="185" spans="1:21" ht="18">
      <c r="C185" s="1329"/>
      <c r="D185" s="1330"/>
      <c r="E185" s="1330"/>
      <c r="F185" s="1331"/>
      <c r="I185" s="1329"/>
      <c r="J185" s="1331"/>
      <c r="L185" s="1329"/>
      <c r="M185" s="1331"/>
      <c r="N185" s="1331"/>
    </row>
    <row r="186" spans="1:21" ht="18">
      <c r="C186" s="1329"/>
      <c r="D186" s="1330"/>
      <c r="E186" s="1330"/>
      <c r="F186" s="1331"/>
      <c r="I186" s="1329"/>
      <c r="J186" s="1331"/>
      <c r="O186" s="1329" t="s">
        <v>391</v>
      </c>
      <c r="P186" s="1331"/>
    </row>
    <row r="187" spans="1:21" ht="18">
      <c r="C187" s="1329"/>
      <c r="D187" s="1330"/>
      <c r="E187" s="1330"/>
      <c r="F187" s="1331"/>
      <c r="L187" s="1329" t="s">
        <v>389</v>
      </c>
      <c r="M187" s="1331"/>
      <c r="N187" s="1331"/>
      <c r="O187" s="1329"/>
      <c r="P187" s="1331"/>
    </row>
    <row r="188" spans="1:21" ht="18">
      <c r="C188" s="1329" t="s">
        <v>388</v>
      </c>
      <c r="D188" s="1330"/>
      <c r="E188" s="1330"/>
      <c r="F188" s="1331"/>
      <c r="L188" s="1329"/>
      <c r="M188" s="1331"/>
      <c r="N188" s="1331"/>
      <c r="O188" s="1329"/>
      <c r="P188" s="1331"/>
    </row>
    <row r="189" spans="1:21" ht="18">
      <c r="C189" s="1329"/>
      <c r="D189" s="1330"/>
      <c r="E189" s="1330"/>
      <c r="F189" s="1331"/>
      <c r="L189" s="1329"/>
      <c r="M189" s="1331"/>
      <c r="N189" s="1331"/>
    </row>
    <row r="190" spans="1:21" ht="18">
      <c r="C190" s="1329"/>
      <c r="D190" s="1330"/>
      <c r="E190" s="1330"/>
      <c r="F190" s="1331"/>
    </row>
    <row r="194" spans="1:25" ht="18">
      <c r="A194" s="1692" t="s">
        <v>956</v>
      </c>
      <c r="B194" s="1693"/>
      <c r="C194" s="1693"/>
      <c r="D194" s="1693"/>
      <c r="E194" s="1693"/>
      <c r="F194" s="1693"/>
      <c r="G194" s="1693"/>
      <c r="H194" s="1693"/>
      <c r="I194" s="1693"/>
      <c r="J194" s="1693"/>
      <c r="K194" s="1693"/>
      <c r="L194" s="1693"/>
      <c r="M194" s="1693"/>
      <c r="N194" s="1693"/>
      <c r="O194" s="1693"/>
      <c r="P194" s="1693"/>
      <c r="Q194" s="1693"/>
      <c r="R194" s="1694"/>
    </row>
    <row r="196" spans="1:25">
      <c r="A196"/>
      <c r="B196"/>
      <c r="C196"/>
      <c r="D196"/>
      <c r="E196"/>
      <c r="F196"/>
      <c r="G196"/>
      <c r="H196"/>
      <c r="I196"/>
      <c r="J196"/>
      <c r="K196"/>
      <c r="L196"/>
      <c r="M196"/>
      <c r="Q196"/>
      <c r="R196" s="22" t="s">
        <v>397</v>
      </c>
      <c r="S196"/>
      <c r="T196"/>
      <c r="Y196"/>
    </row>
    <row r="197" spans="1:25">
      <c r="A197"/>
      <c r="B197"/>
      <c r="C197"/>
      <c r="D197"/>
      <c r="E197"/>
      <c r="F197"/>
      <c r="G197"/>
      <c r="H197"/>
      <c r="I197"/>
      <c r="J197"/>
      <c r="K197"/>
      <c r="L197"/>
      <c r="M197"/>
      <c r="Q197"/>
      <c r="R197" s="22"/>
      <c r="S197"/>
      <c r="T197"/>
      <c r="Y197"/>
    </row>
    <row r="198" spans="1:25">
      <c r="A198"/>
      <c r="B198"/>
      <c r="C198"/>
      <c r="D198"/>
      <c r="E198"/>
      <c r="F198"/>
      <c r="G198"/>
      <c r="H198"/>
      <c r="I198"/>
      <c r="J198"/>
      <c r="K198"/>
      <c r="L198"/>
      <c r="M198"/>
      <c r="Q198"/>
      <c r="R198"/>
      <c r="S198"/>
      <c r="T198"/>
      <c r="Y198"/>
    </row>
    <row r="199" spans="1:25">
      <c r="A199"/>
      <c r="B199"/>
      <c r="C199"/>
      <c r="D199"/>
      <c r="E199"/>
      <c r="F199"/>
      <c r="G199"/>
      <c r="H199"/>
      <c r="I199"/>
      <c r="J199"/>
      <c r="K199"/>
      <c r="L199"/>
      <c r="M199"/>
      <c r="Q199"/>
      <c r="R199"/>
      <c r="S199"/>
      <c r="T199"/>
      <c r="Y199"/>
    </row>
    <row r="200" spans="1:25">
      <c r="A200"/>
      <c r="B200"/>
      <c r="C200"/>
      <c r="D200"/>
      <c r="E200"/>
      <c r="F200"/>
      <c r="G200"/>
      <c r="H200"/>
      <c r="I200"/>
      <c r="J200"/>
      <c r="K200"/>
      <c r="L200"/>
      <c r="M200"/>
      <c r="Q200"/>
      <c r="R200"/>
      <c r="S200"/>
      <c r="T200"/>
      <c r="Y200"/>
    </row>
    <row r="201" spans="1:25">
      <c r="A201"/>
      <c r="B201"/>
      <c r="C201"/>
      <c r="D201"/>
      <c r="E201"/>
      <c r="F201"/>
      <c r="G201"/>
      <c r="H201"/>
      <c r="I201"/>
      <c r="J201"/>
      <c r="K201"/>
      <c r="L201"/>
      <c r="M201"/>
      <c r="Q201"/>
      <c r="R201"/>
      <c r="S201"/>
      <c r="T201"/>
      <c r="Y201"/>
    </row>
    <row r="202" spans="1:25">
      <c r="A202"/>
      <c r="B202"/>
      <c r="C202"/>
      <c r="D202"/>
      <c r="E202"/>
      <c r="F202"/>
      <c r="G202"/>
      <c r="H202"/>
      <c r="I202"/>
      <c r="J202"/>
      <c r="K202"/>
      <c r="L202"/>
      <c r="M202"/>
      <c r="Q202"/>
      <c r="R202"/>
      <c r="S202" s="22" t="s">
        <v>398</v>
      </c>
      <c r="T202"/>
      <c r="U202"/>
      <c r="Y202"/>
    </row>
    <row r="203" spans="1:25">
      <c r="A203"/>
      <c r="B203"/>
      <c r="C203"/>
      <c r="D203"/>
      <c r="E203"/>
      <c r="F203"/>
      <c r="G203"/>
      <c r="H203"/>
      <c r="I203"/>
      <c r="J203"/>
      <c r="K203"/>
      <c r="L203"/>
      <c r="M203"/>
      <c r="Q203"/>
      <c r="R203"/>
      <c r="S203" s="22"/>
      <c r="T203"/>
      <c r="U203"/>
      <c r="Y203"/>
    </row>
    <row r="204" spans="1:25">
      <c r="A204"/>
      <c r="B204"/>
      <c r="C204"/>
      <c r="D204"/>
      <c r="E204"/>
      <c r="F204"/>
      <c r="G204"/>
      <c r="H204"/>
      <c r="I204"/>
      <c r="J204"/>
      <c r="K204"/>
      <c r="L204"/>
      <c r="M204"/>
      <c r="N204" s="22" t="s">
        <v>400</v>
      </c>
      <c r="O204"/>
      <c r="P204"/>
      <c r="Q204"/>
      <c r="R204"/>
      <c r="S204"/>
      <c r="T204"/>
      <c r="U204"/>
      <c r="Y204"/>
    </row>
    <row r="205" spans="1:25">
      <c r="A205"/>
      <c r="B205"/>
      <c r="C205"/>
      <c r="D205"/>
      <c r="E205"/>
      <c r="F205"/>
      <c r="G205"/>
      <c r="H205"/>
      <c r="I205"/>
      <c r="J205"/>
      <c r="K205"/>
      <c r="L205"/>
      <c r="M205"/>
      <c r="N205"/>
      <c r="O205"/>
      <c r="P205"/>
      <c r="Q205"/>
      <c r="R205"/>
      <c r="S205"/>
      <c r="T205"/>
      <c r="U205"/>
      <c r="Y205"/>
    </row>
    <row r="206" spans="1:25">
      <c r="A206"/>
      <c r="B206"/>
      <c r="C206"/>
      <c r="D206"/>
      <c r="E206"/>
      <c r="F206"/>
      <c r="G206"/>
      <c r="H206"/>
      <c r="I206"/>
      <c r="J206"/>
      <c r="K206"/>
      <c r="L206"/>
      <c r="M206"/>
      <c r="N206"/>
      <c r="O206"/>
      <c r="P206"/>
      <c r="Q206"/>
      <c r="R206"/>
      <c r="S206"/>
      <c r="T206"/>
      <c r="U206"/>
      <c r="Y206"/>
    </row>
    <row r="207" spans="1:25">
      <c r="A207"/>
      <c r="B207"/>
      <c r="C207"/>
      <c r="D207"/>
      <c r="E207"/>
      <c r="F207"/>
      <c r="G207"/>
      <c r="H207"/>
      <c r="I207"/>
      <c r="J207"/>
      <c r="K207"/>
      <c r="L207"/>
      <c r="M207"/>
      <c r="N207"/>
      <c r="O207"/>
      <c r="P207"/>
      <c r="Q207"/>
      <c r="R207"/>
      <c r="S207"/>
      <c r="T207"/>
      <c r="U207"/>
      <c r="Y207"/>
    </row>
    <row r="208" spans="1:25">
      <c r="A208" s="19"/>
      <c r="B208" s="19"/>
      <c r="C208" s="19"/>
      <c r="D208" s="19"/>
      <c r="E208" s="19"/>
      <c r="F208" s="19"/>
      <c r="G208" s="19"/>
      <c r="H208" s="19"/>
      <c r="I208" s="19"/>
      <c r="J208" s="19"/>
      <c r="K208" s="19"/>
      <c r="L208" s="19"/>
      <c r="M208"/>
      <c r="N208"/>
      <c r="O208"/>
      <c r="P208"/>
      <c r="Q208"/>
      <c r="R208"/>
      <c r="S208"/>
      <c r="T208"/>
      <c r="U208"/>
      <c r="Y208"/>
    </row>
    <row r="209" spans="1:29">
      <c r="A209"/>
      <c r="B209"/>
      <c r="C209"/>
      <c r="D209"/>
      <c r="E209"/>
      <c r="F209"/>
      <c r="G209"/>
      <c r="H209"/>
      <c r="I209"/>
      <c r="J209"/>
      <c r="K209"/>
      <c r="L209"/>
      <c r="M209"/>
      <c r="N209"/>
      <c r="O209"/>
      <c r="P209"/>
      <c r="Q209"/>
      <c r="R209"/>
      <c r="S209"/>
      <c r="T209"/>
      <c r="U209"/>
      <c r="Y209"/>
    </row>
    <row r="210" spans="1:29">
      <c r="A210"/>
      <c r="B210"/>
      <c r="C210"/>
      <c r="D210"/>
      <c r="E210"/>
      <c r="F210"/>
      <c r="G210"/>
      <c r="H210"/>
      <c r="I210"/>
      <c r="J210"/>
      <c r="K210"/>
      <c r="L210"/>
      <c r="M210"/>
      <c r="N210"/>
      <c r="O210"/>
      <c r="P210"/>
      <c r="Q210"/>
      <c r="R210"/>
      <c r="S210"/>
      <c r="T210"/>
      <c r="U210"/>
      <c r="Y210"/>
    </row>
    <row r="211" spans="1:29">
      <c r="A211"/>
      <c r="B211"/>
      <c r="C211"/>
      <c r="D211"/>
      <c r="E211"/>
      <c r="F211"/>
      <c r="G211"/>
      <c r="H211"/>
      <c r="I211"/>
      <c r="J211"/>
      <c r="K211"/>
      <c r="L211"/>
      <c r="M211"/>
      <c r="N211"/>
      <c r="O211"/>
      <c r="P211"/>
      <c r="Q211"/>
      <c r="R211"/>
      <c r="S211"/>
      <c r="T211"/>
      <c r="U211"/>
      <c r="V211"/>
      <c r="W211"/>
      <c r="X211"/>
      <c r="Y211"/>
    </row>
    <row r="212" spans="1:29">
      <c r="A212"/>
      <c r="B212"/>
      <c r="C212"/>
      <c r="D212"/>
      <c r="E212"/>
      <c r="F212"/>
      <c r="G212"/>
      <c r="H212"/>
      <c r="I212"/>
      <c r="J212"/>
      <c r="K212"/>
      <c r="L212"/>
      <c r="M212"/>
      <c r="N212"/>
      <c r="O212"/>
      <c r="P212"/>
      <c r="Q212"/>
      <c r="R212"/>
      <c r="S212"/>
      <c r="T212"/>
      <c r="U212"/>
      <c r="V212"/>
      <c r="W212"/>
      <c r="X212"/>
      <c r="Y212"/>
    </row>
    <row r="213" spans="1:29">
      <c r="A213"/>
      <c r="B213"/>
      <c r="C213"/>
      <c r="D213"/>
      <c r="E213"/>
      <c r="F213"/>
      <c r="G213"/>
      <c r="H213"/>
      <c r="I213"/>
      <c r="J213"/>
      <c r="K213"/>
      <c r="L213"/>
      <c r="M213"/>
      <c r="N213"/>
      <c r="O213"/>
      <c r="P213"/>
      <c r="Q213"/>
      <c r="R213"/>
      <c r="S213"/>
      <c r="T213"/>
      <c r="U213"/>
      <c r="Y213"/>
      <c r="Z213"/>
      <c r="AA213"/>
      <c r="AB213"/>
      <c r="AC213"/>
    </row>
    <row r="214" spans="1:29">
      <c r="A214"/>
      <c r="B214"/>
      <c r="C214"/>
      <c r="D214"/>
      <c r="E214"/>
      <c r="F214"/>
      <c r="G214"/>
      <c r="H214"/>
      <c r="I214"/>
      <c r="J214"/>
      <c r="K214"/>
      <c r="L214"/>
      <c r="M214"/>
      <c r="N214"/>
      <c r="O214"/>
      <c r="P214"/>
      <c r="Q214"/>
      <c r="R214"/>
      <c r="S214"/>
      <c r="T214"/>
      <c r="U214"/>
      <c r="Y214"/>
      <c r="Z214"/>
      <c r="AA214"/>
      <c r="AB214"/>
      <c r="AC214"/>
    </row>
    <row r="215" spans="1:29">
      <c r="A215"/>
      <c r="B215"/>
      <c r="C215"/>
      <c r="D215"/>
      <c r="E215"/>
      <c r="F215"/>
      <c r="G215"/>
      <c r="H215"/>
      <c r="I215"/>
      <c r="J215"/>
      <c r="K215"/>
      <c r="L215"/>
      <c r="M215"/>
      <c r="N215"/>
      <c r="O215"/>
      <c r="P215"/>
      <c r="Q215"/>
      <c r="R215"/>
      <c r="S215"/>
      <c r="T215"/>
      <c r="U215"/>
      <c r="Y215"/>
      <c r="Z215"/>
      <c r="AA215"/>
      <c r="AB215"/>
      <c r="AC215"/>
    </row>
    <row r="216" spans="1:29">
      <c r="A216"/>
      <c r="B216"/>
      <c r="C216"/>
      <c r="D216"/>
      <c r="E216"/>
      <c r="F216"/>
      <c r="G216"/>
      <c r="H216"/>
      <c r="I216"/>
      <c r="J216"/>
      <c r="K216"/>
      <c r="L216"/>
      <c r="M216"/>
      <c r="N216"/>
      <c r="O216"/>
      <c r="P216"/>
      <c r="Q216"/>
      <c r="R216"/>
      <c r="S216"/>
      <c r="T216"/>
      <c r="U216"/>
      <c r="Y216"/>
      <c r="Z216"/>
      <c r="AA216"/>
      <c r="AB216"/>
      <c r="AC216"/>
    </row>
    <row r="217" spans="1:29">
      <c r="A217"/>
      <c r="B217"/>
      <c r="C217"/>
      <c r="D217"/>
      <c r="E217"/>
      <c r="F217"/>
      <c r="G217"/>
      <c r="H217"/>
      <c r="I217"/>
      <c r="J217"/>
      <c r="K217"/>
      <c r="L217"/>
      <c r="M217"/>
      <c r="N217"/>
      <c r="O217"/>
      <c r="P217"/>
      <c r="Q217"/>
      <c r="S217" s="22" t="s">
        <v>399</v>
      </c>
      <c r="T217"/>
      <c r="U217"/>
      <c r="V217"/>
      <c r="Y217"/>
      <c r="Z217"/>
      <c r="AA217"/>
      <c r="AB217"/>
      <c r="AC217"/>
    </row>
    <row r="218" spans="1:29">
      <c r="A218"/>
      <c r="B218"/>
      <c r="C218"/>
      <c r="D218"/>
      <c r="E218"/>
      <c r="F218"/>
      <c r="G218"/>
      <c r="H218"/>
      <c r="I218"/>
      <c r="J218"/>
      <c r="K218"/>
      <c r="L218"/>
      <c r="M218"/>
      <c r="N218"/>
      <c r="O218"/>
      <c r="P218"/>
      <c r="Q218"/>
      <c r="S218"/>
      <c r="T218"/>
      <c r="U218"/>
      <c r="V218"/>
      <c r="Y218"/>
      <c r="Z218"/>
      <c r="AA218"/>
      <c r="AB218"/>
      <c r="AC218"/>
    </row>
    <row r="219" spans="1:29">
      <c r="A219"/>
      <c r="B219"/>
      <c r="C219"/>
      <c r="D219"/>
      <c r="E219"/>
      <c r="F219"/>
      <c r="G219"/>
      <c r="H219"/>
      <c r="I219"/>
      <c r="J219"/>
      <c r="K219"/>
      <c r="L219"/>
      <c r="M219"/>
      <c r="N219"/>
      <c r="O219"/>
      <c r="P219"/>
      <c r="Q219"/>
      <c r="S219"/>
      <c r="T219"/>
      <c r="U219"/>
      <c r="V219"/>
      <c r="Y219"/>
      <c r="Z219"/>
      <c r="AA219"/>
      <c r="AB219"/>
      <c r="AC219"/>
    </row>
    <row r="220" spans="1:29">
      <c r="A220"/>
      <c r="B220"/>
      <c r="C220"/>
      <c r="D220"/>
      <c r="E220"/>
      <c r="F220"/>
      <c r="G220"/>
      <c r="H220"/>
      <c r="I220"/>
      <c r="J220"/>
      <c r="K220"/>
      <c r="L220"/>
      <c r="M220"/>
      <c r="N220"/>
      <c r="O220" s="22" t="s">
        <v>401</v>
      </c>
      <c r="P220"/>
      <c r="Q220"/>
      <c r="S220"/>
      <c r="T220"/>
      <c r="U220"/>
      <c r="V220"/>
      <c r="Y220"/>
      <c r="Z220"/>
      <c r="AA220"/>
      <c r="AB220"/>
      <c r="AC220"/>
    </row>
    <row r="221" spans="1:29">
      <c r="A221"/>
      <c r="B221"/>
      <c r="C221"/>
      <c r="D221"/>
      <c r="E221"/>
      <c r="F221"/>
      <c r="G221"/>
      <c r="H221"/>
      <c r="I221"/>
      <c r="J221"/>
      <c r="K221"/>
      <c r="L221"/>
      <c r="M221"/>
      <c r="N221"/>
      <c r="O221"/>
      <c r="P221"/>
      <c r="Q221"/>
      <c r="S221"/>
      <c r="T221"/>
      <c r="U221"/>
      <c r="V221"/>
      <c r="Y221"/>
      <c r="Z221"/>
      <c r="AA221"/>
      <c r="AB221"/>
      <c r="AC221"/>
    </row>
    <row r="222" spans="1:29">
      <c r="A222" s="19"/>
      <c r="B222" s="19"/>
      <c r="C222" s="19"/>
      <c r="D222" s="19"/>
      <c r="E222" s="19"/>
      <c r="F222" s="19"/>
      <c r="G222" s="19"/>
      <c r="H222" s="19"/>
      <c r="I222" s="19"/>
      <c r="J222" s="19"/>
      <c r="K222" s="19"/>
      <c r="L222" s="19"/>
      <c r="M222"/>
      <c r="N222"/>
      <c r="O222"/>
      <c r="P222"/>
      <c r="Q222"/>
      <c r="S222"/>
      <c r="T222"/>
      <c r="U222"/>
      <c r="V222"/>
      <c r="Y222"/>
      <c r="Z222"/>
      <c r="AA222"/>
      <c r="AB222"/>
      <c r="AC222"/>
    </row>
    <row r="223" spans="1:29">
      <c r="A223"/>
      <c r="B223"/>
      <c r="C223"/>
      <c r="D223"/>
      <c r="E223"/>
      <c r="F223"/>
      <c r="G223"/>
      <c r="H223"/>
      <c r="I223"/>
      <c r="J223"/>
      <c r="K223"/>
      <c r="L223"/>
      <c r="M223"/>
      <c r="N223"/>
      <c r="O223"/>
      <c r="P223"/>
      <c r="Q223"/>
      <c r="S223"/>
      <c r="T223"/>
      <c r="U223"/>
      <c r="V223"/>
      <c r="Y223"/>
      <c r="Z223"/>
      <c r="AA223"/>
      <c r="AB223"/>
      <c r="AC223"/>
    </row>
    <row r="224" spans="1:29">
      <c r="A224"/>
      <c r="B224"/>
      <c r="C224"/>
      <c r="D224"/>
      <c r="E224"/>
      <c r="F224"/>
      <c r="G224"/>
      <c r="H224"/>
      <c r="I224"/>
      <c r="J224"/>
      <c r="K224"/>
      <c r="L224"/>
      <c r="M224"/>
      <c r="N224"/>
      <c r="O224"/>
      <c r="P224"/>
      <c r="Q224"/>
      <c r="S224"/>
      <c r="T224"/>
      <c r="U224"/>
      <c r="V224"/>
      <c r="Y224"/>
      <c r="Z224"/>
      <c r="AA224"/>
      <c r="AB224"/>
      <c r="AC224"/>
    </row>
    <row r="225" spans="1:29">
      <c r="A225"/>
      <c r="B225"/>
      <c r="C225"/>
      <c r="D225"/>
      <c r="E225"/>
      <c r="F225"/>
      <c r="G225"/>
      <c r="H225"/>
      <c r="I225"/>
      <c r="J225"/>
      <c r="K225"/>
      <c r="L225"/>
      <c r="M225"/>
      <c r="N225"/>
      <c r="O225"/>
      <c r="P225"/>
      <c r="Q225"/>
      <c r="S225"/>
      <c r="T225"/>
      <c r="U225"/>
      <c r="V225"/>
      <c r="Y225"/>
      <c r="Z225"/>
      <c r="AA225"/>
      <c r="AB225"/>
      <c r="AC225"/>
    </row>
    <row r="226" spans="1:29">
      <c r="A226"/>
      <c r="B226"/>
      <c r="C226"/>
      <c r="D226"/>
      <c r="E226"/>
      <c r="F226"/>
      <c r="G226"/>
      <c r="H226"/>
      <c r="I226"/>
      <c r="J226"/>
      <c r="K226"/>
      <c r="L226"/>
      <c r="M226"/>
      <c r="N226"/>
      <c r="O226"/>
      <c r="P226"/>
      <c r="Q226"/>
      <c r="S226"/>
      <c r="T226"/>
      <c r="U226"/>
      <c r="V226"/>
      <c r="Y226"/>
      <c r="Z226"/>
      <c r="AA226"/>
      <c r="AB226"/>
      <c r="AC226"/>
    </row>
    <row r="227" spans="1:29">
      <c r="A227"/>
      <c r="B227"/>
      <c r="C227"/>
      <c r="D227"/>
      <c r="E227"/>
      <c r="F227"/>
      <c r="G227"/>
      <c r="H227"/>
      <c r="I227"/>
      <c r="J227"/>
      <c r="K227"/>
      <c r="L227"/>
      <c r="M227"/>
      <c r="N227"/>
      <c r="O227"/>
      <c r="P227"/>
      <c r="Q227"/>
      <c r="S227"/>
      <c r="T227"/>
      <c r="U227"/>
      <c r="V227"/>
      <c r="Y227"/>
      <c r="Z227"/>
      <c r="AA227"/>
      <c r="AB227"/>
      <c r="AC227"/>
    </row>
    <row r="228" spans="1:29">
      <c r="A228"/>
      <c r="B228"/>
      <c r="C228"/>
      <c r="D228"/>
      <c r="E228"/>
      <c r="F228"/>
      <c r="G228"/>
      <c r="H228"/>
      <c r="I228"/>
      <c r="J228"/>
      <c r="K228"/>
      <c r="L228"/>
      <c r="M228"/>
      <c r="N228"/>
      <c r="O228"/>
      <c r="P228"/>
      <c r="Q228"/>
      <c r="S228"/>
      <c r="T228"/>
      <c r="U228"/>
      <c r="V228"/>
      <c r="Y228"/>
      <c r="Z228"/>
      <c r="AA228"/>
      <c r="AB228"/>
      <c r="AC228"/>
    </row>
    <row r="229" spans="1:29">
      <c r="A229"/>
      <c r="B229"/>
      <c r="C229"/>
      <c r="D229"/>
      <c r="E229"/>
      <c r="F229"/>
      <c r="G229"/>
      <c r="H229"/>
      <c r="I229"/>
      <c r="J229"/>
      <c r="K229"/>
      <c r="L229"/>
      <c r="M229"/>
      <c r="N229"/>
      <c r="O229"/>
      <c r="P229"/>
      <c r="Q229"/>
      <c r="R229"/>
      <c r="S229"/>
      <c r="T229"/>
      <c r="U229"/>
      <c r="V229"/>
      <c r="Y229"/>
      <c r="Z229"/>
      <c r="AA229"/>
      <c r="AB229"/>
      <c r="AC229"/>
    </row>
    <row r="230" spans="1:29">
      <c r="A230"/>
      <c r="B230"/>
      <c r="C230"/>
      <c r="D230"/>
      <c r="E230"/>
      <c r="F230"/>
      <c r="G230"/>
      <c r="H230"/>
      <c r="I230"/>
      <c r="J230"/>
      <c r="K230"/>
      <c r="L230"/>
      <c r="M230"/>
      <c r="N230"/>
      <c r="O230"/>
      <c r="P230"/>
      <c r="Q230"/>
      <c r="R230"/>
      <c r="S230"/>
      <c r="T230"/>
      <c r="U230"/>
      <c r="V230"/>
      <c r="X230"/>
      <c r="Y230"/>
      <c r="Z230"/>
      <c r="AA230"/>
      <c r="AB230"/>
      <c r="AC230"/>
    </row>
    <row r="231" spans="1:29">
      <c r="A231"/>
      <c r="B231"/>
      <c r="C231"/>
      <c r="D231"/>
      <c r="E231"/>
      <c r="F231"/>
      <c r="G231"/>
      <c r="H231"/>
      <c r="I231"/>
      <c r="J231"/>
      <c r="K231"/>
      <c r="L231"/>
      <c r="M231"/>
      <c r="N231"/>
      <c r="O231"/>
      <c r="P231"/>
      <c r="Q231"/>
      <c r="S231"/>
      <c r="T231"/>
      <c r="U231"/>
      <c r="V231"/>
    </row>
    <row r="232" spans="1:29">
      <c r="A232"/>
      <c r="B232"/>
      <c r="C232"/>
      <c r="D232"/>
      <c r="E232"/>
      <c r="F232"/>
      <c r="G232"/>
      <c r="H232"/>
      <c r="I232"/>
      <c r="J232"/>
      <c r="K232"/>
      <c r="L232"/>
      <c r="M232"/>
      <c r="N232"/>
      <c r="O232"/>
      <c r="P232"/>
      <c r="Q232"/>
      <c r="S232"/>
      <c r="T232"/>
      <c r="U232"/>
      <c r="V232"/>
    </row>
    <row r="233" spans="1:29">
      <c r="A233"/>
      <c r="B233"/>
      <c r="C233"/>
      <c r="D233"/>
      <c r="E233"/>
      <c r="F233"/>
      <c r="G233"/>
      <c r="H233"/>
      <c r="I233"/>
      <c r="J233"/>
      <c r="K233"/>
      <c r="L233"/>
      <c r="M233"/>
      <c r="N233"/>
      <c r="O233"/>
      <c r="P233"/>
      <c r="Q233"/>
      <c r="S233"/>
      <c r="T233"/>
      <c r="U233"/>
      <c r="V233"/>
    </row>
    <row r="234" spans="1:29">
      <c r="A234"/>
      <c r="B234"/>
      <c r="C234"/>
      <c r="D234"/>
      <c r="E234"/>
      <c r="F234"/>
      <c r="G234"/>
      <c r="H234"/>
      <c r="I234"/>
      <c r="J234"/>
      <c r="K234"/>
      <c r="L234"/>
      <c r="M234"/>
      <c r="N234"/>
      <c r="O234"/>
      <c r="P234"/>
      <c r="Q234"/>
    </row>
    <row r="235" spans="1:29">
      <c r="A235"/>
      <c r="B235"/>
      <c r="C235"/>
      <c r="D235"/>
      <c r="E235"/>
      <c r="F235"/>
      <c r="G235"/>
      <c r="H235"/>
      <c r="I235"/>
      <c r="J235"/>
      <c r="K235"/>
      <c r="L235"/>
      <c r="M235"/>
      <c r="N235"/>
      <c r="O235"/>
      <c r="P235"/>
      <c r="Q235"/>
    </row>
    <row r="236" spans="1:29">
      <c r="A236"/>
      <c r="B236"/>
      <c r="C236"/>
      <c r="D236"/>
      <c r="E236"/>
      <c r="F236"/>
      <c r="G236"/>
      <c r="H236"/>
      <c r="I236"/>
      <c r="J236"/>
      <c r="K236"/>
      <c r="L236"/>
      <c r="M236"/>
      <c r="N236"/>
      <c r="O236"/>
      <c r="P236"/>
      <c r="Q236"/>
    </row>
    <row r="237" spans="1:29">
      <c r="A237" s="19"/>
      <c r="B237" s="19"/>
      <c r="C237" s="19"/>
      <c r="D237" s="19"/>
      <c r="E237" s="19"/>
      <c r="F237" s="19"/>
      <c r="G237" s="19"/>
      <c r="H237" s="19"/>
      <c r="I237" s="19"/>
      <c r="J237" s="19"/>
      <c r="K237" s="19"/>
      <c r="L237" s="19"/>
      <c r="M237"/>
    </row>
    <row r="238" spans="1:29">
      <c r="A238"/>
      <c r="B238"/>
      <c r="C238"/>
      <c r="D238"/>
      <c r="E238"/>
      <c r="F238"/>
      <c r="G238"/>
      <c r="H238"/>
      <c r="I238"/>
      <c r="J238"/>
      <c r="K238"/>
      <c r="L238"/>
      <c r="M238"/>
    </row>
    <row r="239" spans="1:29">
      <c r="A239"/>
      <c r="B239"/>
      <c r="C239"/>
      <c r="D239"/>
      <c r="E239"/>
      <c r="F239"/>
      <c r="G239"/>
      <c r="H239"/>
      <c r="I239"/>
      <c r="J239"/>
      <c r="K239"/>
      <c r="L239"/>
      <c r="M239"/>
    </row>
    <row r="240" spans="1:29">
      <c r="A240"/>
      <c r="B240"/>
      <c r="C240"/>
      <c r="D240"/>
      <c r="E240"/>
      <c r="F240"/>
      <c r="G240"/>
      <c r="H240"/>
      <c r="I240"/>
      <c r="J240"/>
      <c r="K240"/>
      <c r="L240"/>
      <c r="M240"/>
    </row>
    <row r="241" spans="1:13">
      <c r="A241"/>
      <c r="B241"/>
      <c r="C241"/>
      <c r="D241"/>
      <c r="E241"/>
      <c r="F241"/>
      <c r="G241"/>
      <c r="H241"/>
      <c r="I241"/>
      <c r="J241"/>
      <c r="K241"/>
      <c r="L241"/>
      <c r="M241"/>
    </row>
    <row r="242" spans="1:13">
      <c r="A242"/>
      <c r="B242"/>
      <c r="C242"/>
      <c r="D242"/>
      <c r="E242"/>
      <c r="F242"/>
      <c r="G242"/>
      <c r="H242"/>
      <c r="I242"/>
      <c r="J242"/>
      <c r="K242"/>
      <c r="L242"/>
      <c r="M242"/>
    </row>
    <row r="243" spans="1:13">
      <c r="A243"/>
      <c r="B243"/>
      <c r="C243"/>
      <c r="D243"/>
      <c r="E243"/>
      <c r="F243"/>
      <c r="G243"/>
      <c r="H243"/>
      <c r="I243"/>
      <c r="J243"/>
      <c r="K243"/>
      <c r="L243"/>
      <c r="M243"/>
    </row>
    <row r="244" spans="1:13">
      <c r="A244"/>
      <c r="B244"/>
      <c r="C244"/>
      <c r="D244"/>
      <c r="E244"/>
      <c r="F244"/>
      <c r="G244"/>
      <c r="H244"/>
      <c r="I244"/>
      <c r="J244"/>
      <c r="K244"/>
      <c r="L244"/>
      <c r="M244"/>
    </row>
    <row r="245" spans="1:13">
      <c r="A245"/>
      <c r="B245"/>
      <c r="C245"/>
      <c r="D245"/>
      <c r="E245"/>
      <c r="F245"/>
      <c r="G245"/>
      <c r="H245"/>
      <c r="I245"/>
      <c r="J245"/>
      <c r="K245"/>
      <c r="L245"/>
      <c r="M245"/>
    </row>
    <row r="246" spans="1:13">
      <c r="A246"/>
      <c r="B246"/>
      <c r="C246"/>
      <c r="D246"/>
      <c r="E246"/>
      <c r="F246"/>
      <c r="G246"/>
      <c r="H246"/>
      <c r="I246"/>
      <c r="J246"/>
      <c r="K246"/>
      <c r="L246"/>
      <c r="M246"/>
    </row>
    <row r="247" spans="1:13">
      <c r="A247"/>
      <c r="B247"/>
      <c r="C247"/>
      <c r="D247"/>
      <c r="E247"/>
      <c r="F247"/>
      <c r="G247"/>
      <c r="H247"/>
      <c r="I247"/>
      <c r="J247"/>
      <c r="K247"/>
      <c r="L247"/>
      <c r="M247"/>
    </row>
    <row r="248" spans="1:13">
      <c r="A248"/>
      <c r="B248"/>
      <c r="C248"/>
      <c r="D248"/>
      <c r="E248"/>
      <c r="F248"/>
      <c r="G248"/>
      <c r="H248"/>
      <c r="I248"/>
      <c r="J248"/>
      <c r="K248"/>
      <c r="L248"/>
      <c r="M248"/>
    </row>
    <row r="249" spans="1:13">
      <c r="A249"/>
      <c r="B249"/>
      <c r="C249"/>
      <c r="D249"/>
      <c r="E249"/>
      <c r="F249"/>
      <c r="G249"/>
      <c r="H249"/>
      <c r="I249"/>
      <c r="J249"/>
      <c r="K249"/>
      <c r="L249"/>
      <c r="M249"/>
    </row>
    <row r="250" spans="1:13">
      <c r="A250"/>
      <c r="B250"/>
      <c r="C250"/>
      <c r="D250"/>
      <c r="E250"/>
      <c r="F250"/>
      <c r="G250"/>
      <c r="H250"/>
      <c r="I250"/>
      <c r="J250"/>
      <c r="K250"/>
      <c r="L250"/>
      <c r="M250"/>
    </row>
    <row r="251" spans="1:13">
      <c r="A251"/>
      <c r="B251"/>
      <c r="C251"/>
      <c r="D251"/>
      <c r="E251"/>
      <c r="F251"/>
      <c r="G251"/>
      <c r="H251"/>
      <c r="I251"/>
      <c r="J251"/>
      <c r="K251"/>
      <c r="L251"/>
      <c r="M251"/>
    </row>
    <row r="252" spans="1:13">
      <c r="A252"/>
      <c r="B252"/>
      <c r="C252"/>
      <c r="D252"/>
      <c r="E252"/>
      <c r="F252"/>
      <c r="G252"/>
      <c r="H252"/>
      <c r="I252"/>
      <c r="J252"/>
      <c r="K252"/>
      <c r="L252"/>
      <c r="M252"/>
    </row>
    <row r="253" spans="1:13">
      <c r="A253" s="19"/>
      <c r="B253" s="19"/>
      <c r="C253" s="19"/>
      <c r="D253" s="19"/>
      <c r="E253" s="19"/>
      <c r="F253" s="19"/>
      <c r="G253" s="19"/>
      <c r="H253" s="19"/>
      <c r="I253" s="19"/>
      <c r="J253" s="19"/>
      <c r="K253" s="19"/>
      <c r="L253" s="19"/>
      <c r="M253"/>
    </row>
    <row r="254" spans="1:13">
      <c r="A254"/>
      <c r="B254"/>
      <c r="C254"/>
      <c r="D254"/>
      <c r="E254"/>
      <c r="F254"/>
      <c r="G254"/>
      <c r="H254"/>
      <c r="I254"/>
      <c r="J254"/>
      <c r="K254"/>
      <c r="L254"/>
      <c r="M254"/>
    </row>
    <row r="255" spans="1:13">
      <c r="A255"/>
      <c r="B255"/>
      <c r="C255"/>
      <c r="D255"/>
      <c r="E255"/>
      <c r="F255"/>
      <c r="G255"/>
      <c r="H255"/>
      <c r="I255"/>
      <c r="J255"/>
      <c r="K255"/>
      <c r="L255"/>
      <c r="M255"/>
    </row>
    <row r="256" spans="1:13">
      <c r="A256"/>
      <c r="B256"/>
      <c r="C256"/>
      <c r="D256"/>
      <c r="E256"/>
      <c r="F256"/>
      <c r="G256"/>
      <c r="H256"/>
      <c r="I256"/>
      <c r="J256"/>
      <c r="K256"/>
      <c r="L256"/>
      <c r="M256"/>
    </row>
    <row r="257" spans="1:13">
      <c r="A257"/>
      <c r="B257"/>
      <c r="C257"/>
      <c r="D257"/>
      <c r="E257"/>
      <c r="F257"/>
      <c r="G257"/>
      <c r="H257"/>
      <c r="I257"/>
      <c r="J257"/>
      <c r="K257"/>
      <c r="L257"/>
      <c r="M257"/>
    </row>
    <row r="258" spans="1:13">
      <c r="A258"/>
      <c r="B258"/>
      <c r="C258"/>
      <c r="D258"/>
      <c r="E258"/>
      <c r="F258"/>
      <c r="G258"/>
      <c r="H258"/>
      <c r="I258"/>
      <c r="J258"/>
      <c r="K258"/>
      <c r="L258"/>
      <c r="M258"/>
    </row>
    <row r="259" spans="1:13">
      <c r="A259"/>
      <c r="B259"/>
      <c r="C259"/>
      <c r="D259"/>
      <c r="E259"/>
      <c r="F259"/>
      <c r="G259"/>
      <c r="H259"/>
      <c r="I259"/>
      <c r="J259"/>
      <c r="K259"/>
      <c r="L259"/>
      <c r="M259"/>
    </row>
    <row r="260" spans="1:13">
      <c r="A260"/>
      <c r="B260"/>
      <c r="C260"/>
      <c r="D260"/>
      <c r="E260"/>
      <c r="F260"/>
      <c r="G260"/>
      <c r="H260"/>
      <c r="I260"/>
      <c r="J260"/>
      <c r="K260"/>
      <c r="L260"/>
      <c r="M260"/>
    </row>
    <row r="261" spans="1:13">
      <c r="A261"/>
      <c r="B261"/>
      <c r="C261"/>
      <c r="D261"/>
      <c r="E261"/>
      <c r="F261"/>
      <c r="G261"/>
      <c r="H261"/>
      <c r="I261"/>
      <c r="J261"/>
      <c r="K261"/>
      <c r="L261"/>
      <c r="M261"/>
    </row>
    <row r="262" spans="1:13">
      <c r="A262"/>
      <c r="B262"/>
      <c r="C262"/>
      <c r="D262"/>
      <c r="E262"/>
      <c r="F262"/>
      <c r="G262"/>
      <c r="H262"/>
      <c r="I262"/>
      <c r="J262"/>
      <c r="K262"/>
      <c r="L262"/>
      <c r="M262"/>
    </row>
    <row r="263" spans="1:13">
      <c r="A263"/>
      <c r="B263"/>
      <c r="C263"/>
      <c r="D263"/>
      <c r="E263"/>
      <c r="F263"/>
      <c r="G263"/>
      <c r="H263"/>
      <c r="I263"/>
      <c r="J263"/>
      <c r="K263"/>
      <c r="L263"/>
      <c r="M263"/>
    </row>
    <row r="264" spans="1:13">
      <c r="A264"/>
      <c r="B264"/>
      <c r="C264"/>
      <c r="D264"/>
      <c r="E264"/>
      <c r="F264"/>
      <c r="G264"/>
      <c r="H264"/>
      <c r="I264"/>
      <c r="J264"/>
      <c r="K264"/>
      <c r="L264"/>
      <c r="M264"/>
    </row>
    <row r="265" spans="1:13">
      <c r="A265"/>
      <c r="B265"/>
      <c r="C265"/>
      <c r="D265"/>
      <c r="E265"/>
      <c r="F265"/>
      <c r="G265"/>
      <c r="H265"/>
      <c r="I265"/>
      <c r="J265"/>
      <c r="K265"/>
      <c r="L265"/>
      <c r="M265"/>
    </row>
    <row r="266" spans="1:13">
      <c r="A266"/>
      <c r="B266"/>
      <c r="C266"/>
      <c r="D266"/>
      <c r="E266"/>
      <c r="F266"/>
      <c r="G266"/>
      <c r="H266"/>
      <c r="I266"/>
      <c r="J266"/>
      <c r="K266"/>
      <c r="L266"/>
      <c r="M266"/>
    </row>
    <row r="267" spans="1:13">
      <c r="A267"/>
      <c r="B267"/>
      <c r="C267"/>
      <c r="D267"/>
      <c r="E267"/>
      <c r="F267"/>
      <c r="G267"/>
      <c r="H267"/>
      <c r="I267"/>
      <c r="J267"/>
      <c r="K267"/>
      <c r="L267"/>
      <c r="M267"/>
    </row>
    <row r="268" spans="1:13">
      <c r="A268" s="19"/>
      <c r="B268" s="19"/>
      <c r="C268" s="19"/>
      <c r="D268" s="19"/>
      <c r="E268" s="19"/>
      <c r="F268" s="19"/>
      <c r="G268" s="19"/>
      <c r="H268" s="19"/>
      <c r="I268" s="19"/>
      <c r="J268" s="19"/>
      <c r="K268" s="19"/>
      <c r="L268" s="19"/>
      <c r="M268"/>
    </row>
    <row r="269" spans="1:13">
      <c r="A269"/>
      <c r="B269"/>
      <c r="C269"/>
      <c r="D269"/>
      <c r="E269"/>
      <c r="F269"/>
      <c r="G269"/>
      <c r="H269"/>
      <c r="I269"/>
      <c r="J269"/>
      <c r="K269"/>
      <c r="L269"/>
      <c r="M269"/>
    </row>
    <row r="270" spans="1:13">
      <c r="A270"/>
      <c r="B270"/>
      <c r="C270"/>
      <c r="D270"/>
      <c r="E270"/>
      <c r="F270"/>
      <c r="G270"/>
      <c r="H270"/>
      <c r="I270"/>
      <c r="J270"/>
      <c r="K270"/>
      <c r="L270"/>
      <c r="M270"/>
    </row>
    <row r="271" spans="1:13">
      <c r="A271"/>
      <c r="B271"/>
      <c r="C271"/>
      <c r="D271"/>
      <c r="E271"/>
      <c r="F271"/>
      <c r="G271"/>
      <c r="H271"/>
      <c r="I271"/>
      <c r="J271"/>
      <c r="K271"/>
      <c r="L271"/>
      <c r="M271"/>
    </row>
    <row r="272" spans="1:13">
      <c r="A272"/>
      <c r="B272"/>
      <c r="C272"/>
      <c r="D272"/>
      <c r="E272"/>
      <c r="F272"/>
      <c r="G272"/>
      <c r="H272"/>
      <c r="I272"/>
      <c r="J272"/>
      <c r="K272"/>
      <c r="L272"/>
      <c r="M272"/>
    </row>
    <row r="273" spans="1:13">
      <c r="A273"/>
      <c r="B273"/>
      <c r="C273"/>
      <c r="D273"/>
      <c r="E273"/>
      <c r="F273"/>
      <c r="G273"/>
      <c r="H273"/>
      <c r="I273"/>
      <c r="J273"/>
      <c r="K273"/>
      <c r="L273"/>
      <c r="M273"/>
    </row>
    <row r="274" spans="1:13">
      <c r="A274"/>
      <c r="B274"/>
      <c r="C274"/>
      <c r="D274"/>
      <c r="E274"/>
      <c r="F274"/>
      <c r="G274"/>
      <c r="H274"/>
      <c r="I274"/>
      <c r="J274"/>
      <c r="K274"/>
      <c r="L274"/>
      <c r="M274"/>
    </row>
    <row r="275" spans="1:13">
      <c r="A275"/>
      <c r="B275"/>
      <c r="C275"/>
      <c r="D275"/>
      <c r="E275"/>
      <c r="F275"/>
      <c r="G275"/>
      <c r="H275"/>
      <c r="I275"/>
      <c r="J275"/>
      <c r="K275"/>
      <c r="L275"/>
      <c r="M275"/>
    </row>
    <row r="276" spans="1:13">
      <c r="A276"/>
      <c r="B276"/>
      <c r="C276"/>
      <c r="D276"/>
      <c r="E276"/>
      <c r="F276"/>
      <c r="G276"/>
      <c r="H276"/>
      <c r="I276"/>
      <c r="J276"/>
      <c r="K276"/>
      <c r="L276"/>
      <c r="M276"/>
    </row>
    <row r="277" spans="1:13">
      <c r="A277"/>
      <c r="B277"/>
      <c r="C277"/>
      <c r="D277"/>
      <c r="E277"/>
      <c r="F277"/>
      <c r="G277"/>
      <c r="H277"/>
      <c r="I277"/>
      <c r="J277"/>
      <c r="K277"/>
      <c r="L277"/>
      <c r="M277"/>
    </row>
    <row r="278" spans="1:13">
      <c r="A278"/>
      <c r="B278"/>
      <c r="C278"/>
      <c r="D278"/>
      <c r="E278"/>
      <c r="F278"/>
      <c r="G278"/>
      <c r="H278"/>
      <c r="I278"/>
      <c r="J278"/>
      <c r="K278"/>
      <c r="L278"/>
      <c r="M278"/>
    </row>
    <row r="279" spans="1:13">
      <c r="A279"/>
      <c r="B279"/>
      <c r="C279"/>
      <c r="D279"/>
      <c r="E279"/>
      <c r="F279"/>
      <c r="G279"/>
      <c r="H279"/>
      <c r="I279"/>
      <c r="J279"/>
      <c r="K279"/>
      <c r="L279"/>
      <c r="M279"/>
    </row>
    <row r="280" spans="1:13">
      <c r="A280"/>
      <c r="B280"/>
      <c r="C280"/>
      <c r="D280"/>
      <c r="E280"/>
      <c r="F280"/>
      <c r="G280"/>
      <c r="H280"/>
      <c r="I280"/>
      <c r="J280"/>
      <c r="K280"/>
      <c r="L280"/>
      <c r="M280"/>
    </row>
    <row r="281" spans="1:13">
      <c r="A281"/>
      <c r="B281"/>
      <c r="C281"/>
      <c r="D281"/>
      <c r="E281"/>
      <c r="F281"/>
      <c r="G281"/>
      <c r="H281"/>
      <c r="I281"/>
      <c r="J281"/>
      <c r="K281"/>
      <c r="L281"/>
      <c r="M281"/>
    </row>
    <row r="282" spans="1:13">
      <c r="A282"/>
      <c r="B282"/>
      <c r="C282"/>
      <c r="D282"/>
      <c r="E282"/>
      <c r="F282"/>
      <c r="G282"/>
      <c r="H282"/>
      <c r="I282"/>
      <c r="J282"/>
      <c r="K282"/>
      <c r="L282"/>
      <c r="M282"/>
    </row>
    <row r="283" spans="1:13">
      <c r="A283"/>
      <c r="B283"/>
      <c r="C283"/>
      <c r="D283"/>
      <c r="E283"/>
      <c r="F283"/>
      <c r="G283"/>
      <c r="H283"/>
      <c r="I283"/>
      <c r="J283"/>
      <c r="K283"/>
      <c r="L283"/>
      <c r="M283"/>
    </row>
    <row r="284" spans="1:13">
      <c r="A284"/>
      <c r="B284"/>
      <c r="C284"/>
      <c r="D284"/>
      <c r="E284"/>
      <c r="F284"/>
      <c r="G284"/>
      <c r="H284"/>
      <c r="I284"/>
      <c r="J284"/>
      <c r="K284"/>
      <c r="L284"/>
      <c r="M284"/>
    </row>
    <row r="285" spans="1:13">
      <c r="A285"/>
      <c r="B285"/>
      <c r="C285"/>
      <c r="D285"/>
      <c r="E285"/>
      <c r="F285"/>
      <c r="G285"/>
      <c r="H285"/>
      <c r="I285"/>
      <c r="J285"/>
      <c r="K285"/>
      <c r="L285"/>
      <c r="M285"/>
    </row>
    <row r="286" spans="1:13">
      <c r="A286"/>
      <c r="B286"/>
      <c r="C286"/>
      <c r="D286"/>
      <c r="E286"/>
      <c r="F286"/>
      <c r="G286"/>
      <c r="H286"/>
      <c r="I286"/>
      <c r="J286"/>
      <c r="K286"/>
      <c r="L286"/>
      <c r="M286"/>
    </row>
    <row r="287" spans="1:13">
      <c r="A287"/>
      <c r="B287"/>
      <c r="C287"/>
      <c r="D287"/>
      <c r="E287"/>
      <c r="F287"/>
      <c r="G287"/>
      <c r="H287"/>
      <c r="I287"/>
      <c r="J287"/>
      <c r="K287"/>
      <c r="L287"/>
      <c r="M287"/>
    </row>
    <row r="288" spans="1:13">
      <c r="A288"/>
      <c r="B288"/>
      <c r="C288"/>
      <c r="D288"/>
      <c r="E288"/>
      <c r="F288"/>
      <c r="G288"/>
      <c r="H288"/>
      <c r="I288"/>
      <c r="J288"/>
      <c r="K288"/>
      <c r="L288"/>
      <c r="M288"/>
    </row>
    <row r="289" spans="1:13">
      <c r="A289"/>
      <c r="B289"/>
      <c r="C289"/>
      <c r="D289"/>
      <c r="E289"/>
      <c r="F289"/>
      <c r="G289"/>
      <c r="H289"/>
      <c r="I289"/>
      <c r="J289"/>
      <c r="K289"/>
      <c r="L289"/>
      <c r="M289"/>
    </row>
    <row r="290" spans="1:13">
      <c r="A290"/>
      <c r="B290"/>
      <c r="C290"/>
      <c r="D290"/>
      <c r="E290"/>
      <c r="F290"/>
      <c r="G290"/>
      <c r="H290"/>
      <c r="I290"/>
      <c r="J290"/>
      <c r="K290"/>
      <c r="L290"/>
      <c r="M290"/>
    </row>
    <row r="291" spans="1:13">
      <c r="A291"/>
      <c r="B291"/>
      <c r="C291"/>
      <c r="D291"/>
      <c r="E291"/>
      <c r="F291"/>
      <c r="G291"/>
      <c r="H291"/>
      <c r="I291"/>
      <c r="J291"/>
      <c r="K291"/>
      <c r="L291"/>
      <c r="M291"/>
    </row>
    <row r="292" spans="1:13">
      <c r="A292"/>
      <c r="B292"/>
      <c r="C292"/>
      <c r="D292"/>
      <c r="E292"/>
      <c r="F292"/>
      <c r="G292"/>
      <c r="H292"/>
      <c r="I292"/>
      <c r="J292"/>
      <c r="K292"/>
      <c r="L292"/>
      <c r="M292"/>
    </row>
    <row r="293" spans="1:13">
      <c r="A293"/>
      <c r="B293"/>
      <c r="C293"/>
      <c r="D293"/>
      <c r="E293"/>
      <c r="F293"/>
      <c r="G293"/>
      <c r="H293"/>
      <c r="I293"/>
      <c r="J293"/>
      <c r="K293"/>
      <c r="L293"/>
      <c r="M293"/>
    </row>
    <row r="294" spans="1:13">
      <c r="A294"/>
      <c r="B294"/>
      <c r="C294"/>
      <c r="D294"/>
      <c r="E294"/>
      <c r="F294"/>
      <c r="G294"/>
      <c r="H294"/>
      <c r="I294"/>
      <c r="J294"/>
      <c r="K294"/>
      <c r="L294"/>
      <c r="M294"/>
    </row>
    <row r="295" spans="1:13">
      <c r="A295"/>
      <c r="B295"/>
      <c r="C295"/>
      <c r="D295"/>
      <c r="E295"/>
      <c r="F295"/>
      <c r="G295"/>
      <c r="H295"/>
      <c r="I295"/>
      <c r="J295"/>
      <c r="K295"/>
      <c r="L295"/>
      <c r="M295"/>
    </row>
    <row r="296" spans="1:13">
      <c r="A296"/>
      <c r="B296"/>
      <c r="C296"/>
      <c r="D296"/>
      <c r="E296"/>
      <c r="F296"/>
      <c r="G296"/>
      <c r="H296"/>
      <c r="I296"/>
      <c r="J296"/>
      <c r="K296"/>
      <c r="L296"/>
      <c r="M296"/>
    </row>
    <row r="297" spans="1:13">
      <c r="A297"/>
      <c r="B297"/>
      <c r="C297"/>
      <c r="D297"/>
      <c r="E297"/>
      <c r="F297"/>
      <c r="G297"/>
      <c r="H297"/>
      <c r="I297"/>
      <c r="J297"/>
      <c r="K297"/>
      <c r="L297"/>
      <c r="M297"/>
    </row>
    <row r="298" spans="1:13">
      <c r="A298"/>
      <c r="B298"/>
      <c r="C298"/>
      <c r="D298"/>
      <c r="E298"/>
      <c r="F298"/>
      <c r="G298"/>
      <c r="H298"/>
      <c r="I298"/>
      <c r="J298"/>
      <c r="K298"/>
      <c r="L298"/>
      <c r="M298"/>
    </row>
    <row r="299" spans="1:13">
      <c r="A299"/>
      <c r="B299"/>
      <c r="C299"/>
      <c r="D299"/>
      <c r="E299"/>
      <c r="F299"/>
      <c r="G299"/>
      <c r="H299"/>
      <c r="I299"/>
      <c r="J299"/>
      <c r="K299"/>
      <c r="L299"/>
      <c r="M299"/>
    </row>
    <row r="300" spans="1:13">
      <c r="A300"/>
      <c r="B300"/>
      <c r="C300"/>
      <c r="D300"/>
      <c r="E300"/>
      <c r="F300"/>
      <c r="G300"/>
      <c r="H300"/>
      <c r="I300"/>
      <c r="J300"/>
      <c r="K300"/>
      <c r="L300"/>
      <c r="M300"/>
    </row>
    <row r="301" spans="1:13">
      <c r="A301"/>
      <c r="B301"/>
      <c r="C301"/>
      <c r="D301"/>
      <c r="E301"/>
      <c r="F301"/>
      <c r="G301"/>
      <c r="H301"/>
      <c r="I301"/>
      <c r="J301"/>
      <c r="K301"/>
      <c r="L301"/>
      <c r="M301"/>
    </row>
    <row r="302" spans="1:13">
      <c r="A302"/>
      <c r="B302"/>
      <c r="C302"/>
      <c r="D302"/>
      <c r="E302"/>
      <c r="F302"/>
      <c r="G302"/>
      <c r="H302"/>
      <c r="I302"/>
      <c r="J302"/>
      <c r="K302"/>
      <c r="L302"/>
      <c r="M302"/>
    </row>
    <row r="303" spans="1:13">
      <c r="A303"/>
      <c r="B303"/>
      <c r="C303"/>
      <c r="D303"/>
      <c r="E303"/>
      <c r="F303"/>
      <c r="G303"/>
      <c r="H303"/>
      <c r="I303"/>
      <c r="J303"/>
      <c r="K303"/>
      <c r="L303"/>
      <c r="M303"/>
    </row>
    <row r="304" spans="1:13">
      <c r="A304"/>
      <c r="B304"/>
      <c r="C304"/>
      <c r="D304"/>
      <c r="E304"/>
      <c r="F304"/>
      <c r="G304"/>
      <c r="H304"/>
      <c r="I304"/>
      <c r="J304"/>
      <c r="K304"/>
      <c r="L304"/>
      <c r="M304"/>
    </row>
    <row r="305" spans="1:13">
      <c r="A305"/>
      <c r="B305"/>
      <c r="C305"/>
      <c r="D305"/>
      <c r="E305"/>
      <c r="F305"/>
      <c r="G305"/>
      <c r="H305"/>
      <c r="I305"/>
      <c r="J305"/>
      <c r="K305"/>
      <c r="L305"/>
      <c r="M305"/>
    </row>
    <row r="306" spans="1:13">
      <c r="A306"/>
      <c r="B306"/>
      <c r="C306"/>
      <c r="D306"/>
      <c r="E306"/>
      <c r="F306"/>
      <c r="G306"/>
      <c r="H306"/>
      <c r="I306"/>
      <c r="J306"/>
      <c r="K306"/>
      <c r="L306"/>
      <c r="M306"/>
    </row>
    <row r="307" spans="1:13">
      <c r="A307"/>
      <c r="B307"/>
      <c r="C307"/>
      <c r="D307"/>
      <c r="E307"/>
      <c r="F307"/>
      <c r="G307"/>
      <c r="H307"/>
      <c r="I307"/>
      <c r="J307"/>
      <c r="K307"/>
      <c r="L307"/>
      <c r="M307"/>
    </row>
    <row r="308" spans="1:13">
      <c r="A308"/>
      <c r="B308"/>
      <c r="C308"/>
      <c r="D308"/>
      <c r="E308"/>
      <c r="F308"/>
      <c r="G308"/>
      <c r="H308"/>
      <c r="I308"/>
      <c r="J308"/>
      <c r="K308"/>
      <c r="L308"/>
      <c r="M308"/>
    </row>
    <row r="309" spans="1:13">
      <c r="A309"/>
      <c r="B309"/>
      <c r="C309"/>
      <c r="D309"/>
      <c r="E309"/>
      <c r="F309"/>
      <c r="G309"/>
      <c r="H309"/>
      <c r="I309"/>
      <c r="J309"/>
      <c r="K309"/>
      <c r="L309"/>
      <c r="M309"/>
    </row>
    <row r="310" spans="1:13">
      <c r="A310"/>
      <c r="B310"/>
      <c r="C310"/>
      <c r="D310"/>
      <c r="E310"/>
      <c r="F310"/>
      <c r="G310"/>
      <c r="H310"/>
      <c r="I310"/>
      <c r="J310"/>
      <c r="K310"/>
      <c r="L310"/>
      <c r="M310"/>
    </row>
    <row r="311" spans="1:13">
      <c r="A311"/>
      <c r="B311"/>
      <c r="C311"/>
      <c r="D311"/>
      <c r="E311"/>
      <c r="F311"/>
      <c r="G311"/>
      <c r="H311"/>
      <c r="I311"/>
      <c r="J311"/>
      <c r="K311"/>
      <c r="L311"/>
      <c r="M311"/>
    </row>
    <row r="312" spans="1:13">
      <c r="A312"/>
      <c r="B312"/>
      <c r="C312"/>
      <c r="D312"/>
      <c r="E312"/>
      <c r="F312"/>
      <c r="G312"/>
      <c r="H312"/>
      <c r="I312"/>
      <c r="J312"/>
      <c r="K312"/>
      <c r="L312"/>
      <c r="M312"/>
    </row>
    <row r="313" spans="1:13">
      <c r="A313"/>
      <c r="B313"/>
      <c r="C313"/>
      <c r="D313"/>
      <c r="E313"/>
      <c r="F313"/>
      <c r="G313"/>
      <c r="H313"/>
      <c r="I313"/>
      <c r="J313"/>
      <c r="K313"/>
      <c r="L313"/>
      <c r="M313"/>
    </row>
    <row r="314" spans="1:13">
      <c r="A314"/>
      <c r="B314"/>
      <c r="C314"/>
      <c r="D314"/>
      <c r="E314"/>
      <c r="F314"/>
      <c r="G314"/>
      <c r="H314"/>
      <c r="I314"/>
      <c r="J314"/>
      <c r="K314"/>
      <c r="L314"/>
      <c r="M314"/>
    </row>
    <row r="315" spans="1:13">
      <c r="A315"/>
      <c r="B315"/>
      <c r="C315"/>
      <c r="D315"/>
      <c r="E315"/>
      <c r="F315"/>
      <c r="G315"/>
      <c r="H315"/>
      <c r="I315"/>
      <c r="J315"/>
      <c r="K315"/>
      <c r="L315"/>
      <c r="M315"/>
    </row>
    <row r="316" spans="1:13">
      <c r="A316"/>
      <c r="B316"/>
      <c r="C316"/>
      <c r="D316"/>
      <c r="E316"/>
      <c r="F316"/>
      <c r="G316"/>
      <c r="H316"/>
      <c r="I316"/>
      <c r="J316"/>
      <c r="K316"/>
      <c r="L316"/>
      <c r="M316"/>
    </row>
    <row r="317" spans="1:13">
      <c r="A317"/>
      <c r="B317"/>
      <c r="C317"/>
      <c r="D317"/>
      <c r="E317"/>
      <c r="F317"/>
      <c r="G317"/>
      <c r="H317"/>
      <c r="I317"/>
      <c r="J317"/>
      <c r="K317"/>
      <c r="L317"/>
      <c r="M317"/>
    </row>
    <row r="318" spans="1:13">
      <c r="A318"/>
      <c r="B318"/>
      <c r="C318"/>
      <c r="D318"/>
      <c r="E318"/>
      <c r="F318"/>
      <c r="G318"/>
      <c r="H318"/>
      <c r="I318"/>
      <c r="J318"/>
      <c r="K318"/>
      <c r="L318"/>
      <c r="M318"/>
    </row>
    <row r="319" spans="1:13">
      <c r="A319"/>
      <c r="B319"/>
      <c r="C319"/>
      <c r="D319"/>
      <c r="E319"/>
      <c r="F319"/>
      <c r="G319"/>
      <c r="H319"/>
      <c r="I319"/>
      <c r="J319"/>
      <c r="K319"/>
      <c r="L319"/>
      <c r="M319"/>
    </row>
    <row r="320" spans="1:13">
      <c r="A320"/>
      <c r="B320"/>
      <c r="C320"/>
      <c r="D320"/>
      <c r="E320"/>
      <c r="F320"/>
      <c r="G320"/>
      <c r="H320"/>
      <c r="I320"/>
      <c r="J320"/>
      <c r="K320"/>
      <c r="L320"/>
      <c r="M320"/>
    </row>
    <row r="321" spans="1:13">
      <c r="A321"/>
      <c r="B321"/>
      <c r="C321"/>
      <c r="D321"/>
      <c r="E321"/>
      <c r="F321"/>
      <c r="G321"/>
      <c r="H321"/>
      <c r="I321"/>
      <c r="J321"/>
      <c r="K321"/>
      <c r="L321"/>
      <c r="M321"/>
    </row>
    <row r="322" spans="1:13">
      <c r="A322"/>
      <c r="B322"/>
      <c r="C322"/>
      <c r="D322"/>
      <c r="E322"/>
      <c r="F322"/>
      <c r="G322"/>
      <c r="H322"/>
      <c r="I322"/>
      <c r="J322"/>
      <c r="K322"/>
      <c r="L322"/>
      <c r="M322"/>
    </row>
    <row r="323" spans="1:13">
      <c r="A323"/>
      <c r="B323"/>
      <c r="C323"/>
      <c r="D323"/>
      <c r="E323"/>
      <c r="F323"/>
      <c r="G323"/>
      <c r="H323"/>
      <c r="I323"/>
      <c r="J323"/>
      <c r="K323"/>
      <c r="L323"/>
      <c r="M323"/>
    </row>
    <row r="324" spans="1:13">
      <c r="A324"/>
      <c r="B324"/>
      <c r="C324"/>
      <c r="D324"/>
      <c r="E324"/>
      <c r="F324"/>
      <c r="G324"/>
      <c r="H324"/>
      <c r="I324"/>
      <c r="J324"/>
      <c r="K324"/>
      <c r="L324"/>
      <c r="M324"/>
    </row>
    <row r="325" spans="1:13">
      <c r="A325"/>
      <c r="B325"/>
      <c r="C325"/>
      <c r="D325"/>
      <c r="E325"/>
      <c r="F325"/>
      <c r="G325"/>
      <c r="H325"/>
      <c r="I325"/>
      <c r="J325"/>
      <c r="K325"/>
      <c r="L325"/>
      <c r="M325"/>
    </row>
    <row r="326" spans="1:13">
      <c r="A326"/>
      <c r="B326"/>
      <c r="C326"/>
      <c r="D326"/>
      <c r="E326"/>
      <c r="F326"/>
      <c r="G326"/>
      <c r="H326"/>
      <c r="I326"/>
      <c r="J326"/>
      <c r="K326"/>
      <c r="L326"/>
      <c r="M326"/>
    </row>
    <row r="327" spans="1:13">
      <c r="A327"/>
      <c r="B327"/>
      <c r="C327"/>
      <c r="D327"/>
      <c r="E327"/>
      <c r="F327"/>
      <c r="G327"/>
      <c r="H327"/>
      <c r="I327"/>
      <c r="J327"/>
      <c r="K327"/>
      <c r="L327"/>
      <c r="M327"/>
    </row>
    <row r="328" spans="1:13">
      <c r="A328"/>
      <c r="B328"/>
      <c r="C328"/>
      <c r="D328"/>
      <c r="E328"/>
      <c r="F328"/>
      <c r="G328"/>
      <c r="H328"/>
      <c r="I328"/>
      <c r="J328"/>
      <c r="K328"/>
      <c r="L328"/>
      <c r="M328"/>
    </row>
    <row r="329" spans="1:13">
      <c r="A329"/>
      <c r="B329"/>
      <c r="C329"/>
      <c r="D329"/>
      <c r="E329"/>
      <c r="F329"/>
      <c r="G329"/>
      <c r="H329"/>
      <c r="I329"/>
      <c r="J329"/>
      <c r="K329"/>
      <c r="L329"/>
      <c r="M329"/>
    </row>
    <row r="330" spans="1:13">
      <c r="A330"/>
      <c r="B330"/>
      <c r="C330"/>
      <c r="D330"/>
      <c r="E330"/>
      <c r="F330"/>
      <c r="G330"/>
      <c r="H330"/>
      <c r="I330"/>
      <c r="J330"/>
      <c r="K330"/>
      <c r="L330"/>
      <c r="M330"/>
    </row>
    <row r="331" spans="1:13">
      <c r="A331"/>
      <c r="B331"/>
      <c r="C331"/>
      <c r="D331"/>
      <c r="E331"/>
      <c r="F331"/>
      <c r="G331"/>
      <c r="H331"/>
      <c r="I331"/>
      <c r="J331"/>
      <c r="K331"/>
      <c r="L331"/>
      <c r="M331"/>
    </row>
    <row r="332" spans="1:13">
      <c r="A332"/>
      <c r="B332"/>
      <c r="C332"/>
      <c r="D332"/>
      <c r="E332"/>
      <c r="F332"/>
      <c r="G332"/>
      <c r="H332"/>
      <c r="I332"/>
      <c r="J332"/>
      <c r="K332"/>
      <c r="L332"/>
      <c r="M332"/>
    </row>
    <row r="333" spans="1:13">
      <c r="A333"/>
      <c r="B333"/>
      <c r="C333"/>
      <c r="D333"/>
      <c r="E333"/>
      <c r="F333"/>
      <c r="G333"/>
      <c r="H333"/>
      <c r="I333"/>
      <c r="J333"/>
      <c r="K333"/>
      <c r="L333"/>
      <c r="M333"/>
    </row>
    <row r="334" spans="1:13">
      <c r="A334"/>
      <c r="B334"/>
      <c r="C334"/>
      <c r="D334"/>
      <c r="E334"/>
      <c r="F334"/>
      <c r="G334"/>
      <c r="H334"/>
      <c r="I334"/>
      <c r="J334"/>
      <c r="K334"/>
      <c r="L334"/>
      <c r="M334"/>
    </row>
    <row r="335" spans="1:13">
      <c r="A335"/>
      <c r="B335"/>
      <c r="C335"/>
      <c r="D335"/>
      <c r="E335"/>
      <c r="F335"/>
      <c r="G335"/>
      <c r="H335"/>
      <c r="I335"/>
      <c r="J335"/>
      <c r="K335"/>
      <c r="L335"/>
      <c r="M335"/>
    </row>
    <row r="336" spans="1:13">
      <c r="A336"/>
      <c r="B336"/>
      <c r="C336"/>
      <c r="D336"/>
      <c r="E336"/>
      <c r="F336"/>
      <c r="G336"/>
      <c r="H336"/>
      <c r="I336"/>
      <c r="J336"/>
      <c r="K336"/>
      <c r="L336"/>
      <c r="M336"/>
    </row>
    <row r="337" spans="1:18">
      <c r="A337"/>
      <c r="B337"/>
      <c r="C337"/>
      <c r="D337"/>
      <c r="E337"/>
      <c r="F337"/>
      <c r="G337"/>
      <c r="H337"/>
      <c r="I337"/>
      <c r="J337"/>
      <c r="K337"/>
      <c r="L337"/>
      <c r="M337"/>
    </row>
    <row r="338" spans="1:18">
      <c r="A338"/>
      <c r="B338"/>
      <c r="C338"/>
      <c r="D338"/>
      <c r="E338"/>
      <c r="F338"/>
      <c r="G338"/>
      <c r="H338"/>
      <c r="I338"/>
      <c r="J338"/>
      <c r="K338"/>
      <c r="L338"/>
      <c r="M338"/>
    </row>
    <row r="339" spans="1:18">
      <c r="A339"/>
      <c r="B339"/>
      <c r="C339"/>
      <c r="D339"/>
      <c r="E339"/>
      <c r="F339"/>
      <c r="G339"/>
      <c r="H339"/>
      <c r="I339"/>
      <c r="J339"/>
      <c r="K339"/>
      <c r="L339"/>
      <c r="M339"/>
    </row>
    <row r="340" spans="1:18">
      <c r="A340"/>
      <c r="B340"/>
      <c r="C340"/>
      <c r="D340"/>
      <c r="E340"/>
      <c r="F340"/>
      <c r="G340"/>
      <c r="H340"/>
      <c r="I340"/>
      <c r="J340"/>
      <c r="K340"/>
      <c r="L340"/>
      <c r="M340"/>
    </row>
    <row r="341" spans="1:18">
      <c r="A341"/>
      <c r="B341"/>
      <c r="C341"/>
      <c r="D341"/>
      <c r="E341"/>
      <c r="F341"/>
      <c r="G341"/>
      <c r="H341"/>
      <c r="I341"/>
      <c r="J341"/>
      <c r="K341"/>
      <c r="L341"/>
      <c r="M341"/>
    </row>
    <row r="342" spans="1:18">
      <c r="A342"/>
      <c r="B342"/>
      <c r="C342"/>
      <c r="D342"/>
      <c r="E342"/>
      <c r="F342"/>
      <c r="G342"/>
      <c r="H342"/>
      <c r="I342"/>
      <c r="J342"/>
      <c r="K342"/>
      <c r="L342"/>
      <c r="M342"/>
    </row>
    <row r="343" spans="1:18">
      <c r="A343"/>
      <c r="B343"/>
      <c r="C343"/>
      <c r="D343"/>
      <c r="E343"/>
      <c r="F343"/>
      <c r="G343"/>
      <c r="H343"/>
      <c r="I343"/>
      <c r="J343"/>
      <c r="K343"/>
      <c r="L343"/>
      <c r="M343"/>
    </row>
    <row r="344" spans="1:18">
      <c r="A344"/>
      <c r="B344"/>
      <c r="C344"/>
      <c r="D344"/>
      <c r="E344"/>
      <c r="F344"/>
      <c r="G344"/>
      <c r="H344"/>
      <c r="I344"/>
      <c r="J344"/>
      <c r="K344"/>
      <c r="L344"/>
      <c r="M344"/>
    </row>
    <row r="345" spans="1:18">
      <c r="A345"/>
      <c r="B345"/>
      <c r="C345"/>
      <c r="D345"/>
      <c r="E345"/>
      <c r="F345"/>
      <c r="G345"/>
      <c r="H345"/>
      <c r="I345"/>
      <c r="J345"/>
      <c r="K345"/>
      <c r="L345"/>
      <c r="M345"/>
    </row>
    <row r="347" spans="1:18" ht="14.15">
      <c r="A347" s="1695" t="s">
        <v>957</v>
      </c>
      <c r="B347" s="1696"/>
      <c r="C347" s="1696"/>
      <c r="D347" s="1696"/>
      <c r="E347" s="1696"/>
      <c r="F347" s="1696"/>
      <c r="G347" s="1696"/>
      <c r="H347" s="1696"/>
      <c r="I347" s="1696"/>
      <c r="J347" s="1696"/>
      <c r="K347" s="1696"/>
      <c r="L347" s="1696"/>
      <c r="M347" s="1696"/>
      <c r="N347" s="1696"/>
      <c r="O347" s="1696"/>
      <c r="P347" s="1696"/>
      <c r="Q347" s="1696"/>
      <c r="R347" s="1697"/>
    </row>
    <row r="349" spans="1:18">
      <c r="A349"/>
      <c r="B349"/>
      <c r="C349"/>
      <c r="D349"/>
      <c r="E349"/>
      <c r="F349"/>
      <c r="G349"/>
      <c r="H349"/>
      <c r="I349"/>
      <c r="J349"/>
      <c r="K349"/>
      <c r="L349"/>
      <c r="M349"/>
    </row>
    <row r="350" spans="1:18">
      <c r="A350"/>
      <c r="B350"/>
      <c r="C350"/>
      <c r="D350"/>
      <c r="E350"/>
      <c r="F350"/>
      <c r="G350"/>
      <c r="H350"/>
      <c r="I350"/>
      <c r="J350"/>
      <c r="K350"/>
      <c r="L350"/>
      <c r="M350"/>
    </row>
    <row r="351" spans="1:18">
      <c r="A351"/>
      <c r="B351"/>
      <c r="C351"/>
      <c r="D351"/>
      <c r="E351"/>
      <c r="F351"/>
      <c r="G351"/>
      <c r="H351"/>
      <c r="I351"/>
      <c r="J351"/>
      <c r="K351"/>
      <c r="L351"/>
      <c r="M351"/>
    </row>
    <row r="352" spans="1:18">
      <c r="A352"/>
      <c r="B352"/>
      <c r="C352"/>
      <c r="D352"/>
      <c r="E352"/>
      <c r="F352"/>
      <c r="G352"/>
      <c r="H352"/>
      <c r="I352"/>
      <c r="J352"/>
      <c r="K352"/>
      <c r="L352"/>
      <c r="M352"/>
    </row>
    <row r="353" spans="1:13">
      <c r="A353"/>
      <c r="B353"/>
      <c r="C353"/>
      <c r="D353"/>
      <c r="E353"/>
      <c r="F353"/>
      <c r="G353"/>
      <c r="H353"/>
      <c r="I353"/>
      <c r="J353"/>
      <c r="K353"/>
      <c r="L353"/>
      <c r="M353"/>
    </row>
    <row r="354" spans="1:13">
      <c r="A354"/>
      <c r="B354"/>
      <c r="C354"/>
      <c r="D354"/>
      <c r="E354"/>
      <c r="F354"/>
      <c r="G354"/>
      <c r="H354"/>
      <c r="I354"/>
      <c r="J354"/>
      <c r="K354"/>
      <c r="L354"/>
      <c r="M354"/>
    </row>
    <row r="355" spans="1:13">
      <c r="A355"/>
      <c r="B355"/>
      <c r="C355"/>
      <c r="D355"/>
      <c r="E355"/>
      <c r="F355"/>
      <c r="G355"/>
      <c r="H355"/>
      <c r="I355"/>
      <c r="J355"/>
      <c r="K355"/>
      <c r="L355"/>
      <c r="M355"/>
    </row>
    <row r="356" spans="1:13">
      <c r="A356"/>
      <c r="B356"/>
      <c r="C356"/>
      <c r="D356"/>
      <c r="E356"/>
      <c r="F356"/>
      <c r="G356"/>
      <c r="H356"/>
      <c r="I356"/>
      <c r="J356"/>
      <c r="K356"/>
      <c r="L356"/>
      <c r="M356"/>
    </row>
    <row r="357" spans="1:13">
      <c r="A357"/>
      <c r="B357"/>
      <c r="C357"/>
      <c r="D357"/>
      <c r="E357"/>
      <c r="F357"/>
      <c r="G357"/>
      <c r="H357"/>
      <c r="I357"/>
      <c r="J357"/>
      <c r="K357"/>
      <c r="L357"/>
      <c r="M357"/>
    </row>
    <row r="358" spans="1:13">
      <c r="A358"/>
      <c r="B358"/>
      <c r="C358"/>
      <c r="D358"/>
      <c r="E358"/>
      <c r="F358"/>
      <c r="G358"/>
      <c r="H358"/>
      <c r="I358"/>
      <c r="J358"/>
      <c r="K358"/>
      <c r="L358"/>
      <c r="M358"/>
    </row>
    <row r="359" spans="1:13">
      <c r="A359"/>
      <c r="B359"/>
      <c r="C359"/>
      <c r="D359"/>
      <c r="E359"/>
      <c r="F359"/>
      <c r="G359"/>
      <c r="H359"/>
      <c r="I359"/>
      <c r="J359"/>
      <c r="K359"/>
      <c r="L359"/>
      <c r="M359"/>
    </row>
    <row r="360" spans="1:13">
      <c r="A360"/>
      <c r="B360"/>
      <c r="C360"/>
      <c r="D360"/>
      <c r="E360"/>
      <c r="F360"/>
      <c r="G360"/>
      <c r="H360"/>
      <c r="I360"/>
      <c r="J360"/>
      <c r="K360"/>
      <c r="L360"/>
      <c r="M360"/>
    </row>
    <row r="361" spans="1:13">
      <c r="A361"/>
      <c r="B361"/>
      <c r="C361"/>
      <c r="D361"/>
      <c r="E361"/>
      <c r="F361"/>
      <c r="G361"/>
      <c r="H361"/>
      <c r="I361"/>
      <c r="J361"/>
      <c r="K361"/>
      <c r="L361"/>
      <c r="M361"/>
    </row>
    <row r="362" spans="1:13">
      <c r="A362"/>
      <c r="B362"/>
      <c r="C362"/>
      <c r="D362"/>
      <c r="E362"/>
      <c r="F362"/>
      <c r="G362"/>
      <c r="H362"/>
      <c r="I362"/>
      <c r="J362"/>
      <c r="K362"/>
      <c r="L362"/>
      <c r="M362"/>
    </row>
    <row r="363" spans="1:13">
      <c r="A363"/>
      <c r="B363"/>
      <c r="C363"/>
      <c r="D363"/>
      <c r="E363"/>
      <c r="F363"/>
      <c r="G363"/>
      <c r="H363"/>
      <c r="I363"/>
      <c r="J363"/>
      <c r="K363"/>
      <c r="L363"/>
      <c r="M363"/>
    </row>
    <row r="364" spans="1:13">
      <c r="A364"/>
      <c r="B364"/>
      <c r="C364"/>
      <c r="D364"/>
      <c r="E364"/>
      <c r="F364"/>
      <c r="G364"/>
      <c r="H364"/>
      <c r="I364"/>
      <c r="J364"/>
      <c r="K364"/>
      <c r="L364"/>
      <c r="M364"/>
    </row>
    <row r="365" spans="1:13">
      <c r="A365"/>
      <c r="B365"/>
      <c r="C365"/>
      <c r="D365"/>
      <c r="E365"/>
      <c r="F365"/>
      <c r="G365"/>
      <c r="H365"/>
      <c r="I365"/>
      <c r="J365"/>
      <c r="K365"/>
      <c r="L365"/>
      <c r="M365"/>
    </row>
    <row r="366" spans="1:13">
      <c r="A366"/>
      <c r="B366"/>
      <c r="C366"/>
      <c r="D366"/>
      <c r="E366"/>
      <c r="F366"/>
      <c r="G366"/>
      <c r="H366"/>
      <c r="I366"/>
      <c r="J366"/>
      <c r="K366"/>
      <c r="L366"/>
      <c r="M366"/>
    </row>
    <row r="367" spans="1:13">
      <c r="A367"/>
      <c r="B367"/>
      <c r="C367"/>
      <c r="D367"/>
      <c r="E367"/>
      <c r="F367"/>
      <c r="G367"/>
      <c r="H367"/>
      <c r="I367"/>
      <c r="J367"/>
      <c r="K367"/>
      <c r="L367"/>
      <c r="M367"/>
    </row>
    <row r="368" spans="1:13">
      <c r="A368"/>
      <c r="B368"/>
      <c r="C368"/>
      <c r="D368"/>
      <c r="E368"/>
      <c r="F368"/>
      <c r="G368"/>
      <c r="H368"/>
      <c r="I368"/>
      <c r="J368"/>
      <c r="K368"/>
      <c r="L368"/>
      <c r="M368"/>
    </row>
    <row r="369" spans="1:13">
      <c r="A369"/>
      <c r="B369"/>
      <c r="C369"/>
      <c r="D369"/>
      <c r="E369"/>
      <c r="F369"/>
      <c r="G369"/>
      <c r="H369"/>
      <c r="I369"/>
      <c r="J369"/>
      <c r="K369"/>
      <c r="L369"/>
      <c r="M369"/>
    </row>
    <row r="370" spans="1:13">
      <c r="A370"/>
      <c r="B370"/>
      <c r="C370"/>
      <c r="D370"/>
      <c r="E370"/>
      <c r="F370"/>
      <c r="G370"/>
      <c r="H370"/>
      <c r="I370"/>
      <c r="J370"/>
      <c r="K370"/>
      <c r="L370"/>
      <c r="M370"/>
    </row>
    <row r="371" spans="1:13">
      <c r="A371"/>
      <c r="B371"/>
      <c r="C371"/>
      <c r="D371"/>
      <c r="E371"/>
      <c r="F371"/>
      <c r="G371"/>
      <c r="H371"/>
      <c r="I371"/>
      <c r="J371"/>
      <c r="K371"/>
      <c r="L371"/>
      <c r="M371"/>
    </row>
    <row r="372" spans="1:13">
      <c r="A372"/>
      <c r="B372"/>
      <c r="C372"/>
      <c r="D372"/>
      <c r="E372"/>
      <c r="F372"/>
      <c r="G372"/>
      <c r="H372"/>
      <c r="I372"/>
      <c r="J372"/>
      <c r="K372"/>
      <c r="L372"/>
      <c r="M372"/>
    </row>
    <row r="373" spans="1:13">
      <c r="A373"/>
      <c r="B373"/>
      <c r="C373"/>
      <c r="D373"/>
      <c r="E373"/>
      <c r="F373"/>
      <c r="G373"/>
      <c r="H373"/>
      <c r="I373"/>
      <c r="J373"/>
      <c r="K373"/>
      <c r="L373"/>
      <c r="M373"/>
    </row>
    <row r="374" spans="1:13">
      <c r="A374"/>
      <c r="B374"/>
      <c r="C374"/>
      <c r="D374"/>
      <c r="E374"/>
      <c r="F374"/>
      <c r="G374"/>
      <c r="H374"/>
      <c r="I374"/>
      <c r="J374"/>
      <c r="K374"/>
      <c r="L374"/>
      <c r="M374"/>
    </row>
    <row r="375" spans="1:13">
      <c r="A375"/>
      <c r="B375"/>
      <c r="C375"/>
      <c r="D375"/>
      <c r="E375"/>
      <c r="F375"/>
      <c r="G375"/>
      <c r="H375"/>
      <c r="I375"/>
      <c r="J375"/>
      <c r="K375"/>
      <c r="L375"/>
      <c r="M375"/>
    </row>
    <row r="376" spans="1:13">
      <c r="A376"/>
      <c r="B376"/>
      <c r="C376"/>
      <c r="D376"/>
      <c r="E376"/>
      <c r="F376"/>
      <c r="G376"/>
      <c r="H376"/>
      <c r="I376"/>
      <c r="J376"/>
      <c r="K376"/>
      <c r="L376"/>
      <c r="M376"/>
    </row>
    <row r="377" spans="1:13">
      <c r="A377"/>
      <c r="B377"/>
      <c r="C377"/>
      <c r="D377"/>
      <c r="E377"/>
      <c r="F377"/>
      <c r="G377"/>
      <c r="H377"/>
      <c r="I377"/>
      <c r="J377"/>
      <c r="K377"/>
      <c r="L377"/>
      <c r="M377"/>
    </row>
    <row r="378" spans="1:13">
      <c r="C378"/>
      <c r="D378"/>
      <c r="E378"/>
      <c r="F378"/>
      <c r="G378"/>
      <c r="H378"/>
      <c r="I378"/>
      <c r="J378"/>
      <c r="K378"/>
      <c r="L378"/>
      <c r="M378"/>
    </row>
    <row r="379" spans="1:13">
      <c r="A379"/>
      <c r="B379"/>
      <c r="C379"/>
      <c r="D379"/>
      <c r="E379"/>
      <c r="F379"/>
      <c r="G379"/>
      <c r="H379"/>
      <c r="I379"/>
      <c r="J379"/>
      <c r="K379"/>
      <c r="L379"/>
      <c r="M379"/>
    </row>
    <row r="380" spans="1:13">
      <c r="A380"/>
      <c r="B380"/>
      <c r="C380"/>
      <c r="D380"/>
      <c r="E380"/>
      <c r="F380"/>
      <c r="G380"/>
      <c r="H380"/>
      <c r="I380"/>
      <c r="J380"/>
      <c r="K380"/>
      <c r="L380"/>
      <c r="M380"/>
    </row>
    <row r="381" spans="1:13">
      <c r="A381"/>
      <c r="B381"/>
      <c r="C381"/>
      <c r="D381"/>
      <c r="E381"/>
      <c r="F381"/>
      <c r="G381"/>
      <c r="H381"/>
      <c r="I381"/>
      <c r="J381"/>
      <c r="K381"/>
      <c r="L381"/>
      <c r="M381"/>
    </row>
    <row r="382" spans="1:13">
      <c r="A382"/>
      <c r="B382"/>
      <c r="C382"/>
      <c r="D382"/>
      <c r="E382"/>
      <c r="F382"/>
      <c r="G382"/>
      <c r="H382"/>
      <c r="I382"/>
      <c r="J382"/>
      <c r="K382"/>
      <c r="L382"/>
      <c r="M382"/>
    </row>
    <row r="383" spans="1:13">
      <c r="A383"/>
      <c r="B383"/>
      <c r="C383"/>
      <c r="D383"/>
      <c r="E383"/>
      <c r="F383"/>
      <c r="G383"/>
      <c r="H383"/>
      <c r="I383"/>
      <c r="J383"/>
      <c r="K383"/>
      <c r="L383"/>
      <c r="M383"/>
    </row>
    <row r="384" spans="1:13">
      <c r="A384"/>
      <c r="B384"/>
    </row>
    <row r="385" spans="1:11">
      <c r="A385"/>
      <c r="B385"/>
    </row>
    <row r="386" spans="1:11">
      <c r="A386"/>
      <c r="B386"/>
    </row>
    <row r="387" spans="1:11">
      <c r="A387"/>
      <c r="B387"/>
    </row>
    <row r="388" spans="1:11">
      <c r="A388"/>
      <c r="B388"/>
      <c r="K388" s="473" t="s">
        <v>689</v>
      </c>
    </row>
    <row r="389" spans="1:11">
      <c r="A389"/>
      <c r="B389"/>
    </row>
    <row r="390" spans="1:11">
      <c r="A390"/>
      <c r="B390"/>
      <c r="I390" s="473" t="s">
        <v>688</v>
      </c>
    </row>
    <row r="391" spans="1:11">
      <c r="A391"/>
      <c r="B391"/>
    </row>
    <row r="392" spans="1:11">
      <c r="A392"/>
      <c r="B392"/>
    </row>
    <row r="393" spans="1:11">
      <c r="A393"/>
      <c r="B393"/>
    </row>
    <row r="394" spans="1:11">
      <c r="A394"/>
      <c r="B394"/>
    </row>
    <row r="395" spans="1:11">
      <c r="A395"/>
      <c r="B395"/>
    </row>
    <row r="396" spans="1:11">
      <c r="A396"/>
      <c r="B396"/>
    </row>
    <row r="397" spans="1:11">
      <c r="A397"/>
      <c r="B397"/>
    </row>
    <row r="398" spans="1:11">
      <c r="A398"/>
      <c r="B398"/>
    </row>
    <row r="399" spans="1:11">
      <c r="A399"/>
      <c r="B399"/>
    </row>
    <row r="400" spans="1:11">
      <c r="A400"/>
      <c r="B400"/>
    </row>
    <row r="401" spans="1:2">
      <c r="A401"/>
      <c r="B401"/>
    </row>
    <row r="402" spans="1:2">
      <c r="A402"/>
      <c r="B402"/>
    </row>
    <row r="403" spans="1:2">
      <c r="A403"/>
      <c r="B403"/>
    </row>
    <row r="404" spans="1:2">
      <c r="A404"/>
      <c r="B404"/>
    </row>
    <row r="405" spans="1:2">
      <c r="A405"/>
      <c r="B405"/>
    </row>
    <row r="406" spans="1:2">
      <c r="A406"/>
      <c r="B406"/>
    </row>
    <row r="407" spans="1:2">
      <c r="A407"/>
      <c r="B407"/>
    </row>
    <row r="408" spans="1:2">
      <c r="A408"/>
      <c r="B408"/>
    </row>
    <row r="409" spans="1:2">
      <c r="A409"/>
      <c r="B409"/>
    </row>
    <row r="410" spans="1:2">
      <c r="A410"/>
      <c r="B410"/>
    </row>
    <row r="411" spans="1:2">
      <c r="A411"/>
      <c r="B411"/>
    </row>
    <row r="412" spans="1:2">
      <c r="A412"/>
      <c r="B412"/>
    </row>
    <row r="413" spans="1:2">
      <c r="A413"/>
      <c r="B413"/>
    </row>
    <row r="414" spans="1:2">
      <c r="A414"/>
      <c r="B414"/>
    </row>
    <row r="415" spans="1:2">
      <c r="A415"/>
      <c r="B415"/>
    </row>
    <row r="416" spans="1:2">
      <c r="A416"/>
      <c r="B416"/>
    </row>
  </sheetData>
  <mergeCells count="8">
    <mergeCell ref="A166:O166"/>
    <mergeCell ref="A194:R194"/>
    <mergeCell ref="A347:R347"/>
    <mergeCell ref="D2:L7"/>
    <mergeCell ref="G24:H24"/>
    <mergeCell ref="M12:O12"/>
    <mergeCell ref="A56:P56"/>
    <mergeCell ref="A100:R101"/>
  </mergeCells>
  <phoneticPr fontId="0" type="noConversion"/>
  <pageMargins left="0.75" right="0.75" top="1" bottom="1" header="0.5" footer="0.5"/>
  <pageSetup scale="55"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141" r:id="rId4" name="Check Box 85">
              <controlPr defaultSize="0" autoFill="0" autoLine="0" autoPict="0">
                <anchor moveWithCells="1">
                  <from>
                    <xdr:col>13</xdr:col>
                    <xdr:colOff>29936</xdr:colOff>
                    <xdr:row>12</xdr:row>
                    <xdr:rowOff>8164</xdr:rowOff>
                  </from>
                  <to>
                    <xdr:col>13</xdr:col>
                    <xdr:colOff>342900</xdr:colOff>
                    <xdr:row>12</xdr:row>
                    <xdr:rowOff>209550</xdr:rowOff>
                  </to>
                </anchor>
              </controlPr>
            </control>
          </mc:Choice>
        </mc:AlternateContent>
        <mc:AlternateContent xmlns:mc="http://schemas.openxmlformats.org/markup-compatibility/2006">
          <mc:Choice Requires="x14">
            <control shapeId="45142" r:id="rId5" name="Check Box 86">
              <controlPr defaultSize="0" autoFill="0" autoLine="0" autoPict="0">
                <anchor moveWithCells="1">
                  <from>
                    <xdr:col>13</xdr:col>
                    <xdr:colOff>29936</xdr:colOff>
                    <xdr:row>15</xdr:row>
                    <xdr:rowOff>8164</xdr:rowOff>
                  </from>
                  <to>
                    <xdr:col>13</xdr:col>
                    <xdr:colOff>342900</xdr:colOff>
                    <xdr:row>15</xdr:row>
                    <xdr:rowOff>209550</xdr:rowOff>
                  </to>
                </anchor>
              </controlPr>
            </control>
          </mc:Choice>
        </mc:AlternateContent>
        <mc:AlternateContent xmlns:mc="http://schemas.openxmlformats.org/markup-compatibility/2006">
          <mc:Choice Requires="x14">
            <control shapeId="45143" r:id="rId6" name="Check Box 87">
              <controlPr defaultSize="0" autoFill="0" autoLine="0" autoPict="0">
                <anchor moveWithCells="1">
                  <from>
                    <xdr:col>13</xdr:col>
                    <xdr:colOff>29936</xdr:colOff>
                    <xdr:row>18</xdr:row>
                    <xdr:rowOff>8164</xdr:rowOff>
                  </from>
                  <to>
                    <xdr:col>13</xdr:col>
                    <xdr:colOff>342900</xdr:colOff>
                    <xdr:row>18</xdr:row>
                    <xdr:rowOff>209550</xdr:rowOff>
                  </to>
                </anchor>
              </controlPr>
            </control>
          </mc:Choice>
        </mc:AlternateContent>
        <mc:AlternateContent xmlns:mc="http://schemas.openxmlformats.org/markup-compatibility/2006">
          <mc:Choice Requires="x14">
            <control shapeId="45144" r:id="rId7" name="Check Box 88">
              <controlPr defaultSize="0" autoFill="0" autoLine="0" autoPict="0">
                <anchor moveWithCells="1">
                  <from>
                    <xdr:col>13</xdr:col>
                    <xdr:colOff>29936</xdr:colOff>
                    <xdr:row>21</xdr:row>
                    <xdr:rowOff>8164</xdr:rowOff>
                  </from>
                  <to>
                    <xdr:col>13</xdr:col>
                    <xdr:colOff>342900</xdr:colOff>
                    <xdr:row>21</xdr:row>
                    <xdr:rowOff>209550</xdr:rowOff>
                  </to>
                </anchor>
              </controlPr>
            </control>
          </mc:Choice>
        </mc:AlternateContent>
        <mc:AlternateContent xmlns:mc="http://schemas.openxmlformats.org/markup-compatibility/2006">
          <mc:Choice Requires="x14">
            <control shapeId="45145" r:id="rId8" name="Check Box 89">
              <controlPr defaultSize="0" autoFill="0" autoLine="0" autoPict="0">
                <anchor moveWithCells="1">
                  <from>
                    <xdr:col>13</xdr:col>
                    <xdr:colOff>29936</xdr:colOff>
                    <xdr:row>24</xdr:row>
                    <xdr:rowOff>8164</xdr:rowOff>
                  </from>
                  <to>
                    <xdr:col>13</xdr:col>
                    <xdr:colOff>342900</xdr:colOff>
                    <xdr:row>24</xdr:row>
                    <xdr:rowOff>209550</xdr:rowOff>
                  </to>
                </anchor>
              </controlPr>
            </control>
          </mc:Choice>
        </mc:AlternateContent>
        <mc:AlternateContent xmlns:mc="http://schemas.openxmlformats.org/markup-compatibility/2006">
          <mc:Choice Requires="x14">
            <control shapeId="45146" r:id="rId9" name="Check Box 90">
              <controlPr defaultSize="0" autoFill="0" autoLine="0" autoPict="0">
                <anchor moveWithCells="1">
                  <from>
                    <xdr:col>14</xdr:col>
                    <xdr:colOff>29936</xdr:colOff>
                    <xdr:row>12</xdr:row>
                    <xdr:rowOff>8164</xdr:rowOff>
                  </from>
                  <to>
                    <xdr:col>14</xdr:col>
                    <xdr:colOff>342900</xdr:colOff>
                    <xdr:row>12</xdr:row>
                    <xdr:rowOff>209550</xdr:rowOff>
                  </to>
                </anchor>
              </controlPr>
            </control>
          </mc:Choice>
        </mc:AlternateContent>
        <mc:AlternateContent xmlns:mc="http://schemas.openxmlformats.org/markup-compatibility/2006">
          <mc:Choice Requires="x14">
            <control shapeId="45147" r:id="rId10" name="Check Box 91">
              <controlPr defaultSize="0" autoFill="0" autoLine="0" autoPict="0">
                <anchor moveWithCells="1">
                  <from>
                    <xdr:col>14</xdr:col>
                    <xdr:colOff>29936</xdr:colOff>
                    <xdr:row>15</xdr:row>
                    <xdr:rowOff>8164</xdr:rowOff>
                  </from>
                  <to>
                    <xdr:col>14</xdr:col>
                    <xdr:colOff>342900</xdr:colOff>
                    <xdr:row>15</xdr:row>
                    <xdr:rowOff>209550</xdr:rowOff>
                  </to>
                </anchor>
              </controlPr>
            </control>
          </mc:Choice>
        </mc:AlternateContent>
        <mc:AlternateContent xmlns:mc="http://schemas.openxmlformats.org/markup-compatibility/2006">
          <mc:Choice Requires="x14">
            <control shapeId="45148" r:id="rId11" name="Check Box 92">
              <controlPr defaultSize="0" autoFill="0" autoLine="0" autoPict="0">
                <anchor moveWithCells="1">
                  <from>
                    <xdr:col>14</xdr:col>
                    <xdr:colOff>29936</xdr:colOff>
                    <xdr:row>18</xdr:row>
                    <xdr:rowOff>8164</xdr:rowOff>
                  </from>
                  <to>
                    <xdr:col>14</xdr:col>
                    <xdr:colOff>342900</xdr:colOff>
                    <xdr:row>18</xdr:row>
                    <xdr:rowOff>209550</xdr:rowOff>
                  </to>
                </anchor>
              </controlPr>
            </control>
          </mc:Choice>
        </mc:AlternateContent>
        <mc:AlternateContent xmlns:mc="http://schemas.openxmlformats.org/markup-compatibility/2006">
          <mc:Choice Requires="x14">
            <control shapeId="45149" r:id="rId12" name="Check Box 93">
              <controlPr defaultSize="0" autoFill="0" autoLine="0" autoPict="0">
                <anchor moveWithCells="1">
                  <from>
                    <xdr:col>14</xdr:col>
                    <xdr:colOff>29936</xdr:colOff>
                    <xdr:row>21</xdr:row>
                    <xdr:rowOff>8164</xdr:rowOff>
                  </from>
                  <to>
                    <xdr:col>14</xdr:col>
                    <xdr:colOff>342900</xdr:colOff>
                    <xdr:row>21</xdr:row>
                    <xdr:rowOff>209550</xdr:rowOff>
                  </to>
                </anchor>
              </controlPr>
            </control>
          </mc:Choice>
        </mc:AlternateContent>
        <mc:AlternateContent xmlns:mc="http://schemas.openxmlformats.org/markup-compatibility/2006">
          <mc:Choice Requires="x14">
            <control shapeId="45150" r:id="rId13" name="Check Box 94">
              <controlPr defaultSize="0" autoFill="0" autoLine="0" autoPict="0">
                <anchor moveWithCells="1">
                  <from>
                    <xdr:col>14</xdr:col>
                    <xdr:colOff>29936</xdr:colOff>
                    <xdr:row>24</xdr:row>
                    <xdr:rowOff>8164</xdr:rowOff>
                  </from>
                  <to>
                    <xdr:col>14</xdr:col>
                    <xdr:colOff>342900</xdr:colOff>
                    <xdr:row>24</xdr:row>
                    <xdr:rowOff>209550</xdr:rowOff>
                  </to>
                </anchor>
              </controlPr>
            </control>
          </mc:Choice>
        </mc:AlternateContent>
        <mc:AlternateContent xmlns:mc="http://schemas.openxmlformats.org/markup-compatibility/2006">
          <mc:Choice Requires="x14">
            <control shapeId="45151" r:id="rId14" name="Button 95">
              <controlPr defaultSize="0" print="0" autoFill="0" autoPict="0" macro="[0]!BACKTOMENU">
                <anchor moveWithCells="1">
                  <from>
                    <xdr:col>12</xdr:col>
                    <xdr:colOff>536121</xdr:colOff>
                    <xdr:row>1</xdr:row>
                    <xdr:rowOff>43543</xdr:rowOff>
                  </from>
                  <to>
                    <xdr:col>13</xdr:col>
                    <xdr:colOff>495300</xdr:colOff>
                    <xdr:row>2</xdr:row>
                    <xdr:rowOff>8164</xdr:rowOff>
                  </to>
                </anchor>
              </controlPr>
            </control>
          </mc:Choice>
        </mc:AlternateContent>
        <mc:AlternateContent xmlns:mc="http://schemas.openxmlformats.org/markup-compatibility/2006">
          <mc:Choice Requires="x14">
            <control shapeId="45168" r:id="rId15" name="Button 112">
              <controlPr defaultSize="0" print="0" autoFill="0" autoPict="0" macro="[0]!MovePacker1">
                <anchor moveWithCells="1">
                  <from>
                    <xdr:col>0</xdr:col>
                    <xdr:colOff>0</xdr:colOff>
                    <xdr:row>64</xdr:row>
                    <xdr:rowOff>8164</xdr:rowOff>
                  </from>
                  <to>
                    <xdr:col>1</xdr:col>
                    <xdr:colOff>636814</xdr:colOff>
                    <xdr:row>65</xdr:row>
                    <xdr:rowOff>119743</xdr:rowOff>
                  </to>
                </anchor>
              </controlPr>
            </control>
          </mc:Choice>
        </mc:AlternateContent>
        <mc:AlternateContent xmlns:mc="http://schemas.openxmlformats.org/markup-compatibility/2006">
          <mc:Choice Requires="x14">
            <control shapeId="45170" r:id="rId16" name="Button 114">
              <controlPr defaultSize="0" print="0" autoFill="0" autoPict="0" macro="[0]!MovePacker2">
                <anchor moveWithCells="1">
                  <from>
                    <xdr:col>2</xdr:col>
                    <xdr:colOff>40821</xdr:colOff>
                    <xdr:row>64</xdr:row>
                    <xdr:rowOff>0</xdr:rowOff>
                  </from>
                  <to>
                    <xdr:col>3</xdr:col>
                    <xdr:colOff>193221</xdr:colOff>
                    <xdr:row>65</xdr:row>
                    <xdr:rowOff>119743</xdr:rowOff>
                  </to>
                </anchor>
              </controlPr>
            </control>
          </mc:Choice>
        </mc:AlternateContent>
        <mc:AlternateContent xmlns:mc="http://schemas.openxmlformats.org/markup-compatibility/2006">
          <mc:Choice Requires="x14">
            <control shapeId="45171" r:id="rId17" name="Button 115">
              <controlPr defaultSize="0" print="0" autoFill="0" autoPict="0" macro="[0]!MovePacker3">
                <anchor moveWithCells="1">
                  <from>
                    <xdr:col>0</xdr:col>
                    <xdr:colOff>0</xdr:colOff>
                    <xdr:row>73</xdr:row>
                    <xdr:rowOff>46264</xdr:rowOff>
                  </from>
                  <to>
                    <xdr:col>1</xdr:col>
                    <xdr:colOff>636814</xdr:colOff>
                    <xdr:row>75</xdr:row>
                    <xdr:rowOff>27214</xdr:rowOff>
                  </to>
                </anchor>
              </controlPr>
            </control>
          </mc:Choice>
        </mc:AlternateContent>
        <mc:AlternateContent xmlns:mc="http://schemas.openxmlformats.org/markup-compatibility/2006">
          <mc:Choice Requires="x14">
            <control shapeId="45172" r:id="rId18" name="Button 116">
              <controlPr defaultSize="0" print="0" autoFill="0" autoPict="0" macro="[0]!MovePacker4">
                <anchor moveWithCells="1">
                  <from>
                    <xdr:col>2</xdr:col>
                    <xdr:colOff>10886</xdr:colOff>
                    <xdr:row>73</xdr:row>
                    <xdr:rowOff>46264</xdr:rowOff>
                  </from>
                  <to>
                    <xdr:col>4</xdr:col>
                    <xdr:colOff>0</xdr:colOff>
                    <xdr:row>75</xdr:row>
                    <xdr:rowOff>27214</xdr:rowOff>
                  </to>
                </anchor>
              </controlPr>
            </control>
          </mc:Choice>
        </mc:AlternateContent>
        <mc:AlternateContent xmlns:mc="http://schemas.openxmlformats.org/markup-compatibility/2006">
          <mc:Choice Requires="x14">
            <control shapeId="45173" r:id="rId19" name="Button 117">
              <controlPr defaultSize="0" print="0" autoFill="0" autoPict="0" macro="[0]!MovePacker5">
                <anchor moveWithCells="1">
                  <from>
                    <xdr:col>4</xdr:col>
                    <xdr:colOff>40821</xdr:colOff>
                    <xdr:row>63</xdr:row>
                    <xdr:rowOff>130629</xdr:rowOff>
                  </from>
                  <to>
                    <xdr:col>5</xdr:col>
                    <xdr:colOff>606879</xdr:colOff>
                    <xdr:row>65</xdr:row>
                    <xdr:rowOff>111579</xdr:rowOff>
                  </to>
                </anchor>
              </controlPr>
            </control>
          </mc:Choice>
        </mc:AlternateContent>
        <mc:AlternateContent xmlns:mc="http://schemas.openxmlformats.org/markup-compatibility/2006">
          <mc:Choice Requires="x14">
            <control shapeId="45174" r:id="rId20" name="Button 118">
              <controlPr defaultSize="0" print="0" autoFill="0" autoPict="0" macro="[0]!MovePacker6">
                <anchor moveWithCells="1">
                  <from>
                    <xdr:col>6</xdr:col>
                    <xdr:colOff>40821</xdr:colOff>
                    <xdr:row>73</xdr:row>
                    <xdr:rowOff>130629</xdr:rowOff>
                  </from>
                  <to>
                    <xdr:col>7</xdr:col>
                    <xdr:colOff>606879</xdr:colOff>
                    <xdr:row>75</xdr:row>
                    <xdr:rowOff>111579</xdr:rowOff>
                  </to>
                </anchor>
              </controlPr>
            </control>
          </mc:Choice>
        </mc:AlternateContent>
        <mc:AlternateContent xmlns:mc="http://schemas.openxmlformats.org/markup-compatibility/2006">
          <mc:Choice Requires="x14">
            <control shapeId="45175" r:id="rId21" name="Button 119">
              <controlPr defaultSize="0" print="0" autoFill="0" autoPict="0" macro="[0]!MovePacker7">
                <anchor moveWithCells="1">
                  <from>
                    <xdr:col>4</xdr:col>
                    <xdr:colOff>40821</xdr:colOff>
                    <xdr:row>77</xdr:row>
                    <xdr:rowOff>168729</xdr:rowOff>
                  </from>
                  <to>
                    <xdr:col>5</xdr:col>
                    <xdr:colOff>606879</xdr:colOff>
                    <xdr:row>79</xdr:row>
                    <xdr:rowOff>149679</xdr:rowOff>
                  </to>
                </anchor>
              </controlPr>
            </control>
          </mc:Choice>
        </mc:AlternateContent>
        <mc:AlternateContent xmlns:mc="http://schemas.openxmlformats.org/markup-compatibility/2006">
          <mc:Choice Requires="x14">
            <control shapeId="45176" r:id="rId22" name="Button 120">
              <controlPr defaultSize="0" print="0" autoFill="0" autoPict="0" macro="[0]!MovePacker8">
                <anchor moveWithCells="1">
                  <from>
                    <xdr:col>8</xdr:col>
                    <xdr:colOff>40821</xdr:colOff>
                    <xdr:row>79</xdr:row>
                    <xdr:rowOff>19050</xdr:rowOff>
                  </from>
                  <to>
                    <xdr:col>9</xdr:col>
                    <xdr:colOff>606879</xdr:colOff>
                    <xdr:row>81</xdr:row>
                    <xdr:rowOff>0</xdr:rowOff>
                  </to>
                </anchor>
              </controlPr>
            </control>
          </mc:Choice>
        </mc:AlternateContent>
        <mc:AlternateContent xmlns:mc="http://schemas.openxmlformats.org/markup-compatibility/2006">
          <mc:Choice Requires="x14">
            <control shapeId="45177" r:id="rId23" name="Button 121">
              <controlPr defaultSize="0" print="0" autoFill="0" autoPict="0" macro="[0]!MovePacker9">
                <anchor moveWithCells="1">
                  <from>
                    <xdr:col>0</xdr:col>
                    <xdr:colOff>40821</xdr:colOff>
                    <xdr:row>84</xdr:row>
                    <xdr:rowOff>149679</xdr:rowOff>
                  </from>
                  <to>
                    <xdr:col>1</xdr:col>
                    <xdr:colOff>606879</xdr:colOff>
                    <xdr:row>86</xdr:row>
                    <xdr:rowOff>130629</xdr:rowOff>
                  </to>
                </anchor>
              </controlPr>
            </control>
          </mc:Choice>
        </mc:AlternateContent>
        <mc:AlternateContent xmlns:mc="http://schemas.openxmlformats.org/markup-compatibility/2006">
          <mc:Choice Requires="x14">
            <control shapeId="45178" r:id="rId24" name="Button 122">
              <controlPr defaultSize="0" print="0" autoFill="0" autoPict="0" macro="[0]!MovePacker10">
                <anchor moveWithCells="1">
                  <from>
                    <xdr:col>2</xdr:col>
                    <xdr:colOff>40821</xdr:colOff>
                    <xdr:row>90</xdr:row>
                    <xdr:rowOff>57150</xdr:rowOff>
                  </from>
                  <to>
                    <xdr:col>3</xdr:col>
                    <xdr:colOff>606879</xdr:colOff>
                    <xdr:row>92</xdr:row>
                    <xdr:rowOff>38100</xdr:rowOff>
                  </to>
                </anchor>
              </controlPr>
            </control>
          </mc:Choice>
        </mc:AlternateContent>
        <mc:AlternateContent xmlns:mc="http://schemas.openxmlformats.org/markup-compatibility/2006">
          <mc:Choice Requires="x14">
            <control shapeId="45179" r:id="rId25" name="Button 123">
              <controlPr defaultSize="0" print="0" autoFill="0" autoPict="0" macro="[0]!MovePacker11">
                <anchor moveWithCells="1">
                  <from>
                    <xdr:col>6</xdr:col>
                    <xdr:colOff>40821</xdr:colOff>
                    <xdr:row>85</xdr:row>
                    <xdr:rowOff>65314</xdr:rowOff>
                  </from>
                  <to>
                    <xdr:col>7</xdr:col>
                    <xdr:colOff>606879</xdr:colOff>
                    <xdr:row>87</xdr:row>
                    <xdr:rowOff>46264</xdr:rowOff>
                  </to>
                </anchor>
              </controlPr>
            </control>
          </mc:Choice>
        </mc:AlternateContent>
        <mc:AlternateContent xmlns:mc="http://schemas.openxmlformats.org/markup-compatibility/2006">
          <mc:Choice Requires="x14">
            <control shapeId="45180" r:id="rId26" name="Button 124">
              <controlPr defaultSize="0" print="0" autoFill="0" autoPict="0" macro="[0]!MovePacker12">
                <anchor moveWithCells="1">
                  <from>
                    <xdr:col>4</xdr:col>
                    <xdr:colOff>40821</xdr:colOff>
                    <xdr:row>88</xdr:row>
                    <xdr:rowOff>46264</xdr:rowOff>
                  </from>
                  <to>
                    <xdr:col>5</xdr:col>
                    <xdr:colOff>606879</xdr:colOff>
                    <xdr:row>90</xdr:row>
                    <xdr:rowOff>27214</xdr:rowOff>
                  </to>
                </anchor>
              </controlPr>
            </control>
          </mc:Choice>
        </mc:AlternateContent>
        <mc:AlternateContent xmlns:mc="http://schemas.openxmlformats.org/markup-compatibility/2006">
          <mc:Choice Requires="x14">
            <control shapeId="45181" r:id="rId27" name="Button 125">
              <controlPr defaultSize="0" print="0" autoFill="0" autoPict="0" macro="[0]!MovePacker13">
                <anchor moveWithCells="1">
                  <from>
                    <xdr:col>10</xdr:col>
                    <xdr:colOff>40821</xdr:colOff>
                    <xdr:row>67</xdr:row>
                    <xdr:rowOff>46264</xdr:rowOff>
                  </from>
                  <to>
                    <xdr:col>11</xdr:col>
                    <xdr:colOff>606879</xdr:colOff>
                    <xdr:row>69</xdr:row>
                    <xdr:rowOff>27214</xdr:rowOff>
                  </to>
                </anchor>
              </controlPr>
            </control>
          </mc:Choice>
        </mc:AlternateContent>
        <mc:AlternateContent xmlns:mc="http://schemas.openxmlformats.org/markup-compatibility/2006">
          <mc:Choice Requires="x14">
            <control shapeId="45182" r:id="rId28" name="Button 126">
              <controlPr defaultSize="0" print="0" autoFill="0" autoPict="0" macro="[0]!MovePacker14">
                <anchor moveWithCells="1">
                  <from>
                    <xdr:col>10</xdr:col>
                    <xdr:colOff>70757</xdr:colOff>
                    <xdr:row>95</xdr:row>
                    <xdr:rowOff>65314</xdr:rowOff>
                  </from>
                  <to>
                    <xdr:col>11</xdr:col>
                    <xdr:colOff>636814</xdr:colOff>
                    <xdr:row>97</xdr:row>
                    <xdr:rowOff>46264</xdr:rowOff>
                  </to>
                </anchor>
              </controlPr>
            </control>
          </mc:Choice>
        </mc:AlternateContent>
        <mc:AlternateContent xmlns:mc="http://schemas.openxmlformats.org/markup-compatibility/2006">
          <mc:Choice Requires="x14">
            <control shapeId="45217" r:id="rId29" name="Button 161">
              <controlPr defaultSize="0" print="0" autoFill="0" autoPict="0" macro="[0]!Horizontal2">
                <anchor moveWithCells="1">
                  <from>
                    <xdr:col>4</xdr:col>
                    <xdr:colOff>323850</xdr:colOff>
                    <xdr:row>111</xdr:row>
                    <xdr:rowOff>65314</xdr:rowOff>
                  </from>
                  <to>
                    <xdr:col>5</xdr:col>
                    <xdr:colOff>636814</xdr:colOff>
                    <xdr:row>112</xdr:row>
                    <xdr:rowOff>84364</xdr:rowOff>
                  </to>
                </anchor>
              </controlPr>
            </control>
          </mc:Choice>
        </mc:AlternateContent>
        <mc:AlternateContent xmlns:mc="http://schemas.openxmlformats.org/markup-compatibility/2006">
          <mc:Choice Requires="x14">
            <control shapeId="45218" r:id="rId30" name="Button 162">
              <controlPr defaultSize="0" print="0" autoFill="0" autoPict="0" macro="[0]!Horizontal1">
                <anchor moveWithCells="1">
                  <from>
                    <xdr:col>0</xdr:col>
                    <xdr:colOff>323850</xdr:colOff>
                    <xdr:row>129</xdr:row>
                    <xdr:rowOff>65314</xdr:rowOff>
                  </from>
                  <to>
                    <xdr:col>1</xdr:col>
                    <xdr:colOff>636814</xdr:colOff>
                    <xdr:row>130</xdr:row>
                    <xdr:rowOff>84364</xdr:rowOff>
                  </to>
                </anchor>
              </controlPr>
            </control>
          </mc:Choice>
        </mc:AlternateContent>
        <mc:AlternateContent xmlns:mc="http://schemas.openxmlformats.org/markup-compatibility/2006">
          <mc:Choice Requires="x14">
            <control shapeId="45219" r:id="rId31" name="Button 163">
              <controlPr defaultSize="0" print="0" autoFill="0" autoPict="0" macro="[0]!Squigglies">
                <anchor moveWithCells="1">
                  <from>
                    <xdr:col>0</xdr:col>
                    <xdr:colOff>323850</xdr:colOff>
                    <xdr:row>137</xdr:row>
                    <xdr:rowOff>65314</xdr:rowOff>
                  </from>
                  <to>
                    <xdr:col>1</xdr:col>
                    <xdr:colOff>636814</xdr:colOff>
                    <xdr:row>138</xdr:row>
                    <xdr:rowOff>84364</xdr:rowOff>
                  </to>
                </anchor>
              </controlPr>
            </control>
          </mc:Choice>
        </mc:AlternateContent>
        <mc:AlternateContent xmlns:mc="http://schemas.openxmlformats.org/markup-compatibility/2006">
          <mc:Choice Requires="x14">
            <control shapeId="45221" r:id="rId32" name="Button 165">
              <controlPr defaultSize="0" print="0" autoFill="0" autoPict="0" macro="[0]!SlottedLiner">
                <anchor moveWithCells="1">
                  <from>
                    <xdr:col>10</xdr:col>
                    <xdr:colOff>495300</xdr:colOff>
                    <xdr:row>126</xdr:row>
                    <xdr:rowOff>65314</xdr:rowOff>
                  </from>
                  <to>
                    <xdr:col>12</xdr:col>
                    <xdr:colOff>163286</xdr:colOff>
                    <xdr:row>127</xdr:row>
                    <xdr:rowOff>84364</xdr:rowOff>
                  </to>
                </anchor>
              </controlPr>
            </control>
          </mc:Choice>
        </mc:AlternateContent>
        <mc:AlternateContent xmlns:mc="http://schemas.openxmlformats.org/markup-compatibility/2006">
          <mc:Choice Requires="x14">
            <control shapeId="45222" r:id="rId33" name="Button 166">
              <controlPr defaultSize="0" print="0" autoFill="0" autoPict="0" macro="[0]!Profile1">
                <anchor moveWithCells="1">
                  <from>
                    <xdr:col>10</xdr:col>
                    <xdr:colOff>454479</xdr:colOff>
                    <xdr:row>130</xdr:row>
                    <xdr:rowOff>119743</xdr:rowOff>
                  </from>
                  <to>
                    <xdr:col>12</xdr:col>
                    <xdr:colOff>122464</xdr:colOff>
                    <xdr:row>131</xdr:row>
                    <xdr:rowOff>138793</xdr:rowOff>
                  </to>
                </anchor>
              </controlPr>
            </control>
          </mc:Choice>
        </mc:AlternateContent>
        <mc:AlternateContent xmlns:mc="http://schemas.openxmlformats.org/markup-compatibility/2006">
          <mc:Choice Requires="x14">
            <control shapeId="45223" r:id="rId34" name="Button 167">
              <controlPr defaultSize="0" print="0" autoFill="0" autoPict="0" macro="[0]!PerfLiner">
                <anchor moveWithCells="1">
                  <from>
                    <xdr:col>10</xdr:col>
                    <xdr:colOff>525236</xdr:colOff>
                    <xdr:row>135</xdr:row>
                    <xdr:rowOff>65314</xdr:rowOff>
                  </from>
                  <to>
                    <xdr:col>12</xdr:col>
                    <xdr:colOff>193221</xdr:colOff>
                    <xdr:row>136</xdr:row>
                    <xdr:rowOff>84364</xdr:rowOff>
                  </to>
                </anchor>
              </controlPr>
            </control>
          </mc:Choice>
        </mc:AlternateContent>
        <mc:AlternateContent xmlns:mc="http://schemas.openxmlformats.org/markup-compatibility/2006">
          <mc:Choice Requires="x14">
            <control shapeId="45224" r:id="rId35" name="Button 168">
              <controlPr defaultSize="0" print="0" autoFill="0" autoPict="0" macro="[0]!FiringHead1">
                <anchor moveWithCells="1">
                  <from>
                    <xdr:col>10</xdr:col>
                    <xdr:colOff>557893</xdr:colOff>
                    <xdr:row>141</xdr:row>
                    <xdr:rowOff>65314</xdr:rowOff>
                  </from>
                  <to>
                    <xdr:col>12</xdr:col>
                    <xdr:colOff>223157</xdr:colOff>
                    <xdr:row>142</xdr:row>
                    <xdr:rowOff>84364</xdr:rowOff>
                  </to>
                </anchor>
              </controlPr>
            </control>
          </mc:Choice>
        </mc:AlternateContent>
        <mc:AlternateContent xmlns:mc="http://schemas.openxmlformats.org/markup-compatibility/2006">
          <mc:Choice Requires="x14">
            <control shapeId="45225" r:id="rId36" name="Button 169">
              <controlPr defaultSize="0" print="0" autoFill="0" autoPict="0" macro="[0]!FiringHead2">
                <anchor moveWithCells="1">
                  <from>
                    <xdr:col>6</xdr:col>
                    <xdr:colOff>323850</xdr:colOff>
                    <xdr:row>143</xdr:row>
                    <xdr:rowOff>65314</xdr:rowOff>
                  </from>
                  <to>
                    <xdr:col>7</xdr:col>
                    <xdr:colOff>636814</xdr:colOff>
                    <xdr:row>144</xdr:row>
                    <xdr:rowOff>84364</xdr:rowOff>
                  </to>
                </anchor>
              </controlPr>
            </control>
          </mc:Choice>
        </mc:AlternateContent>
        <mc:AlternateContent xmlns:mc="http://schemas.openxmlformats.org/markup-compatibility/2006">
          <mc:Choice Requires="x14">
            <control shapeId="45226" r:id="rId37" name="Button 170">
              <controlPr defaultSize="0" print="0" autoFill="0" autoPict="0" macro="[0]!EndShitNoEnd">
                <anchor moveWithCells="1">
                  <from>
                    <xdr:col>10</xdr:col>
                    <xdr:colOff>557893</xdr:colOff>
                    <xdr:row>148</xdr:row>
                    <xdr:rowOff>65314</xdr:rowOff>
                  </from>
                  <to>
                    <xdr:col>12</xdr:col>
                    <xdr:colOff>223157</xdr:colOff>
                    <xdr:row>149</xdr:row>
                    <xdr:rowOff>84364</xdr:rowOff>
                  </to>
                </anchor>
              </controlPr>
            </control>
          </mc:Choice>
        </mc:AlternateContent>
        <mc:AlternateContent xmlns:mc="http://schemas.openxmlformats.org/markup-compatibility/2006">
          <mc:Choice Requires="x14">
            <control shapeId="45227" r:id="rId38" name="Button 171">
              <controlPr defaultSize="0" print="0" autoFill="0" autoPict="0" macro="[0]!Anchor">
                <anchor moveWithCells="1">
                  <from>
                    <xdr:col>3</xdr:col>
                    <xdr:colOff>19050</xdr:colOff>
                    <xdr:row>149</xdr:row>
                    <xdr:rowOff>65314</xdr:rowOff>
                  </from>
                  <to>
                    <xdr:col>4</xdr:col>
                    <xdr:colOff>334736</xdr:colOff>
                    <xdr:row>150</xdr:row>
                    <xdr:rowOff>84364</xdr:rowOff>
                  </to>
                </anchor>
              </controlPr>
            </control>
          </mc:Choice>
        </mc:AlternateContent>
        <mc:AlternateContent xmlns:mc="http://schemas.openxmlformats.org/markup-compatibility/2006">
          <mc:Choice Requires="x14">
            <control shapeId="45228" r:id="rId39" name="Button 172">
              <controlPr defaultSize="0" print="0" autoFill="0" autoPict="0" macro="[0]!PoopyShit1">
                <anchor moveWithCells="1">
                  <from>
                    <xdr:col>0</xdr:col>
                    <xdr:colOff>182336</xdr:colOff>
                    <xdr:row>149</xdr:row>
                    <xdr:rowOff>65314</xdr:rowOff>
                  </from>
                  <to>
                    <xdr:col>1</xdr:col>
                    <xdr:colOff>495300</xdr:colOff>
                    <xdr:row>150</xdr:row>
                    <xdr:rowOff>84364</xdr:rowOff>
                  </to>
                </anchor>
              </controlPr>
            </control>
          </mc:Choice>
        </mc:AlternateContent>
        <mc:AlternateContent xmlns:mc="http://schemas.openxmlformats.org/markup-compatibility/2006">
          <mc:Choice Requires="x14">
            <control shapeId="45229" r:id="rId40" name="Button 173">
              <controlPr defaultSize="0" print="0" autoFill="0" autoPict="0" macro="[0]!Bullnose">
                <anchor moveWithCells="1">
                  <from>
                    <xdr:col>1</xdr:col>
                    <xdr:colOff>10886</xdr:colOff>
                    <xdr:row>142</xdr:row>
                    <xdr:rowOff>65314</xdr:rowOff>
                  </from>
                  <to>
                    <xdr:col>2</xdr:col>
                    <xdr:colOff>323850</xdr:colOff>
                    <xdr:row>143</xdr:row>
                    <xdr:rowOff>84364</xdr:rowOff>
                  </to>
                </anchor>
              </controlPr>
            </control>
          </mc:Choice>
        </mc:AlternateContent>
        <mc:AlternateContent xmlns:mc="http://schemas.openxmlformats.org/markup-compatibility/2006">
          <mc:Choice Requires="x14">
            <control shapeId="45230" r:id="rId41" name="Button 174">
              <controlPr defaultSize="0" print="0" autoFill="0" autoPict="0" macro="[0]!EndShit">
                <anchor moveWithCells="1">
                  <from>
                    <xdr:col>6</xdr:col>
                    <xdr:colOff>495300</xdr:colOff>
                    <xdr:row>149</xdr:row>
                    <xdr:rowOff>65314</xdr:rowOff>
                  </from>
                  <to>
                    <xdr:col>8</xdr:col>
                    <xdr:colOff>163286</xdr:colOff>
                    <xdr:row>150</xdr:row>
                    <xdr:rowOff>84364</xdr:rowOff>
                  </to>
                </anchor>
              </controlPr>
            </control>
          </mc:Choice>
        </mc:AlternateContent>
        <mc:AlternateContent xmlns:mc="http://schemas.openxmlformats.org/markup-compatibility/2006">
          <mc:Choice Requires="x14">
            <control shapeId="45231" r:id="rId42" name="Button 175">
              <controlPr defaultSize="0" print="0" autoFill="0" autoPict="0" macro="[0]!Whatzit2">
                <anchor moveWithCells="1">
                  <from>
                    <xdr:col>12</xdr:col>
                    <xdr:colOff>182336</xdr:colOff>
                    <xdr:row>154</xdr:row>
                    <xdr:rowOff>65314</xdr:rowOff>
                  </from>
                  <to>
                    <xdr:col>13</xdr:col>
                    <xdr:colOff>495300</xdr:colOff>
                    <xdr:row>155</xdr:row>
                    <xdr:rowOff>84364</xdr:rowOff>
                  </to>
                </anchor>
              </controlPr>
            </control>
          </mc:Choice>
        </mc:AlternateContent>
        <mc:AlternateContent xmlns:mc="http://schemas.openxmlformats.org/markup-compatibility/2006">
          <mc:Choice Requires="x14">
            <control shapeId="45232" r:id="rId43" name="Button 176">
              <controlPr defaultSize="0" print="0" autoFill="0" autoPict="0" macro="[0]!Sawtooth">
                <anchor moveWithCells="1">
                  <from>
                    <xdr:col>10</xdr:col>
                    <xdr:colOff>201386</xdr:colOff>
                    <xdr:row>154</xdr:row>
                    <xdr:rowOff>65314</xdr:rowOff>
                  </from>
                  <to>
                    <xdr:col>11</xdr:col>
                    <xdr:colOff>517071</xdr:colOff>
                    <xdr:row>155</xdr:row>
                    <xdr:rowOff>84364</xdr:rowOff>
                  </to>
                </anchor>
              </controlPr>
            </control>
          </mc:Choice>
        </mc:AlternateContent>
        <mc:AlternateContent xmlns:mc="http://schemas.openxmlformats.org/markup-compatibility/2006">
          <mc:Choice Requires="x14">
            <control shapeId="45233" r:id="rId44" name="Button 177">
              <controlPr defaultSize="0" print="0" autoFill="0" autoPict="0" macro="[0]!GoofyThing">
                <anchor moveWithCells="1">
                  <from>
                    <xdr:col>8</xdr:col>
                    <xdr:colOff>182336</xdr:colOff>
                    <xdr:row>154</xdr:row>
                    <xdr:rowOff>65314</xdr:rowOff>
                  </from>
                  <to>
                    <xdr:col>9</xdr:col>
                    <xdr:colOff>495300</xdr:colOff>
                    <xdr:row>155</xdr:row>
                    <xdr:rowOff>84364</xdr:rowOff>
                  </to>
                </anchor>
              </controlPr>
            </control>
          </mc:Choice>
        </mc:AlternateContent>
        <mc:AlternateContent xmlns:mc="http://schemas.openxmlformats.org/markup-compatibility/2006">
          <mc:Choice Requires="x14">
            <control shapeId="45234" r:id="rId45" name="Button 178">
              <controlPr defaultSize="0" print="0" autoFill="0" autoPict="0" macro="[0]!Whatzit">
                <anchor moveWithCells="1">
                  <from>
                    <xdr:col>6</xdr:col>
                    <xdr:colOff>201386</xdr:colOff>
                    <xdr:row>154</xdr:row>
                    <xdr:rowOff>65314</xdr:rowOff>
                  </from>
                  <to>
                    <xdr:col>7</xdr:col>
                    <xdr:colOff>517071</xdr:colOff>
                    <xdr:row>155</xdr:row>
                    <xdr:rowOff>84364</xdr:rowOff>
                  </to>
                </anchor>
              </controlPr>
            </control>
          </mc:Choice>
        </mc:AlternateContent>
        <mc:AlternateContent xmlns:mc="http://schemas.openxmlformats.org/markup-compatibility/2006">
          <mc:Choice Requires="x14">
            <control shapeId="45235" r:id="rId46" name="Button 179">
              <controlPr defaultSize="0" print="0" autoFill="0" autoPict="0" macro="[0]!LittleDealy">
                <anchor moveWithCells="1">
                  <from>
                    <xdr:col>4</xdr:col>
                    <xdr:colOff>163286</xdr:colOff>
                    <xdr:row>154</xdr:row>
                    <xdr:rowOff>65314</xdr:rowOff>
                  </from>
                  <to>
                    <xdr:col>5</xdr:col>
                    <xdr:colOff>476250</xdr:colOff>
                    <xdr:row>155</xdr:row>
                    <xdr:rowOff>84364</xdr:rowOff>
                  </to>
                </anchor>
              </controlPr>
            </control>
          </mc:Choice>
        </mc:AlternateContent>
        <mc:AlternateContent xmlns:mc="http://schemas.openxmlformats.org/markup-compatibility/2006">
          <mc:Choice Requires="x14">
            <control shapeId="45236" r:id="rId47" name="Button 180">
              <controlPr defaultSize="0" print="0" autoFill="0" autoPict="0" macro="[0]!OC">
                <anchor moveWithCells="1">
                  <from>
                    <xdr:col>2</xdr:col>
                    <xdr:colOff>163286</xdr:colOff>
                    <xdr:row>154</xdr:row>
                    <xdr:rowOff>65314</xdr:rowOff>
                  </from>
                  <to>
                    <xdr:col>3</xdr:col>
                    <xdr:colOff>476250</xdr:colOff>
                    <xdr:row>155</xdr:row>
                    <xdr:rowOff>84364</xdr:rowOff>
                  </to>
                </anchor>
              </controlPr>
            </control>
          </mc:Choice>
        </mc:AlternateContent>
        <mc:AlternateContent xmlns:mc="http://schemas.openxmlformats.org/markup-compatibility/2006">
          <mc:Choice Requires="x14">
            <control shapeId="45237" r:id="rId48" name="Button 181">
              <controlPr defaultSize="0" print="0" autoFill="0" autoPict="0" macro="[0]!MuleShoe">
                <anchor moveWithCells="1">
                  <from>
                    <xdr:col>0</xdr:col>
                    <xdr:colOff>193221</xdr:colOff>
                    <xdr:row>154</xdr:row>
                    <xdr:rowOff>65314</xdr:rowOff>
                  </from>
                  <to>
                    <xdr:col>1</xdr:col>
                    <xdr:colOff>506186</xdr:colOff>
                    <xdr:row>155</xdr:row>
                    <xdr:rowOff>84364</xdr:rowOff>
                  </to>
                </anchor>
              </controlPr>
            </control>
          </mc:Choice>
        </mc:AlternateContent>
        <mc:AlternateContent xmlns:mc="http://schemas.openxmlformats.org/markup-compatibility/2006">
          <mc:Choice Requires="x14">
            <control shapeId="45238" r:id="rId49" name="Button 182">
              <controlPr defaultSize="0" print="0" autoFill="0" autoPict="0" macro="[0]!Whatzit3">
                <anchor moveWithCells="1">
                  <from>
                    <xdr:col>0</xdr:col>
                    <xdr:colOff>163286</xdr:colOff>
                    <xdr:row>158</xdr:row>
                    <xdr:rowOff>65314</xdr:rowOff>
                  </from>
                  <to>
                    <xdr:col>1</xdr:col>
                    <xdr:colOff>476250</xdr:colOff>
                    <xdr:row>159</xdr:row>
                    <xdr:rowOff>84364</xdr:rowOff>
                  </to>
                </anchor>
              </controlPr>
            </control>
          </mc:Choice>
        </mc:AlternateContent>
        <mc:AlternateContent xmlns:mc="http://schemas.openxmlformats.org/markup-compatibility/2006">
          <mc:Choice Requires="x14">
            <control shapeId="45239" r:id="rId50" name="Button 183">
              <controlPr defaultSize="0" print="0" autoFill="0" autoPict="0" macro="[0]!Profile3">
                <anchor moveWithCells="1">
                  <from>
                    <xdr:col>2</xdr:col>
                    <xdr:colOff>193221</xdr:colOff>
                    <xdr:row>158</xdr:row>
                    <xdr:rowOff>65314</xdr:rowOff>
                  </from>
                  <to>
                    <xdr:col>3</xdr:col>
                    <xdr:colOff>506186</xdr:colOff>
                    <xdr:row>159</xdr:row>
                    <xdr:rowOff>84364</xdr:rowOff>
                  </to>
                </anchor>
              </controlPr>
            </control>
          </mc:Choice>
        </mc:AlternateContent>
        <mc:AlternateContent xmlns:mc="http://schemas.openxmlformats.org/markup-compatibility/2006">
          <mc:Choice Requires="x14">
            <control shapeId="45240" r:id="rId51" name="Button 184">
              <controlPr defaultSize="0" print="0" autoFill="0" autoPict="0" macro="[0]!SepSub">
                <anchor moveWithCells="1">
                  <from>
                    <xdr:col>4</xdr:col>
                    <xdr:colOff>182336</xdr:colOff>
                    <xdr:row>158</xdr:row>
                    <xdr:rowOff>65314</xdr:rowOff>
                  </from>
                  <to>
                    <xdr:col>5</xdr:col>
                    <xdr:colOff>495300</xdr:colOff>
                    <xdr:row>159</xdr:row>
                    <xdr:rowOff>84364</xdr:rowOff>
                  </to>
                </anchor>
              </controlPr>
            </control>
          </mc:Choice>
        </mc:AlternateContent>
        <mc:AlternateContent xmlns:mc="http://schemas.openxmlformats.org/markup-compatibility/2006">
          <mc:Choice Requires="x14">
            <control shapeId="45241" r:id="rId52" name="Button 185">
              <controlPr defaultSize="0" print="0" autoFill="0" autoPict="0" macro="[0]!HeavyWall">
                <anchor moveWithCells="1">
                  <from>
                    <xdr:col>6</xdr:col>
                    <xdr:colOff>193221</xdr:colOff>
                    <xdr:row>158</xdr:row>
                    <xdr:rowOff>65314</xdr:rowOff>
                  </from>
                  <to>
                    <xdr:col>7</xdr:col>
                    <xdr:colOff>506186</xdr:colOff>
                    <xdr:row>159</xdr:row>
                    <xdr:rowOff>84364</xdr:rowOff>
                  </to>
                </anchor>
              </controlPr>
            </control>
          </mc:Choice>
        </mc:AlternateContent>
        <mc:AlternateContent xmlns:mc="http://schemas.openxmlformats.org/markup-compatibility/2006">
          <mc:Choice Requires="x14">
            <control shapeId="45242" r:id="rId53" name="Button 186">
              <controlPr defaultSize="0" print="0" autoFill="0" autoPict="0" macro="[0]!AnotherDealy">
                <anchor moveWithCells="1">
                  <from>
                    <xdr:col>8</xdr:col>
                    <xdr:colOff>152400</xdr:colOff>
                    <xdr:row>158</xdr:row>
                    <xdr:rowOff>65314</xdr:rowOff>
                  </from>
                  <to>
                    <xdr:col>9</xdr:col>
                    <xdr:colOff>465364</xdr:colOff>
                    <xdr:row>159</xdr:row>
                    <xdr:rowOff>84364</xdr:rowOff>
                  </to>
                </anchor>
              </controlPr>
            </control>
          </mc:Choice>
        </mc:AlternateContent>
        <mc:AlternateContent xmlns:mc="http://schemas.openxmlformats.org/markup-compatibility/2006">
          <mc:Choice Requires="x14">
            <control shapeId="45243" r:id="rId54" name="Button 187">
              <controlPr defaultSize="0" print="0" autoFill="0" autoPict="0" macro="[0]!AnotherDealy2">
                <anchor moveWithCells="1">
                  <from>
                    <xdr:col>10</xdr:col>
                    <xdr:colOff>152400</xdr:colOff>
                    <xdr:row>158</xdr:row>
                    <xdr:rowOff>65314</xdr:rowOff>
                  </from>
                  <to>
                    <xdr:col>11</xdr:col>
                    <xdr:colOff>465364</xdr:colOff>
                    <xdr:row>159</xdr:row>
                    <xdr:rowOff>84364</xdr:rowOff>
                  </to>
                </anchor>
              </controlPr>
            </control>
          </mc:Choice>
        </mc:AlternateContent>
        <mc:AlternateContent xmlns:mc="http://schemas.openxmlformats.org/markup-compatibility/2006">
          <mc:Choice Requires="x14">
            <control shapeId="45244" r:id="rId55" name="Button 188">
              <controlPr defaultSize="0" print="0" autoFill="0" autoPict="0" macro="[0]!ProfileSawtooth">
                <anchor moveWithCells="1">
                  <from>
                    <xdr:col>0</xdr:col>
                    <xdr:colOff>130629</xdr:colOff>
                    <xdr:row>162</xdr:row>
                    <xdr:rowOff>65314</xdr:rowOff>
                  </from>
                  <to>
                    <xdr:col>1</xdr:col>
                    <xdr:colOff>446314</xdr:colOff>
                    <xdr:row>163</xdr:row>
                    <xdr:rowOff>84364</xdr:rowOff>
                  </to>
                </anchor>
              </controlPr>
            </control>
          </mc:Choice>
        </mc:AlternateContent>
        <mc:AlternateContent xmlns:mc="http://schemas.openxmlformats.org/markup-compatibility/2006">
          <mc:Choice Requires="x14">
            <control shapeId="45245" r:id="rId56" name="Button 189">
              <controlPr defaultSize="0" print="0" autoFill="0" autoPict="0" macro="[0]!WhoKnows">
                <anchor moveWithCells="1">
                  <from>
                    <xdr:col>2</xdr:col>
                    <xdr:colOff>152400</xdr:colOff>
                    <xdr:row>162</xdr:row>
                    <xdr:rowOff>65314</xdr:rowOff>
                  </from>
                  <to>
                    <xdr:col>3</xdr:col>
                    <xdr:colOff>465364</xdr:colOff>
                    <xdr:row>163</xdr:row>
                    <xdr:rowOff>84364</xdr:rowOff>
                  </to>
                </anchor>
              </controlPr>
            </control>
          </mc:Choice>
        </mc:AlternateContent>
        <mc:AlternateContent xmlns:mc="http://schemas.openxmlformats.org/markup-compatibility/2006">
          <mc:Choice Requires="x14">
            <control shapeId="45246" r:id="rId57" name="Button 190">
              <controlPr defaultSize="0" print="0" autoFill="0" autoPict="0" macro="[0]!Pluggaduggyaunky">
                <anchor moveWithCells="1">
                  <from>
                    <xdr:col>4</xdr:col>
                    <xdr:colOff>201386</xdr:colOff>
                    <xdr:row>163</xdr:row>
                    <xdr:rowOff>65314</xdr:rowOff>
                  </from>
                  <to>
                    <xdr:col>5</xdr:col>
                    <xdr:colOff>517071</xdr:colOff>
                    <xdr:row>164</xdr:row>
                    <xdr:rowOff>84364</xdr:rowOff>
                  </to>
                </anchor>
              </controlPr>
            </control>
          </mc:Choice>
        </mc:AlternateContent>
        <mc:AlternateContent xmlns:mc="http://schemas.openxmlformats.org/markup-compatibility/2006">
          <mc:Choice Requires="x14">
            <control shapeId="45247" r:id="rId58" name="Button 191">
              <controlPr defaultSize="0" print="0" autoFill="0" autoPict="0" macro="[0]!PerfGun">
                <anchor moveWithCells="1">
                  <from>
                    <xdr:col>6</xdr:col>
                    <xdr:colOff>617764</xdr:colOff>
                    <xdr:row>163</xdr:row>
                    <xdr:rowOff>103414</xdr:rowOff>
                  </from>
                  <to>
                    <xdr:col>8</xdr:col>
                    <xdr:colOff>283029</xdr:colOff>
                    <xdr:row>164</xdr:row>
                    <xdr:rowOff>119743</xdr:rowOff>
                  </to>
                </anchor>
              </controlPr>
            </control>
          </mc:Choice>
        </mc:AlternateContent>
        <mc:AlternateContent xmlns:mc="http://schemas.openxmlformats.org/markup-compatibility/2006">
          <mc:Choice Requires="x14">
            <control shapeId="45248" r:id="rId59" name="Button 192">
              <controlPr defaultSize="0" print="0" autoFill="0" autoPict="0" macro="[0]!StatorRotor">
                <anchor moveWithCells="1">
                  <from>
                    <xdr:col>11</xdr:col>
                    <xdr:colOff>383721</xdr:colOff>
                    <xdr:row>163</xdr:row>
                    <xdr:rowOff>84364</xdr:rowOff>
                  </from>
                  <to>
                    <xdr:col>13</xdr:col>
                    <xdr:colOff>51707</xdr:colOff>
                    <xdr:row>164</xdr:row>
                    <xdr:rowOff>103414</xdr:rowOff>
                  </to>
                </anchor>
              </controlPr>
            </control>
          </mc:Choice>
        </mc:AlternateContent>
        <mc:AlternateContent xmlns:mc="http://schemas.openxmlformats.org/markup-compatibility/2006">
          <mc:Choice Requires="x14">
            <control shapeId="45338" r:id="rId60" name="Button 282">
              <controlPr defaultSize="0" print="0" autoFill="0" autoPict="0" macro="[0]!GOTOPACKERS">
                <anchor moveWithCells="1">
                  <from>
                    <xdr:col>12</xdr:col>
                    <xdr:colOff>163286</xdr:colOff>
                    <xdr:row>2</xdr:row>
                    <xdr:rowOff>78921</xdr:rowOff>
                  </from>
                  <to>
                    <xdr:col>14</xdr:col>
                    <xdr:colOff>353786</xdr:colOff>
                    <xdr:row>3</xdr:row>
                    <xdr:rowOff>114300</xdr:rowOff>
                  </to>
                </anchor>
              </controlPr>
            </control>
          </mc:Choice>
        </mc:AlternateContent>
        <mc:AlternateContent xmlns:mc="http://schemas.openxmlformats.org/markup-compatibility/2006">
          <mc:Choice Requires="x14">
            <control shapeId="45343" r:id="rId61" name="Button 287">
              <controlPr defaultSize="0" print="0" autoFill="0" autoPict="0" macro="[0]!GOTOHORIZONTAL">
                <anchor moveWithCells="1">
                  <from>
                    <xdr:col>12</xdr:col>
                    <xdr:colOff>163286</xdr:colOff>
                    <xdr:row>4</xdr:row>
                    <xdr:rowOff>8164</xdr:rowOff>
                  </from>
                  <to>
                    <xdr:col>14</xdr:col>
                    <xdr:colOff>353786</xdr:colOff>
                    <xdr:row>5</xdr:row>
                    <xdr:rowOff>43543</xdr:rowOff>
                  </to>
                </anchor>
              </controlPr>
            </control>
          </mc:Choice>
        </mc:AlternateContent>
        <mc:AlternateContent xmlns:mc="http://schemas.openxmlformats.org/markup-compatibility/2006">
          <mc:Choice Requires="x14">
            <control shapeId="45344" r:id="rId62" name="Button 288">
              <controlPr defaultSize="0" print="0" autoFill="0" autoPict="0" macro="[0]!GOTOTOOLS">
                <anchor moveWithCells="1">
                  <from>
                    <xdr:col>12</xdr:col>
                    <xdr:colOff>163286</xdr:colOff>
                    <xdr:row>5</xdr:row>
                    <xdr:rowOff>114300</xdr:rowOff>
                  </from>
                  <to>
                    <xdr:col>14</xdr:col>
                    <xdr:colOff>353786</xdr:colOff>
                    <xdr:row>6</xdr:row>
                    <xdr:rowOff>149679</xdr:rowOff>
                  </to>
                </anchor>
              </controlPr>
            </control>
          </mc:Choice>
        </mc:AlternateContent>
        <mc:AlternateContent xmlns:mc="http://schemas.openxmlformats.org/markup-compatibility/2006">
          <mc:Choice Requires="x14">
            <control shapeId="45345" r:id="rId63" name="Button 289">
              <controlPr defaultSize="0" print="0" autoFill="0" autoPict="0" macro="[0]!GOTOWELLHEADS">
                <anchor moveWithCells="1">
                  <from>
                    <xdr:col>12</xdr:col>
                    <xdr:colOff>163286</xdr:colOff>
                    <xdr:row>7</xdr:row>
                    <xdr:rowOff>51707</xdr:rowOff>
                  </from>
                  <to>
                    <xdr:col>14</xdr:col>
                    <xdr:colOff>353786</xdr:colOff>
                    <xdr:row>8</xdr:row>
                    <xdr:rowOff>89807</xdr:rowOff>
                  </to>
                </anchor>
              </controlPr>
            </control>
          </mc:Choice>
        </mc:AlternateContent>
        <mc:AlternateContent xmlns:mc="http://schemas.openxmlformats.org/markup-compatibility/2006">
          <mc:Choice Requires="x14">
            <control shapeId="45346" r:id="rId64" name="Button 290">
              <controlPr defaultSize="0" print="0" autoFill="0" autoPict="0" macro="[0]!GOTOSPECIALTY">
                <anchor moveWithCells="1">
                  <from>
                    <xdr:col>12</xdr:col>
                    <xdr:colOff>163286</xdr:colOff>
                    <xdr:row>8</xdr:row>
                    <xdr:rowOff>171450</xdr:rowOff>
                  </from>
                  <to>
                    <xdr:col>14</xdr:col>
                    <xdr:colOff>353786</xdr:colOff>
                    <xdr:row>10</xdr:row>
                    <xdr:rowOff>122464</xdr:rowOff>
                  </to>
                </anchor>
              </controlPr>
            </control>
          </mc:Choice>
        </mc:AlternateContent>
        <mc:AlternateContent xmlns:mc="http://schemas.openxmlformats.org/markup-compatibility/2006">
          <mc:Choice Requires="x14">
            <control shapeId="45347" r:id="rId65" name="Button 291">
              <controlPr defaultSize="0" print="0" autoFill="0" autoPict="0" macro="[0]!GOTOPACKERS">
                <anchor moveWithCells="1">
                  <from>
                    <xdr:col>13</xdr:col>
                    <xdr:colOff>163286</xdr:colOff>
                    <xdr:row>166</xdr:row>
                    <xdr:rowOff>84364</xdr:rowOff>
                  </from>
                  <to>
                    <xdr:col>15</xdr:col>
                    <xdr:colOff>353786</xdr:colOff>
                    <xdr:row>168</xdr:row>
                    <xdr:rowOff>8164</xdr:rowOff>
                  </to>
                </anchor>
              </controlPr>
            </control>
          </mc:Choice>
        </mc:AlternateContent>
        <mc:AlternateContent xmlns:mc="http://schemas.openxmlformats.org/markup-compatibility/2006">
          <mc:Choice Requires="x14">
            <control shapeId="45348" r:id="rId66" name="Button 292">
              <controlPr defaultSize="0" print="0" autoFill="0" autoPict="0" macro="[0]!GOTOHORIZONTAL">
                <anchor moveWithCells="1">
                  <from>
                    <xdr:col>13</xdr:col>
                    <xdr:colOff>163286</xdr:colOff>
                    <xdr:row>168</xdr:row>
                    <xdr:rowOff>8164</xdr:rowOff>
                  </from>
                  <to>
                    <xdr:col>15</xdr:col>
                    <xdr:colOff>353786</xdr:colOff>
                    <xdr:row>169</xdr:row>
                    <xdr:rowOff>111579</xdr:rowOff>
                  </to>
                </anchor>
              </controlPr>
            </control>
          </mc:Choice>
        </mc:AlternateContent>
        <mc:AlternateContent xmlns:mc="http://schemas.openxmlformats.org/markup-compatibility/2006">
          <mc:Choice Requires="x14">
            <control shapeId="45349" r:id="rId67" name="Button 293">
              <controlPr defaultSize="0" print="0" autoFill="0" autoPict="0" macro="[0]!GOTOWELLHEADS">
                <anchor moveWithCells="1">
                  <from>
                    <xdr:col>13</xdr:col>
                    <xdr:colOff>163286</xdr:colOff>
                    <xdr:row>169</xdr:row>
                    <xdr:rowOff>111579</xdr:rowOff>
                  </from>
                  <to>
                    <xdr:col>15</xdr:col>
                    <xdr:colOff>353786</xdr:colOff>
                    <xdr:row>171</xdr:row>
                    <xdr:rowOff>19050</xdr:rowOff>
                  </to>
                </anchor>
              </controlPr>
            </control>
          </mc:Choice>
        </mc:AlternateContent>
        <mc:AlternateContent xmlns:mc="http://schemas.openxmlformats.org/markup-compatibility/2006">
          <mc:Choice Requires="x14">
            <control shapeId="45350" r:id="rId68" name="Button 294">
              <controlPr defaultSize="0" print="0" autoFill="0" autoPict="0" macro="[0]!GOTOSPECIALTY">
                <anchor moveWithCells="1">
                  <from>
                    <xdr:col>13</xdr:col>
                    <xdr:colOff>163286</xdr:colOff>
                    <xdr:row>171</xdr:row>
                    <xdr:rowOff>38100</xdr:rowOff>
                  </from>
                  <to>
                    <xdr:col>15</xdr:col>
                    <xdr:colOff>353786</xdr:colOff>
                    <xdr:row>173</xdr:row>
                    <xdr:rowOff>182336</xdr:rowOff>
                  </to>
                </anchor>
              </controlPr>
            </control>
          </mc:Choice>
        </mc:AlternateContent>
        <mc:AlternateContent xmlns:mc="http://schemas.openxmlformats.org/markup-compatibility/2006">
          <mc:Choice Requires="x14">
            <control shapeId="45351" r:id="rId69" name="Button 295">
              <controlPr defaultSize="0" print="0" autoFill="0" autoPict="0" macro="[0]!GOTOPACKERS">
                <anchor moveWithCells="1">
                  <from>
                    <xdr:col>15</xdr:col>
                    <xdr:colOff>163286</xdr:colOff>
                    <xdr:row>102</xdr:row>
                    <xdr:rowOff>84364</xdr:rowOff>
                  </from>
                  <to>
                    <xdr:col>17</xdr:col>
                    <xdr:colOff>353786</xdr:colOff>
                    <xdr:row>104</xdr:row>
                    <xdr:rowOff>8164</xdr:rowOff>
                  </to>
                </anchor>
              </controlPr>
            </control>
          </mc:Choice>
        </mc:AlternateContent>
        <mc:AlternateContent xmlns:mc="http://schemas.openxmlformats.org/markup-compatibility/2006">
          <mc:Choice Requires="x14">
            <control shapeId="45352" r:id="rId70" name="Button 296">
              <controlPr defaultSize="0" print="0" autoFill="0" autoPict="0" macro="[0]!GOTOTOOLS">
                <anchor moveWithCells="1">
                  <from>
                    <xdr:col>15</xdr:col>
                    <xdr:colOff>163286</xdr:colOff>
                    <xdr:row>104</xdr:row>
                    <xdr:rowOff>8164</xdr:rowOff>
                  </from>
                  <to>
                    <xdr:col>17</xdr:col>
                    <xdr:colOff>353786</xdr:colOff>
                    <xdr:row>105</xdr:row>
                    <xdr:rowOff>111579</xdr:rowOff>
                  </to>
                </anchor>
              </controlPr>
            </control>
          </mc:Choice>
        </mc:AlternateContent>
        <mc:AlternateContent xmlns:mc="http://schemas.openxmlformats.org/markup-compatibility/2006">
          <mc:Choice Requires="x14">
            <control shapeId="45353" r:id="rId71" name="Button 297">
              <controlPr defaultSize="0" print="0" autoFill="0" autoPict="0" macro="[0]!GOTOWELLHEADS">
                <anchor moveWithCells="1">
                  <from>
                    <xdr:col>15</xdr:col>
                    <xdr:colOff>163286</xdr:colOff>
                    <xdr:row>105</xdr:row>
                    <xdr:rowOff>111579</xdr:rowOff>
                  </from>
                  <to>
                    <xdr:col>17</xdr:col>
                    <xdr:colOff>353786</xdr:colOff>
                    <xdr:row>107</xdr:row>
                    <xdr:rowOff>38100</xdr:rowOff>
                  </to>
                </anchor>
              </controlPr>
            </control>
          </mc:Choice>
        </mc:AlternateContent>
        <mc:AlternateContent xmlns:mc="http://schemas.openxmlformats.org/markup-compatibility/2006">
          <mc:Choice Requires="x14">
            <control shapeId="45354" r:id="rId72" name="Button 298">
              <controlPr defaultSize="0" print="0" autoFill="0" autoPict="0" macro="[0]!GOTOSPECIALTY">
                <anchor moveWithCells="1">
                  <from>
                    <xdr:col>15</xdr:col>
                    <xdr:colOff>163286</xdr:colOff>
                    <xdr:row>107</xdr:row>
                    <xdr:rowOff>38100</xdr:rowOff>
                  </from>
                  <to>
                    <xdr:col>17</xdr:col>
                    <xdr:colOff>353786</xdr:colOff>
                    <xdr:row>109</xdr:row>
                    <xdr:rowOff>168729</xdr:rowOff>
                  </to>
                </anchor>
              </controlPr>
            </control>
          </mc:Choice>
        </mc:AlternateContent>
        <mc:AlternateContent xmlns:mc="http://schemas.openxmlformats.org/markup-compatibility/2006">
          <mc:Choice Requires="x14">
            <control shapeId="45355" r:id="rId73" name="Button 299">
              <controlPr defaultSize="0" print="0" autoFill="0" autoPict="0" macro="[0]!GOTOHORIZONTAL">
                <anchor moveWithCells="1">
                  <from>
                    <xdr:col>13</xdr:col>
                    <xdr:colOff>163286</xdr:colOff>
                    <xdr:row>56</xdr:row>
                    <xdr:rowOff>8164</xdr:rowOff>
                  </from>
                  <to>
                    <xdr:col>15</xdr:col>
                    <xdr:colOff>353786</xdr:colOff>
                    <xdr:row>57</xdr:row>
                    <xdr:rowOff>111579</xdr:rowOff>
                  </to>
                </anchor>
              </controlPr>
            </control>
          </mc:Choice>
        </mc:AlternateContent>
        <mc:AlternateContent xmlns:mc="http://schemas.openxmlformats.org/markup-compatibility/2006">
          <mc:Choice Requires="x14">
            <control shapeId="45356" r:id="rId74" name="Button 300">
              <controlPr defaultSize="0" print="0" autoFill="0" autoPict="0" macro="[0]!GOTOTOOLS">
                <anchor moveWithCells="1">
                  <from>
                    <xdr:col>13</xdr:col>
                    <xdr:colOff>163286</xdr:colOff>
                    <xdr:row>57</xdr:row>
                    <xdr:rowOff>111579</xdr:rowOff>
                  </from>
                  <to>
                    <xdr:col>15</xdr:col>
                    <xdr:colOff>353786</xdr:colOff>
                    <xdr:row>59</xdr:row>
                    <xdr:rowOff>38100</xdr:rowOff>
                  </to>
                </anchor>
              </controlPr>
            </control>
          </mc:Choice>
        </mc:AlternateContent>
        <mc:AlternateContent xmlns:mc="http://schemas.openxmlformats.org/markup-compatibility/2006">
          <mc:Choice Requires="x14">
            <control shapeId="45357" r:id="rId75" name="Button 301">
              <controlPr defaultSize="0" print="0" autoFill="0" autoPict="0" macro="[0]!GOTOWELLHEADS">
                <anchor moveWithCells="1">
                  <from>
                    <xdr:col>13</xdr:col>
                    <xdr:colOff>163286</xdr:colOff>
                    <xdr:row>59</xdr:row>
                    <xdr:rowOff>38100</xdr:rowOff>
                  </from>
                  <to>
                    <xdr:col>15</xdr:col>
                    <xdr:colOff>353786</xdr:colOff>
                    <xdr:row>60</xdr:row>
                    <xdr:rowOff>138793</xdr:rowOff>
                  </to>
                </anchor>
              </controlPr>
            </control>
          </mc:Choice>
        </mc:AlternateContent>
        <mc:AlternateContent xmlns:mc="http://schemas.openxmlformats.org/markup-compatibility/2006">
          <mc:Choice Requires="x14">
            <control shapeId="45358" r:id="rId76" name="Button 302">
              <controlPr defaultSize="0" print="0" autoFill="0" autoPict="0" macro="[0]!GOTOSPECIALTY">
                <anchor moveWithCells="1">
                  <from>
                    <xdr:col>13</xdr:col>
                    <xdr:colOff>163286</xdr:colOff>
                    <xdr:row>60</xdr:row>
                    <xdr:rowOff>138793</xdr:rowOff>
                  </from>
                  <to>
                    <xdr:col>15</xdr:col>
                    <xdr:colOff>353786</xdr:colOff>
                    <xdr:row>64</xdr:row>
                    <xdr:rowOff>8164</xdr:rowOff>
                  </to>
                </anchor>
              </controlPr>
            </control>
          </mc:Choice>
        </mc:AlternateContent>
        <mc:AlternateContent xmlns:mc="http://schemas.openxmlformats.org/markup-compatibility/2006">
          <mc:Choice Requires="x14">
            <control shapeId="45359" r:id="rId77" name="Button 303">
              <controlPr defaultSize="0" print="0" autoFill="0" autoPict="0" macro="[0]!GOTOPACKERS">
                <anchor moveWithCells="1">
                  <from>
                    <xdr:col>13</xdr:col>
                    <xdr:colOff>163286</xdr:colOff>
                    <xdr:row>195</xdr:row>
                    <xdr:rowOff>84364</xdr:rowOff>
                  </from>
                  <to>
                    <xdr:col>15</xdr:col>
                    <xdr:colOff>353786</xdr:colOff>
                    <xdr:row>197</xdr:row>
                    <xdr:rowOff>8164</xdr:rowOff>
                  </to>
                </anchor>
              </controlPr>
            </control>
          </mc:Choice>
        </mc:AlternateContent>
        <mc:AlternateContent xmlns:mc="http://schemas.openxmlformats.org/markup-compatibility/2006">
          <mc:Choice Requires="x14">
            <control shapeId="45360" r:id="rId78" name="Button 304">
              <controlPr defaultSize="0" print="0" autoFill="0" autoPict="0" macro="[0]!GOTOHORIZONTAL">
                <anchor moveWithCells="1">
                  <from>
                    <xdr:col>13</xdr:col>
                    <xdr:colOff>163286</xdr:colOff>
                    <xdr:row>197</xdr:row>
                    <xdr:rowOff>8164</xdr:rowOff>
                  </from>
                  <to>
                    <xdr:col>15</xdr:col>
                    <xdr:colOff>353786</xdr:colOff>
                    <xdr:row>198</xdr:row>
                    <xdr:rowOff>111579</xdr:rowOff>
                  </to>
                </anchor>
              </controlPr>
            </control>
          </mc:Choice>
        </mc:AlternateContent>
        <mc:AlternateContent xmlns:mc="http://schemas.openxmlformats.org/markup-compatibility/2006">
          <mc:Choice Requires="x14">
            <control shapeId="45361" r:id="rId79" name="Button 305">
              <controlPr defaultSize="0" print="0" autoFill="0" autoPict="0" macro="[0]!GOTOTOOLS">
                <anchor moveWithCells="1">
                  <from>
                    <xdr:col>13</xdr:col>
                    <xdr:colOff>163286</xdr:colOff>
                    <xdr:row>198</xdr:row>
                    <xdr:rowOff>111579</xdr:rowOff>
                  </from>
                  <to>
                    <xdr:col>15</xdr:col>
                    <xdr:colOff>353786</xdr:colOff>
                    <xdr:row>200</xdr:row>
                    <xdr:rowOff>38100</xdr:rowOff>
                  </to>
                </anchor>
              </controlPr>
            </control>
          </mc:Choice>
        </mc:AlternateContent>
        <mc:AlternateContent xmlns:mc="http://schemas.openxmlformats.org/markup-compatibility/2006">
          <mc:Choice Requires="x14">
            <control shapeId="45362" r:id="rId80" name="Button 306">
              <controlPr defaultSize="0" print="0" autoFill="0" autoPict="0" macro="[0]!GOTOSPECIALTY">
                <anchor moveWithCells="1">
                  <from>
                    <xdr:col>13</xdr:col>
                    <xdr:colOff>163286</xdr:colOff>
                    <xdr:row>200</xdr:row>
                    <xdr:rowOff>38100</xdr:rowOff>
                  </from>
                  <to>
                    <xdr:col>15</xdr:col>
                    <xdr:colOff>353786</xdr:colOff>
                    <xdr:row>202</xdr:row>
                    <xdr:rowOff>138793</xdr:rowOff>
                  </to>
                </anchor>
              </controlPr>
            </control>
          </mc:Choice>
        </mc:AlternateContent>
        <mc:AlternateContent xmlns:mc="http://schemas.openxmlformats.org/markup-compatibility/2006">
          <mc:Choice Requires="x14">
            <control shapeId="45363" r:id="rId81" name="Button 307">
              <controlPr defaultSize="0" print="0" autoFill="0" autoPict="0" macro="[0]!GOTOPACKERS">
                <anchor moveWithCells="1">
                  <from>
                    <xdr:col>14</xdr:col>
                    <xdr:colOff>163286</xdr:colOff>
                    <xdr:row>348</xdr:row>
                    <xdr:rowOff>84364</xdr:rowOff>
                  </from>
                  <to>
                    <xdr:col>16</xdr:col>
                    <xdr:colOff>353786</xdr:colOff>
                    <xdr:row>350</xdr:row>
                    <xdr:rowOff>8164</xdr:rowOff>
                  </to>
                </anchor>
              </controlPr>
            </control>
          </mc:Choice>
        </mc:AlternateContent>
        <mc:AlternateContent xmlns:mc="http://schemas.openxmlformats.org/markup-compatibility/2006">
          <mc:Choice Requires="x14">
            <control shapeId="45364" r:id="rId82" name="Button 308">
              <controlPr defaultSize="0" print="0" autoFill="0" autoPict="0" macro="[0]!GOTOHORIZONTAL">
                <anchor moveWithCells="1">
                  <from>
                    <xdr:col>14</xdr:col>
                    <xdr:colOff>163286</xdr:colOff>
                    <xdr:row>350</xdr:row>
                    <xdr:rowOff>8164</xdr:rowOff>
                  </from>
                  <to>
                    <xdr:col>16</xdr:col>
                    <xdr:colOff>353786</xdr:colOff>
                    <xdr:row>351</xdr:row>
                    <xdr:rowOff>111579</xdr:rowOff>
                  </to>
                </anchor>
              </controlPr>
            </control>
          </mc:Choice>
        </mc:AlternateContent>
        <mc:AlternateContent xmlns:mc="http://schemas.openxmlformats.org/markup-compatibility/2006">
          <mc:Choice Requires="x14">
            <control shapeId="45365" r:id="rId83" name="Button 309">
              <controlPr defaultSize="0" print="0" autoFill="0" autoPict="0" macro="[0]!GOTOTOOLS">
                <anchor moveWithCells="1">
                  <from>
                    <xdr:col>14</xdr:col>
                    <xdr:colOff>163286</xdr:colOff>
                    <xdr:row>351</xdr:row>
                    <xdr:rowOff>111579</xdr:rowOff>
                  </from>
                  <to>
                    <xdr:col>16</xdr:col>
                    <xdr:colOff>353786</xdr:colOff>
                    <xdr:row>353</xdr:row>
                    <xdr:rowOff>38100</xdr:rowOff>
                  </to>
                </anchor>
              </controlPr>
            </control>
          </mc:Choice>
        </mc:AlternateContent>
        <mc:AlternateContent xmlns:mc="http://schemas.openxmlformats.org/markup-compatibility/2006">
          <mc:Choice Requires="x14">
            <control shapeId="45366" r:id="rId84" name="Button 310">
              <controlPr defaultSize="0" print="0" autoFill="0" autoPict="0" macro="[0]!GOTOWELLHEADS">
                <anchor moveWithCells="1">
                  <from>
                    <xdr:col>14</xdr:col>
                    <xdr:colOff>163286</xdr:colOff>
                    <xdr:row>353</xdr:row>
                    <xdr:rowOff>38100</xdr:rowOff>
                  </from>
                  <to>
                    <xdr:col>16</xdr:col>
                    <xdr:colOff>353786</xdr:colOff>
                    <xdr:row>354</xdr:row>
                    <xdr:rowOff>138793</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F4276-3822-4811-A593-2BC2958E2A95}">
  <sheetPr codeName="Sheet1">
    <pageSetUpPr autoPageBreaks="0"/>
  </sheetPr>
  <dimension ref="B1:O240"/>
  <sheetViews>
    <sheetView showGridLines="0" showRowColHeaders="0" showZeros="0" showOutlineSymbols="0" zoomScale="106" workbookViewId="0">
      <selection activeCell="E4" sqref="E4:I4"/>
    </sheetView>
  </sheetViews>
  <sheetFormatPr defaultColWidth="9.15234375" defaultRowHeight="10.3"/>
  <cols>
    <col min="1" max="1" width="1.69140625" style="666" customWidth="1"/>
    <col min="2" max="4" width="3.421875" style="666" customWidth="1"/>
    <col min="5" max="6" width="10.69140625" style="666" customWidth="1"/>
    <col min="7" max="7" width="15.265625" style="666" customWidth="1"/>
    <col min="8" max="9" width="3.69140625" style="666" customWidth="1"/>
    <col min="10" max="10" width="3.57421875" style="666" customWidth="1"/>
    <col min="11" max="15" width="8.69140625" style="666" customWidth="1"/>
    <col min="16" max="16384" width="9.15234375" style="666"/>
  </cols>
  <sheetData>
    <row r="1" spans="2:15" ht="9" customHeight="1">
      <c r="E1" s="667"/>
      <c r="F1" s="668"/>
      <c r="H1" s="668"/>
      <c r="I1" s="668"/>
    </row>
    <row r="2" spans="2:15" ht="13.5" customHeight="1">
      <c r="B2" s="669" t="s">
        <v>1351</v>
      </c>
      <c r="C2" s="670"/>
      <c r="D2" s="670"/>
      <c r="E2" s="671"/>
      <c r="F2" s="672"/>
      <c r="G2" s="670"/>
      <c r="H2" s="672"/>
      <c r="I2" s="672"/>
      <c r="J2" s="670"/>
      <c r="K2" s="670"/>
      <c r="L2" s="670"/>
      <c r="M2" s="670"/>
      <c r="N2" s="670"/>
      <c r="O2" s="670"/>
    </row>
    <row r="3" spans="2:15" ht="7.5" customHeight="1">
      <c r="E3" s="667"/>
      <c r="F3" s="673"/>
      <c r="H3" s="673"/>
      <c r="I3" s="673"/>
    </row>
    <row r="4" spans="2:15" ht="12" customHeight="1">
      <c r="B4" s="1732" t="s">
        <v>249</v>
      </c>
      <c r="C4" s="1732"/>
      <c r="D4" s="1732"/>
      <c r="E4" s="1735">
        <f>Summary!C6</f>
        <v>0</v>
      </c>
      <c r="F4" s="1735"/>
      <c r="G4" s="1735"/>
      <c r="H4" s="1735"/>
      <c r="I4" s="1735"/>
      <c r="J4" s="1734" t="s">
        <v>809</v>
      </c>
      <c r="K4" s="1734"/>
      <c r="L4" s="1720"/>
      <c r="M4" s="1720"/>
      <c r="N4" s="1720"/>
    </row>
    <row r="5" spans="2:15" ht="11.25" customHeight="1">
      <c r="B5" s="1733" t="s">
        <v>1352</v>
      </c>
      <c r="C5" s="1733"/>
      <c r="D5" s="1733"/>
      <c r="E5" s="1721">
        <f>Summary!C14</f>
        <v>0</v>
      </c>
      <c r="F5" s="1721"/>
      <c r="G5" s="673" t="s">
        <v>1353</v>
      </c>
      <c r="H5" s="1736">
        <f>Summary!H14</f>
        <v>0</v>
      </c>
      <c r="I5" s="1736"/>
      <c r="J5" s="1734" t="s">
        <v>1354</v>
      </c>
      <c r="K5" s="1734"/>
      <c r="L5" s="1721">
        <f>Summary!C63</f>
        <v>0</v>
      </c>
      <c r="M5" s="1721"/>
      <c r="N5" s="1721"/>
    </row>
    <row r="6" spans="2:15" ht="9" customHeight="1">
      <c r="E6" s="667"/>
    </row>
    <row r="7" spans="2:15" ht="9.75" customHeight="1">
      <c r="B7" s="674" t="s">
        <v>1355</v>
      </c>
      <c r="C7" s="674"/>
      <c r="D7" s="675"/>
      <c r="E7" s="667"/>
      <c r="H7" s="674" t="s">
        <v>1355</v>
      </c>
      <c r="I7" s="674"/>
      <c r="J7" s="675"/>
    </row>
    <row r="8" spans="2:15" ht="9.75" customHeight="1">
      <c r="B8" s="676" t="s">
        <v>1356</v>
      </c>
      <c r="C8" s="677" t="s">
        <v>985</v>
      </c>
      <c r="D8" s="678" t="s">
        <v>1001</v>
      </c>
      <c r="E8" s="667"/>
      <c r="H8" s="676" t="s">
        <v>1356</v>
      </c>
      <c r="I8" s="677" t="s">
        <v>985</v>
      </c>
      <c r="J8" s="678" t="s">
        <v>1001</v>
      </c>
    </row>
    <row r="9" spans="2:15" ht="9.75" customHeight="1">
      <c r="C9" s="679"/>
      <c r="E9" s="680"/>
      <c r="F9" s="680"/>
      <c r="G9" s="670"/>
      <c r="I9" s="679"/>
      <c r="K9" s="680"/>
      <c r="L9" s="680"/>
      <c r="M9" s="670"/>
      <c r="N9" s="670"/>
    </row>
    <row r="10" spans="2:15" ht="3.75" customHeight="1">
      <c r="E10" s="680"/>
      <c r="F10" s="680"/>
      <c r="G10" s="670"/>
    </row>
    <row r="11" spans="2:15" ht="8.25" customHeight="1">
      <c r="B11" s="666">
        <v>0</v>
      </c>
      <c r="C11" s="666" t="s">
        <v>115</v>
      </c>
      <c r="E11" s="681" t="s">
        <v>1433</v>
      </c>
      <c r="K11" s="681" t="s">
        <v>1434</v>
      </c>
    </row>
    <row r="12" spans="2:15" ht="8.25" customHeight="1">
      <c r="E12" s="682"/>
      <c r="K12" s="682"/>
    </row>
    <row r="13" spans="2:15" ht="8.25" customHeight="1">
      <c r="E13" s="681" t="s">
        <v>1435</v>
      </c>
      <c r="K13" s="681" t="s">
        <v>1436</v>
      </c>
    </row>
    <row r="14" spans="2:15" ht="8.25" customHeight="1">
      <c r="E14" s="682"/>
      <c r="K14" s="682"/>
    </row>
    <row r="15" spans="2:15" ht="8.25" customHeight="1">
      <c r="E15" s="681" t="s">
        <v>1437</v>
      </c>
      <c r="K15" s="681" t="s">
        <v>1438</v>
      </c>
    </row>
    <row r="16" spans="2:15" ht="8.25" customHeight="1">
      <c r="E16" s="682"/>
      <c r="K16" s="682"/>
    </row>
    <row r="17" spans="5:12" ht="8.25" customHeight="1">
      <c r="E17" s="681" t="s">
        <v>1439</v>
      </c>
      <c r="K17" s="681" t="s">
        <v>1441</v>
      </c>
    </row>
    <row r="18" spans="5:12" ht="8.25" customHeight="1">
      <c r="E18" s="682"/>
      <c r="K18" s="683" t="s">
        <v>1357</v>
      </c>
    </row>
    <row r="19" spans="5:12" ht="8.25" customHeight="1">
      <c r="E19" s="681" t="s">
        <v>1442</v>
      </c>
      <c r="K19" s="681" t="s">
        <v>1443</v>
      </c>
    </row>
    <row r="20" spans="5:12" ht="8.25" customHeight="1">
      <c r="E20" s="682"/>
    </row>
    <row r="21" spans="5:12" ht="8.25" customHeight="1">
      <c r="E21" s="681" t="s">
        <v>1444</v>
      </c>
      <c r="L21" s="684"/>
    </row>
    <row r="22" spans="5:12" ht="8.25" customHeight="1">
      <c r="E22" s="685" t="s">
        <v>1358</v>
      </c>
      <c r="K22" s="681" t="s">
        <v>1445</v>
      </c>
    </row>
    <row r="23" spans="5:12" ht="8.25" customHeight="1">
      <c r="E23" s="681" t="s">
        <v>1446</v>
      </c>
      <c r="K23" s="683" t="s">
        <v>1359</v>
      </c>
    </row>
    <row r="24" spans="5:12" ht="8.25" customHeight="1">
      <c r="E24" s="682"/>
      <c r="K24" s="681" t="s">
        <v>1447</v>
      </c>
    </row>
    <row r="25" spans="5:12" ht="8.25" customHeight="1">
      <c r="E25" s="681" t="s">
        <v>1455</v>
      </c>
      <c r="K25" s="682"/>
    </row>
    <row r="26" spans="5:12" ht="8.25" customHeight="1">
      <c r="E26" s="682"/>
      <c r="K26" s="681" t="s">
        <v>1456</v>
      </c>
    </row>
    <row r="27" spans="5:12" ht="8.25" customHeight="1">
      <c r="E27" s="681" t="s">
        <v>1457</v>
      </c>
      <c r="K27" s="682"/>
    </row>
    <row r="28" spans="5:12" ht="8.25" customHeight="1">
      <c r="E28" s="685" t="s">
        <v>1360</v>
      </c>
      <c r="K28" s="681" t="s">
        <v>1458</v>
      </c>
    </row>
    <row r="29" spans="5:12" ht="8.25" customHeight="1">
      <c r="F29" s="684"/>
      <c r="K29" s="682"/>
    </row>
    <row r="30" spans="5:12" ht="8.25" customHeight="1">
      <c r="E30" s="681" t="s">
        <v>1459</v>
      </c>
      <c r="K30" s="681" t="s">
        <v>1460</v>
      </c>
    </row>
    <row r="31" spans="5:12" ht="8.25" customHeight="1">
      <c r="E31" s="683" t="s">
        <v>1361</v>
      </c>
      <c r="K31" s="683" t="s">
        <v>1367</v>
      </c>
    </row>
    <row r="32" spans="5:12" ht="8.25" customHeight="1">
      <c r="E32" s="681" t="s">
        <v>1461</v>
      </c>
      <c r="K32" s="681" t="s">
        <v>1462</v>
      </c>
    </row>
    <row r="33" spans="5:11" ht="8.25" customHeight="1">
      <c r="E33" s="683" t="s">
        <v>1368</v>
      </c>
      <c r="K33" s="682"/>
    </row>
    <row r="34" spans="5:11" ht="8.25" customHeight="1">
      <c r="E34" s="681" t="s">
        <v>1464</v>
      </c>
      <c r="K34" s="681" t="s">
        <v>18</v>
      </c>
    </row>
    <row r="35" spans="5:11" ht="8.25" customHeight="1">
      <c r="E35" s="683" t="s">
        <v>1369</v>
      </c>
      <c r="K35" s="682"/>
    </row>
    <row r="36" spans="5:11" ht="8.25" customHeight="1">
      <c r="E36" s="681" t="s">
        <v>19</v>
      </c>
      <c r="K36" s="681" t="s">
        <v>20</v>
      </c>
    </row>
    <row r="37" spans="5:11" ht="8.25" customHeight="1">
      <c r="E37" s="682"/>
      <c r="K37" s="682"/>
    </row>
    <row r="38" spans="5:11" ht="8.25" customHeight="1">
      <c r="E38" s="681" t="s">
        <v>21</v>
      </c>
      <c r="K38" s="681" t="s">
        <v>22</v>
      </c>
    </row>
    <row r="39" spans="5:11" ht="8.25" customHeight="1">
      <c r="E39" s="683" t="s">
        <v>1370</v>
      </c>
      <c r="K39" s="685" t="s">
        <v>1371</v>
      </c>
    </row>
    <row r="40" spans="5:11" ht="8.25" customHeight="1">
      <c r="E40" s="681" t="s">
        <v>23</v>
      </c>
      <c r="K40" s="681" t="s">
        <v>24</v>
      </c>
    </row>
    <row r="41" spans="5:11" ht="8.25" customHeight="1">
      <c r="E41" s="683" t="s">
        <v>1372</v>
      </c>
      <c r="K41" s="683" t="s">
        <v>1373</v>
      </c>
    </row>
    <row r="42" spans="5:11" ht="8.25" customHeight="1">
      <c r="E42" s="681" t="s">
        <v>25</v>
      </c>
      <c r="K42" s="681" t="s">
        <v>26</v>
      </c>
    </row>
    <row r="43" spans="5:11" ht="8.25" customHeight="1">
      <c r="E43" s="682"/>
      <c r="K43" s="682"/>
    </row>
    <row r="44" spans="5:11" ht="8.25" customHeight="1">
      <c r="E44" s="681" t="s">
        <v>27</v>
      </c>
      <c r="K44" s="681" t="s">
        <v>28</v>
      </c>
    </row>
    <row r="45" spans="5:11" ht="8.25" customHeight="1">
      <c r="E45" s="682"/>
      <c r="K45" s="682"/>
    </row>
    <row r="46" spans="5:11" ht="8.25" customHeight="1">
      <c r="E46" s="681" t="s">
        <v>29</v>
      </c>
      <c r="K46" s="681" t="s">
        <v>30</v>
      </c>
    </row>
    <row r="47" spans="5:11" ht="8.25" customHeight="1">
      <c r="E47" s="682"/>
      <c r="K47" s="682"/>
    </row>
    <row r="48" spans="5:11" ht="8.25" customHeight="1">
      <c r="E48" s="681" t="s">
        <v>31</v>
      </c>
      <c r="K48" s="681" t="s">
        <v>32</v>
      </c>
    </row>
    <row r="49" spans="5:11" ht="8.25" customHeight="1">
      <c r="E49" s="683" t="s">
        <v>1374</v>
      </c>
      <c r="K49" s="682"/>
    </row>
    <row r="50" spans="5:11" ht="8.25" customHeight="1">
      <c r="E50" s="681" t="s">
        <v>34</v>
      </c>
      <c r="K50" s="681" t="s">
        <v>35</v>
      </c>
    </row>
    <row r="51" spans="5:11" ht="8.25" customHeight="1">
      <c r="E51" s="682"/>
      <c r="K51" s="682"/>
    </row>
    <row r="52" spans="5:11" ht="8.25" customHeight="1">
      <c r="E52" s="681" t="s">
        <v>36</v>
      </c>
      <c r="K52" s="681" t="s">
        <v>37</v>
      </c>
    </row>
    <row r="53" spans="5:11" ht="8.25" customHeight="1">
      <c r="E53" s="682"/>
      <c r="K53" s="682"/>
    </row>
    <row r="54" spans="5:11" ht="8.25" customHeight="1">
      <c r="E54" s="681" t="s">
        <v>38</v>
      </c>
      <c r="K54" s="681" t="s">
        <v>39</v>
      </c>
    </row>
    <row r="55" spans="5:11" ht="8.25" customHeight="1">
      <c r="E55" s="683" t="s">
        <v>1375</v>
      </c>
      <c r="K55" s="686"/>
    </row>
    <row r="56" spans="5:11" ht="8.25" customHeight="1">
      <c r="E56" s="681" t="s">
        <v>40</v>
      </c>
      <c r="K56" s="687" t="s">
        <v>41</v>
      </c>
    </row>
    <row r="57" spans="5:11" ht="8.25" customHeight="1">
      <c r="E57" s="682"/>
      <c r="K57" s="688" t="s">
        <v>1376</v>
      </c>
    </row>
    <row r="58" spans="5:11" ht="8.25" customHeight="1">
      <c r="E58" s="681" t="s">
        <v>42</v>
      </c>
      <c r="K58" s="687" t="s">
        <v>43</v>
      </c>
    </row>
    <row r="59" spans="5:11" ht="8.25" customHeight="1">
      <c r="K59" s="688" t="s">
        <v>1377</v>
      </c>
    </row>
    <row r="60" spans="5:11" ht="8.25" customHeight="1">
      <c r="F60" s="684"/>
      <c r="K60" s="687" t="s">
        <v>44</v>
      </c>
    </row>
    <row r="61" spans="5:11" ht="8.25" customHeight="1">
      <c r="E61" s="681" t="s">
        <v>45</v>
      </c>
      <c r="K61" s="686"/>
    </row>
    <row r="62" spans="5:11" ht="8.25" customHeight="1">
      <c r="E62" s="683" t="s">
        <v>1378</v>
      </c>
      <c r="K62" s="687" t="s">
        <v>46</v>
      </c>
    </row>
    <row r="63" spans="5:11" ht="8.25" customHeight="1">
      <c r="F63" s="684"/>
      <c r="K63" s="689" t="s">
        <v>1380</v>
      </c>
    </row>
    <row r="64" spans="5:11" ht="10.5" customHeight="1">
      <c r="E64" s="681" t="s">
        <v>47</v>
      </c>
      <c r="K64" s="687" t="s">
        <v>48</v>
      </c>
    </row>
    <row r="65" spans="2:11" ht="8.25" customHeight="1">
      <c r="E65" s="682"/>
      <c r="K65" s="686"/>
    </row>
    <row r="66" spans="2:11" ht="8.25" customHeight="1">
      <c r="E66" s="681" t="s">
        <v>49</v>
      </c>
      <c r="K66" s="687" t="s">
        <v>50</v>
      </c>
    </row>
    <row r="67" spans="2:11" ht="8.25" customHeight="1">
      <c r="E67" s="682"/>
      <c r="K67" s="689" t="s">
        <v>1383</v>
      </c>
    </row>
    <row r="68" spans="2:11" ht="8.25" customHeight="1">
      <c r="E68" s="681" t="s">
        <v>51</v>
      </c>
      <c r="K68" s="687" t="s">
        <v>52</v>
      </c>
    </row>
    <row r="69" spans="2:11" ht="8.25" customHeight="1">
      <c r="E69" s="682"/>
      <c r="K69" s="689" t="s">
        <v>1384</v>
      </c>
    </row>
    <row r="70" spans="2:11" ht="8.25" customHeight="1">
      <c r="E70" s="681" t="s">
        <v>53</v>
      </c>
      <c r="K70" s="687" t="s">
        <v>54</v>
      </c>
    </row>
    <row r="71" spans="2:11" ht="8.25" customHeight="1">
      <c r="E71" s="682"/>
      <c r="K71" s="686"/>
    </row>
    <row r="72" spans="2:11" ht="8.25" customHeight="1">
      <c r="E72" s="681" t="s">
        <v>55</v>
      </c>
      <c r="K72" s="687" t="s">
        <v>56</v>
      </c>
    </row>
    <row r="73" spans="2:11" ht="8.25" customHeight="1">
      <c r="E73" s="682"/>
      <c r="K73" s="689" t="s">
        <v>1386</v>
      </c>
    </row>
    <row r="74" spans="2:11" ht="8.25" customHeight="1">
      <c r="E74" s="681" t="s">
        <v>57</v>
      </c>
      <c r="K74" s="687" t="s">
        <v>58</v>
      </c>
    </row>
    <row r="75" spans="2:11" ht="8.25" customHeight="1">
      <c r="E75" s="682"/>
      <c r="K75" s="689" t="s">
        <v>1387</v>
      </c>
    </row>
    <row r="76" spans="2:11" ht="8.25" customHeight="1">
      <c r="E76" s="681" t="s">
        <v>59</v>
      </c>
      <c r="K76" s="687" t="s">
        <v>64</v>
      </c>
    </row>
    <row r="77" spans="2:11" s="689" customFormat="1" ht="8.25" customHeight="1">
      <c r="E77" s="685" t="s">
        <v>1388</v>
      </c>
    </row>
    <row r="78" spans="2:11" s="689" customFormat="1" ht="8.25" customHeight="1">
      <c r="B78" s="666"/>
      <c r="C78" s="666"/>
      <c r="D78" s="666"/>
      <c r="E78" s="681" t="s">
        <v>65</v>
      </c>
    </row>
    <row r="79" spans="2:11" s="689" customFormat="1" ht="8.25" customHeight="1">
      <c r="B79" s="666"/>
      <c r="C79" s="666"/>
      <c r="D79" s="666"/>
      <c r="E79" s="681"/>
    </row>
    <row r="80" spans="2:11" s="689" customFormat="1" ht="8.25" customHeight="1"/>
    <row r="81" spans="2:11" s="689" customFormat="1" ht="8.25" customHeight="1"/>
    <row r="82" spans="2:11" s="689" customFormat="1" ht="8.25" customHeight="1">
      <c r="B82" s="666"/>
      <c r="C82" s="666"/>
      <c r="D82" s="666"/>
      <c r="E82" s="687" t="s">
        <v>66</v>
      </c>
      <c r="H82" s="666"/>
      <c r="I82" s="666"/>
      <c r="J82" s="666"/>
      <c r="K82" s="687" t="s">
        <v>67</v>
      </c>
    </row>
    <row r="83" spans="2:11" s="689" customFormat="1" ht="8.25" customHeight="1">
      <c r="E83" s="689" t="s">
        <v>1389</v>
      </c>
    </row>
    <row r="84" spans="2:11" s="689" customFormat="1" ht="8.25" customHeight="1">
      <c r="B84" s="666"/>
      <c r="C84" s="666"/>
      <c r="D84" s="666"/>
      <c r="E84" s="687" t="s">
        <v>68</v>
      </c>
    </row>
    <row r="85" spans="2:11" s="689" customFormat="1" ht="8.25" customHeight="1">
      <c r="E85" s="689" t="s">
        <v>1390</v>
      </c>
      <c r="H85" s="666"/>
      <c r="I85" s="666"/>
      <c r="J85" s="666"/>
      <c r="K85" s="689" t="s">
        <v>1391</v>
      </c>
    </row>
    <row r="86" spans="2:11" s="689" customFormat="1" ht="8.25" customHeight="1"/>
    <row r="87" spans="2:11" s="689" customFormat="1" ht="8.25" customHeight="1">
      <c r="H87" s="666"/>
      <c r="I87" s="666"/>
      <c r="J87" s="666"/>
      <c r="K87" s="687" t="s">
        <v>69</v>
      </c>
    </row>
    <row r="88" spans="2:11" s="689" customFormat="1" ht="8.25" customHeight="1">
      <c r="B88" s="666"/>
      <c r="C88" s="666"/>
      <c r="D88" s="666"/>
      <c r="E88" s="687" t="s">
        <v>70</v>
      </c>
      <c r="K88" s="689" t="s">
        <v>1392</v>
      </c>
    </row>
    <row r="89" spans="2:11" s="689" customFormat="1" ht="8.25" customHeight="1"/>
    <row r="90" spans="2:11" s="689" customFormat="1" ht="8.25" customHeight="1">
      <c r="B90" s="666"/>
      <c r="C90" s="666"/>
      <c r="D90" s="666"/>
      <c r="E90" s="687" t="s">
        <v>71</v>
      </c>
    </row>
    <row r="91" spans="2:11" s="689" customFormat="1" ht="8.25" customHeight="1">
      <c r="E91" s="689" t="s">
        <v>1393</v>
      </c>
      <c r="H91" s="666"/>
      <c r="I91" s="666"/>
      <c r="J91" s="666"/>
      <c r="K91" s="687" t="s">
        <v>72</v>
      </c>
    </row>
    <row r="92" spans="2:11" s="689" customFormat="1" ht="8.25" customHeight="1">
      <c r="B92" s="666"/>
      <c r="C92" s="666"/>
      <c r="D92" s="666"/>
      <c r="E92" s="687" t="s">
        <v>73</v>
      </c>
    </row>
    <row r="93" spans="2:11" s="689" customFormat="1" ht="8.25" customHeight="1">
      <c r="H93" s="666"/>
      <c r="I93" s="666"/>
      <c r="J93" s="666"/>
      <c r="K93" s="687" t="s">
        <v>74</v>
      </c>
    </row>
    <row r="94" spans="2:11" s="689" customFormat="1" ht="8.25" customHeight="1"/>
    <row r="95" spans="2:11" s="689" customFormat="1" ht="8.25" customHeight="1">
      <c r="B95" s="666"/>
      <c r="C95" s="666"/>
      <c r="D95" s="666"/>
      <c r="E95" s="687" t="s">
        <v>75</v>
      </c>
      <c r="H95" s="666"/>
      <c r="I95" s="666"/>
      <c r="J95" s="666"/>
      <c r="K95" s="687" t="s">
        <v>76</v>
      </c>
    </row>
    <row r="96" spans="2:11" s="689" customFormat="1" ht="8.25" customHeight="1">
      <c r="K96" s="689" t="s">
        <v>1394</v>
      </c>
    </row>
    <row r="97" spans="2:11" s="689" customFormat="1" ht="8.25" customHeight="1">
      <c r="B97" s="666"/>
      <c r="C97" s="666"/>
      <c r="D97" s="666"/>
      <c r="E97" s="687" t="s">
        <v>77</v>
      </c>
      <c r="H97" s="666"/>
      <c r="I97" s="666"/>
      <c r="J97" s="666"/>
      <c r="K97" s="687" t="s">
        <v>78</v>
      </c>
    </row>
    <row r="98" spans="2:11" s="689" customFormat="1" ht="8.25" customHeight="1"/>
    <row r="99" spans="2:11" s="689" customFormat="1" ht="8.25" customHeight="1">
      <c r="B99" s="666"/>
      <c r="C99" s="666"/>
      <c r="D99" s="666"/>
      <c r="E99" s="687" t="s">
        <v>79</v>
      </c>
    </row>
    <row r="100" spans="2:11" s="689" customFormat="1" ht="8.25" customHeight="1">
      <c r="H100" s="666"/>
      <c r="I100" s="666"/>
      <c r="J100" s="666"/>
      <c r="K100" s="687" t="s">
        <v>80</v>
      </c>
    </row>
    <row r="101" spans="2:11" s="689" customFormat="1" ht="8.25" customHeight="1"/>
    <row r="102" spans="2:11" s="689" customFormat="1" ht="8.25" customHeight="1">
      <c r="B102" s="666"/>
      <c r="C102" s="666"/>
      <c r="D102" s="666"/>
      <c r="E102" s="687" t="s">
        <v>81</v>
      </c>
      <c r="H102" s="666"/>
      <c r="I102" s="666"/>
      <c r="J102" s="666"/>
      <c r="K102" s="687" t="s">
        <v>82</v>
      </c>
    </row>
    <row r="103" spans="2:11" s="689" customFormat="1" ht="8.25" customHeight="1">
      <c r="K103" s="689" t="s">
        <v>1395</v>
      </c>
    </row>
    <row r="104" spans="2:11" s="689" customFormat="1" ht="8.25" customHeight="1"/>
    <row r="105" spans="2:11" s="689" customFormat="1" ht="8.25" customHeight="1">
      <c r="B105" s="666"/>
      <c r="C105" s="666"/>
      <c r="D105" s="666"/>
      <c r="E105" s="687" t="s">
        <v>83</v>
      </c>
    </row>
    <row r="106" spans="2:11" s="689" customFormat="1" ht="8.25" customHeight="1">
      <c r="E106" s="689" t="s">
        <v>1396</v>
      </c>
      <c r="H106" s="666"/>
      <c r="I106" s="666"/>
      <c r="J106" s="666"/>
      <c r="K106" s="687" t="s">
        <v>84</v>
      </c>
    </row>
    <row r="107" spans="2:11" s="689" customFormat="1" ht="8.25" customHeight="1">
      <c r="E107" s="689" t="s">
        <v>1397</v>
      </c>
      <c r="K107" s="689" t="s">
        <v>1398</v>
      </c>
    </row>
    <row r="108" spans="2:11" s="689" customFormat="1" ht="8.25" customHeight="1">
      <c r="H108" s="666"/>
      <c r="I108" s="666"/>
      <c r="J108" s="666"/>
      <c r="K108" s="687" t="s">
        <v>85</v>
      </c>
    </row>
    <row r="109" spans="2:11" s="689" customFormat="1" ht="8.25" customHeight="1">
      <c r="K109" s="689" t="s">
        <v>1399</v>
      </c>
    </row>
    <row r="110" spans="2:11" s="689" customFormat="1" ht="8.25" customHeight="1">
      <c r="B110" s="666"/>
      <c r="C110" s="666"/>
      <c r="D110" s="666"/>
      <c r="E110" s="687" t="s">
        <v>86</v>
      </c>
      <c r="K110" s="689" t="s">
        <v>1400</v>
      </c>
    </row>
    <row r="111" spans="2:11" s="689" customFormat="1" ht="8.25" customHeight="1"/>
    <row r="112" spans="2:11" s="689" customFormat="1" ht="8.25" customHeight="1"/>
    <row r="113" spans="2:11" s="689" customFormat="1" ht="8.25" customHeight="1">
      <c r="B113" s="666"/>
      <c r="C113" s="666"/>
      <c r="D113" s="666"/>
      <c r="E113" s="687" t="s">
        <v>87</v>
      </c>
      <c r="H113" s="666"/>
      <c r="I113" s="666"/>
      <c r="J113" s="666"/>
      <c r="K113" s="687" t="s">
        <v>88</v>
      </c>
    </row>
    <row r="114" spans="2:11" s="689" customFormat="1" ht="8.25" customHeight="1">
      <c r="K114" s="689" t="s">
        <v>1409</v>
      </c>
    </row>
    <row r="115" spans="2:11" s="689" customFormat="1" ht="8.25" customHeight="1">
      <c r="B115" s="666"/>
      <c r="C115" s="666"/>
      <c r="D115" s="666"/>
      <c r="E115" s="687" t="s">
        <v>89</v>
      </c>
      <c r="K115" s="689" t="s">
        <v>1410</v>
      </c>
    </row>
    <row r="116" spans="2:11" s="689" customFormat="1" ht="8.25" customHeight="1">
      <c r="H116" s="666"/>
      <c r="I116" s="666"/>
      <c r="J116" s="666"/>
      <c r="K116" s="687" t="s">
        <v>90</v>
      </c>
    </row>
    <row r="117" spans="2:11" s="689" customFormat="1" ht="8.25" customHeight="1">
      <c r="B117" s="666"/>
      <c r="C117" s="666"/>
      <c r="D117" s="666"/>
      <c r="E117" s="687" t="s">
        <v>91</v>
      </c>
      <c r="K117" s="689" t="s">
        <v>1411</v>
      </c>
    </row>
    <row r="118" spans="2:11" s="689" customFormat="1" ht="8.25" customHeight="1">
      <c r="E118" s="689" t="s">
        <v>1412</v>
      </c>
      <c r="H118" s="666"/>
      <c r="I118" s="666"/>
      <c r="J118" s="666"/>
      <c r="K118" s="687" t="s">
        <v>92</v>
      </c>
    </row>
    <row r="119" spans="2:11" s="689" customFormat="1" ht="8.25" customHeight="1">
      <c r="B119" s="666"/>
      <c r="C119" s="666"/>
      <c r="D119" s="666"/>
      <c r="E119" s="687" t="s">
        <v>93</v>
      </c>
    </row>
    <row r="120" spans="2:11" s="689" customFormat="1" ht="8.25" customHeight="1">
      <c r="H120" s="666"/>
      <c r="I120" s="666"/>
      <c r="J120" s="666"/>
      <c r="K120" s="687" t="s">
        <v>94</v>
      </c>
    </row>
    <row r="121" spans="2:11" s="689" customFormat="1" ht="8.25" customHeight="1">
      <c r="B121" s="666"/>
      <c r="C121" s="666"/>
      <c r="D121" s="666"/>
      <c r="E121" s="687" t="s">
        <v>95</v>
      </c>
    </row>
    <row r="122" spans="2:11" s="689" customFormat="1" ht="8.25" customHeight="1">
      <c r="H122" s="666"/>
      <c r="I122" s="666"/>
      <c r="J122" s="666"/>
      <c r="K122" s="687" t="s">
        <v>96</v>
      </c>
    </row>
    <row r="123" spans="2:11" s="689" customFormat="1" ht="8.25" customHeight="1">
      <c r="B123" s="666"/>
      <c r="C123" s="666"/>
      <c r="D123" s="666"/>
      <c r="E123" s="687" t="s">
        <v>97</v>
      </c>
      <c r="K123" s="689" t="s">
        <v>1413</v>
      </c>
    </row>
    <row r="124" spans="2:11" s="689" customFormat="1" ht="8.25" customHeight="1">
      <c r="H124" s="666"/>
      <c r="I124" s="666"/>
      <c r="J124" s="666"/>
      <c r="K124" s="687" t="s">
        <v>99</v>
      </c>
    </row>
    <row r="125" spans="2:11" s="689" customFormat="1" ht="8.25" customHeight="1">
      <c r="K125" s="689" t="s">
        <v>1414</v>
      </c>
    </row>
    <row r="126" spans="2:11" s="689" customFormat="1" ht="8.25" customHeight="1">
      <c r="B126" s="666"/>
      <c r="C126" s="666"/>
      <c r="D126" s="666"/>
      <c r="E126" s="687" t="s">
        <v>100</v>
      </c>
      <c r="H126" s="666"/>
      <c r="I126" s="666"/>
      <c r="J126" s="666"/>
      <c r="K126" s="687" t="s">
        <v>101</v>
      </c>
    </row>
    <row r="127" spans="2:11" s="689" customFormat="1" ht="8.25" customHeight="1">
      <c r="E127" s="689" t="s">
        <v>1415</v>
      </c>
    </row>
    <row r="128" spans="2:11" s="689" customFormat="1" ht="8.25" customHeight="1">
      <c r="H128" s="666"/>
      <c r="I128" s="666"/>
      <c r="J128" s="666"/>
      <c r="K128" s="687" t="s">
        <v>102</v>
      </c>
    </row>
    <row r="129" spans="2:15" s="689" customFormat="1" ht="8.25" customHeight="1">
      <c r="K129" s="689" t="s">
        <v>1416</v>
      </c>
    </row>
    <row r="130" spans="2:15" s="689" customFormat="1" ht="8.25" customHeight="1">
      <c r="B130" s="666"/>
      <c r="C130" s="666"/>
      <c r="D130" s="666"/>
      <c r="E130" s="687" t="s">
        <v>103</v>
      </c>
      <c r="H130" s="666"/>
      <c r="I130" s="666"/>
      <c r="J130" s="666"/>
      <c r="K130" s="687" t="s">
        <v>104</v>
      </c>
    </row>
    <row r="131" spans="2:15" s="689" customFormat="1" ht="8.25" customHeight="1">
      <c r="K131" s="689" t="s">
        <v>1417</v>
      </c>
    </row>
    <row r="132" spans="2:15" s="689" customFormat="1" ht="8.25" customHeight="1">
      <c r="B132" s="666"/>
      <c r="C132" s="666"/>
      <c r="D132" s="666"/>
      <c r="E132" s="687" t="s">
        <v>105</v>
      </c>
      <c r="H132" s="666"/>
      <c r="I132" s="666"/>
      <c r="J132" s="666"/>
      <c r="K132" s="687" t="s">
        <v>106</v>
      </c>
    </row>
    <row r="133" spans="2:15" s="689" customFormat="1" ht="8.25" customHeight="1">
      <c r="E133" s="689" t="s">
        <v>1418</v>
      </c>
    </row>
    <row r="134" spans="2:15" s="689" customFormat="1" ht="8.25" customHeight="1">
      <c r="B134" s="666"/>
      <c r="C134" s="666"/>
      <c r="D134" s="666"/>
      <c r="E134" s="687" t="s">
        <v>107</v>
      </c>
      <c r="H134" s="666"/>
      <c r="I134" s="666"/>
      <c r="J134" s="666"/>
      <c r="K134" s="687" t="s">
        <v>108</v>
      </c>
    </row>
    <row r="135" spans="2:15" s="689" customFormat="1" ht="8.25" customHeight="1">
      <c r="E135" s="689" t="s">
        <v>1419</v>
      </c>
    </row>
    <row r="136" spans="2:15" s="689" customFormat="1" ht="8.25" customHeight="1"/>
    <row r="137" spans="2:15" s="689" customFormat="1" ht="8.25" customHeight="1">
      <c r="H137" s="666"/>
      <c r="I137" s="666"/>
      <c r="J137" s="666"/>
      <c r="K137" s="687" t="s">
        <v>109</v>
      </c>
    </row>
    <row r="138" spans="2:15" s="689" customFormat="1" ht="8.25" customHeight="1">
      <c r="B138" s="666"/>
      <c r="C138" s="666"/>
      <c r="D138" s="666"/>
      <c r="E138" s="687" t="s">
        <v>110</v>
      </c>
    </row>
    <row r="139" spans="2:15" s="689" customFormat="1" ht="8.25" customHeight="1">
      <c r="H139" s="666"/>
      <c r="I139" s="666"/>
      <c r="J139" s="666"/>
      <c r="K139" s="687" t="s">
        <v>111</v>
      </c>
    </row>
    <row r="140" spans="2:15" s="689" customFormat="1" ht="8.25" customHeight="1">
      <c r="B140" s="666"/>
      <c r="C140" s="666"/>
      <c r="D140" s="666"/>
      <c r="E140" s="687" t="s">
        <v>112</v>
      </c>
    </row>
    <row r="141" spans="2:15" s="689" customFormat="1" ht="8.25" customHeight="1">
      <c r="H141" s="666"/>
      <c r="I141" s="666"/>
      <c r="J141" s="666"/>
      <c r="K141" s="687" t="s">
        <v>113</v>
      </c>
    </row>
    <row r="142" spans="2:15" s="689" customFormat="1" ht="8.25" customHeight="1">
      <c r="B142" s="666"/>
      <c r="C142" s="666"/>
      <c r="D142" s="666"/>
      <c r="E142" s="687" t="s">
        <v>114</v>
      </c>
      <c r="K142" s="689" t="s">
        <v>1420</v>
      </c>
    </row>
    <row r="143" spans="2:15" s="689" customFormat="1" ht="8.25" customHeight="1"/>
    <row r="144" spans="2:15" s="689" customFormat="1" ht="11.25" customHeight="1">
      <c r="B144" s="1722" t="s">
        <v>1421</v>
      </c>
      <c r="C144" s="1722"/>
      <c r="D144" s="1722"/>
      <c r="E144" s="1722"/>
      <c r="F144" s="1722"/>
      <c r="G144" s="1722"/>
      <c r="H144" s="1722"/>
      <c r="I144" s="1722"/>
      <c r="J144" s="1722"/>
      <c r="K144" s="1722"/>
      <c r="L144" s="1722"/>
      <c r="M144" s="1722"/>
      <c r="N144" s="1722"/>
      <c r="O144" s="1722"/>
    </row>
    <row r="145" spans="2:15" s="689" customFormat="1" ht="18" customHeight="1">
      <c r="B145" s="1711"/>
      <c r="C145" s="1712"/>
      <c r="D145" s="1713"/>
      <c r="E145" s="1711" t="s">
        <v>1422</v>
      </c>
      <c r="F145" s="1712"/>
      <c r="G145" s="1713"/>
      <c r="H145" s="1723" t="s">
        <v>1423</v>
      </c>
      <c r="I145" s="1724"/>
      <c r="J145" s="1725"/>
      <c r="K145" s="690" t="s">
        <v>1424</v>
      </c>
      <c r="L145" s="690" t="s">
        <v>1425</v>
      </c>
      <c r="M145" s="690" t="s">
        <v>1426</v>
      </c>
      <c r="N145" s="690" t="s">
        <v>1427</v>
      </c>
      <c r="O145" s="691" t="s">
        <v>1428</v>
      </c>
    </row>
    <row r="146" spans="2:15" s="689" customFormat="1" ht="12" customHeight="1">
      <c r="B146" s="1711" t="s">
        <v>1354</v>
      </c>
      <c r="C146" s="1712"/>
      <c r="D146" s="1713"/>
      <c r="E146" s="1726">
        <f>Summary!C63</f>
        <v>0</v>
      </c>
      <c r="F146" s="1727"/>
      <c r="G146" s="1728"/>
      <c r="H146" s="1729" t="s">
        <v>518</v>
      </c>
      <c r="I146" s="1730"/>
      <c r="J146" s="1731"/>
      <c r="K146" s="692" t="s">
        <v>1467</v>
      </c>
      <c r="L146" s="692" t="s">
        <v>519</v>
      </c>
      <c r="M146" s="692" t="s">
        <v>1467</v>
      </c>
      <c r="N146" s="692" t="s">
        <v>1467</v>
      </c>
      <c r="O146" s="692" t="s">
        <v>1468</v>
      </c>
    </row>
    <row r="147" spans="2:15" s="689" customFormat="1" ht="12" customHeight="1">
      <c r="B147" s="1711" t="s">
        <v>1429</v>
      </c>
      <c r="C147" s="1712"/>
      <c r="D147" s="1713"/>
      <c r="E147" s="1726">
        <f>Summary!C15</f>
        <v>0</v>
      </c>
      <c r="F147" s="1727"/>
      <c r="G147" s="1728"/>
      <c r="H147" s="1729"/>
      <c r="I147" s="1730"/>
      <c r="J147" s="1731"/>
      <c r="K147" s="692"/>
      <c r="L147" s="692"/>
      <c r="M147" s="692"/>
      <c r="N147" s="692"/>
      <c r="O147" s="692"/>
    </row>
    <row r="148" spans="2:15" s="689" customFormat="1" ht="12" customHeight="1">
      <c r="B148" s="1711" t="s">
        <v>1430</v>
      </c>
      <c r="C148" s="1712"/>
      <c r="D148" s="1713"/>
      <c r="E148" s="1726"/>
      <c r="F148" s="1727"/>
      <c r="G148" s="1728"/>
      <c r="H148" s="1729"/>
      <c r="I148" s="1730"/>
      <c r="J148" s="1731"/>
      <c r="K148" s="692"/>
      <c r="L148" s="692"/>
      <c r="M148" s="692"/>
      <c r="N148" s="692"/>
      <c r="O148" s="692"/>
    </row>
    <row r="149" spans="2:15" s="689" customFormat="1" ht="12" customHeight="1">
      <c r="B149" s="1711" t="s">
        <v>1431</v>
      </c>
      <c r="C149" s="1712"/>
      <c r="D149" s="1713"/>
      <c r="E149" s="1714"/>
      <c r="F149" s="1715"/>
      <c r="G149" s="1716"/>
      <c r="H149" s="1717"/>
      <c r="I149" s="1718"/>
      <c r="J149" s="1719"/>
      <c r="K149" s="692"/>
      <c r="L149" s="692"/>
      <c r="M149" s="692"/>
      <c r="N149" s="692"/>
      <c r="O149" s="692"/>
    </row>
    <row r="150" spans="2:15" s="689" customFormat="1" ht="12" customHeight="1">
      <c r="B150" s="1711" t="s">
        <v>1432</v>
      </c>
      <c r="C150" s="1712"/>
      <c r="D150" s="1713"/>
      <c r="E150" s="1714"/>
      <c r="F150" s="1715"/>
      <c r="G150" s="1716"/>
      <c r="H150" s="1717"/>
      <c r="I150" s="1718"/>
      <c r="J150" s="1719"/>
      <c r="K150" s="692"/>
      <c r="L150" s="692"/>
      <c r="M150" s="692"/>
      <c r="N150" s="692"/>
      <c r="O150" s="692"/>
    </row>
    <row r="151" spans="2:15" s="689" customFormat="1" ht="12" customHeight="1">
      <c r="B151" s="1711" t="s">
        <v>1432</v>
      </c>
      <c r="C151" s="1712"/>
      <c r="D151" s="1713"/>
      <c r="E151" s="1714"/>
      <c r="F151" s="1715"/>
      <c r="G151" s="1716"/>
      <c r="H151" s="1717"/>
      <c r="I151" s="1718"/>
      <c r="J151" s="1719"/>
      <c r="K151" s="692"/>
      <c r="L151" s="692"/>
      <c r="M151" s="692"/>
      <c r="N151" s="692"/>
      <c r="O151" s="692"/>
    </row>
    <row r="152" spans="2:15" s="689" customFormat="1" ht="12" customHeight="1">
      <c r="B152" s="1711"/>
      <c r="C152" s="1712"/>
      <c r="D152" s="1713"/>
      <c r="E152" s="1714"/>
      <c r="F152" s="1715"/>
      <c r="G152" s="1716"/>
      <c r="H152" s="1717"/>
      <c r="I152" s="1718"/>
      <c r="J152" s="1719"/>
      <c r="K152" s="692"/>
      <c r="L152" s="692"/>
      <c r="M152" s="692"/>
      <c r="N152" s="692"/>
      <c r="O152" s="692"/>
    </row>
    <row r="153" spans="2:15" s="689" customFormat="1" ht="12" customHeight="1">
      <c r="B153" s="1711"/>
      <c r="C153" s="1712"/>
      <c r="D153" s="1713"/>
      <c r="E153" s="1714"/>
      <c r="F153" s="1715"/>
      <c r="G153" s="1716"/>
      <c r="H153" s="1717"/>
      <c r="I153" s="1718"/>
      <c r="J153" s="1719"/>
      <c r="K153" s="692"/>
      <c r="L153" s="692"/>
      <c r="M153" s="692"/>
      <c r="N153" s="692"/>
      <c r="O153" s="692"/>
    </row>
    <row r="154" spans="2:15" s="689" customFormat="1" ht="12" customHeight="1">
      <c r="B154" s="1711"/>
      <c r="C154" s="1712"/>
      <c r="D154" s="1713"/>
      <c r="E154" s="1714"/>
      <c r="F154" s="1715"/>
      <c r="G154" s="1716"/>
      <c r="H154" s="1717"/>
      <c r="I154" s="1718"/>
      <c r="J154" s="1719"/>
      <c r="K154" s="692"/>
      <c r="L154" s="692"/>
      <c r="M154" s="692"/>
      <c r="N154" s="692"/>
      <c r="O154" s="692"/>
    </row>
    <row r="155" spans="2:15" s="689" customFormat="1" ht="12" customHeight="1">
      <c r="B155" s="1711"/>
      <c r="C155" s="1712"/>
      <c r="D155" s="1713"/>
      <c r="E155" s="1714"/>
      <c r="F155" s="1715"/>
      <c r="G155" s="1716"/>
      <c r="H155" s="1717"/>
      <c r="I155" s="1718"/>
      <c r="J155" s="1719"/>
      <c r="K155" s="692"/>
      <c r="L155" s="692"/>
      <c r="M155" s="692"/>
      <c r="N155" s="692"/>
      <c r="O155" s="692"/>
    </row>
    <row r="156" spans="2:15" s="689" customFormat="1" ht="12" customHeight="1">
      <c r="B156" s="1711"/>
      <c r="C156" s="1712"/>
      <c r="D156" s="1713"/>
      <c r="E156" s="1714"/>
      <c r="F156" s="1715"/>
      <c r="G156" s="1716"/>
      <c r="H156" s="1717"/>
      <c r="I156" s="1718"/>
      <c r="J156" s="1719"/>
      <c r="K156" s="692"/>
      <c r="L156" s="692"/>
      <c r="M156" s="692"/>
      <c r="N156" s="692"/>
      <c r="O156" s="692"/>
    </row>
    <row r="157" spans="2:15" s="689" customFormat="1" ht="8.25" customHeight="1"/>
    <row r="158" spans="2:15" s="689" customFormat="1" ht="8.25" customHeight="1"/>
    <row r="159" spans="2:15" s="689" customFormat="1" ht="8.25" customHeight="1"/>
    <row r="160" spans="2:15" s="689" customFormat="1" ht="11.25" customHeight="1">
      <c r="B160" s="1710"/>
      <c r="C160" s="1710"/>
      <c r="D160" s="1710"/>
      <c r="E160" s="1710"/>
      <c r="F160" s="1710"/>
      <c r="G160" s="1710"/>
      <c r="J160" s="1710"/>
      <c r="K160" s="1710"/>
      <c r="L160" s="1710"/>
      <c r="M160" s="1710"/>
      <c r="N160" s="1710"/>
      <c r="O160" s="1710"/>
    </row>
    <row r="161" spans="2:10" s="689" customFormat="1" ht="11.25" customHeight="1">
      <c r="B161" s="682" t="s">
        <v>1354</v>
      </c>
      <c r="I161" s="686"/>
      <c r="J161" s="686" t="s">
        <v>1429</v>
      </c>
    </row>
    <row r="162" spans="2:10" s="689" customFormat="1" ht="8.25" customHeight="1"/>
    <row r="163" spans="2:10" s="689" customFormat="1" ht="8.25" customHeight="1"/>
    <row r="164" spans="2:10" s="689" customFormat="1" ht="8.25" customHeight="1"/>
    <row r="165" spans="2:10" s="689" customFormat="1" ht="8.25" customHeight="1"/>
    <row r="166" spans="2:10" s="689" customFormat="1" ht="8.25" customHeight="1"/>
    <row r="167" spans="2:10" s="689" customFormat="1" ht="8.25" customHeight="1"/>
    <row r="168" spans="2:10" s="689" customFormat="1" ht="8.25" customHeight="1"/>
    <row r="169" spans="2:10" s="689" customFormat="1" ht="8.25" customHeight="1"/>
    <row r="170" spans="2:10" s="689" customFormat="1" ht="8.25" customHeight="1"/>
    <row r="171" spans="2:10" ht="8.25" customHeight="1"/>
    <row r="172" spans="2:10" ht="8.25" customHeight="1"/>
    <row r="173" spans="2:10" ht="8.25" customHeight="1"/>
    <row r="174" spans="2:10" ht="8.25" customHeight="1"/>
    <row r="175" spans="2:10" ht="8.25" customHeight="1"/>
    <row r="176" spans="2:10"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sheetData>
  <mergeCells count="48">
    <mergeCell ref="H146:J146"/>
    <mergeCell ref="B147:D147"/>
    <mergeCell ref="E147:G147"/>
    <mergeCell ref="H147:J147"/>
    <mergeCell ref="B4:D4"/>
    <mergeCell ref="B5:D5"/>
    <mergeCell ref="J5:K5"/>
    <mergeCell ref="J4:K4"/>
    <mergeCell ref="B145:D145"/>
    <mergeCell ref="E145:G145"/>
    <mergeCell ref="E4:I4"/>
    <mergeCell ref="E5:F5"/>
    <mergeCell ref="H5:I5"/>
    <mergeCell ref="E148:G148"/>
    <mergeCell ref="E153:G153"/>
    <mergeCell ref="E156:G156"/>
    <mergeCell ref="B148:D148"/>
    <mergeCell ref="B149:D149"/>
    <mergeCell ref="B152:D152"/>
    <mergeCell ref="B153:D153"/>
    <mergeCell ref="B150:D150"/>
    <mergeCell ref="E150:G150"/>
    <mergeCell ref="H150:J150"/>
    <mergeCell ref="E151:G151"/>
    <mergeCell ref="B155:D155"/>
    <mergeCell ref="B156:D156"/>
    <mergeCell ref="L4:N4"/>
    <mergeCell ref="L5:N5"/>
    <mergeCell ref="H156:J156"/>
    <mergeCell ref="H153:J153"/>
    <mergeCell ref="E154:G154"/>
    <mergeCell ref="H154:J154"/>
    <mergeCell ref="H151:J151"/>
    <mergeCell ref="B144:O144"/>
    <mergeCell ref="H145:J145"/>
    <mergeCell ref="B146:D146"/>
    <mergeCell ref="E146:G146"/>
    <mergeCell ref="H148:J148"/>
    <mergeCell ref="E149:G149"/>
    <mergeCell ref="H149:J149"/>
    <mergeCell ref="E152:G152"/>
    <mergeCell ref="H152:J152"/>
    <mergeCell ref="B160:G160"/>
    <mergeCell ref="J160:O160"/>
    <mergeCell ref="B154:D154"/>
    <mergeCell ref="B151:D151"/>
    <mergeCell ref="E155:G155"/>
    <mergeCell ref="H155:J155"/>
  </mergeCells>
  <phoneticPr fontId="118" type="noConversion"/>
  <printOptions horizontalCentered="1"/>
  <pageMargins left="0.52" right="0.25" top="0.92" bottom="0.89" header="0.53" footer="0.55000000000000004"/>
  <pageSetup scale="96" fitToHeight="2" orientation="portrait" horizontalDpi="360" verticalDpi="360" r:id="rId1"/>
  <headerFooter alignWithMargins="0">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1</xdr:col>
                    <xdr:colOff>10886</xdr:colOff>
                    <xdr:row>9</xdr:row>
                    <xdr:rowOff>0</xdr:rowOff>
                  </from>
                  <to>
                    <xdr:col>2</xdr:col>
                    <xdr:colOff>81643</xdr:colOff>
                    <xdr:row>11</xdr:row>
                    <xdr:rowOff>57150</xdr:rowOff>
                  </to>
                </anchor>
              </controlPr>
            </control>
          </mc:Choice>
        </mc:AlternateContent>
        <mc:AlternateContent xmlns:mc="http://schemas.openxmlformats.org/markup-compatibility/2006">
          <mc:Choice Requires="x14">
            <control shapeId="53253" r:id="rId5" name="Check Box 5">
              <controlPr defaultSize="0" autoFill="0" autoLine="0" autoPict="0">
                <anchor moveWithCells="1">
                  <from>
                    <xdr:col>2</xdr:col>
                    <xdr:colOff>10886</xdr:colOff>
                    <xdr:row>9</xdr:row>
                    <xdr:rowOff>0</xdr:rowOff>
                  </from>
                  <to>
                    <xdr:col>3</xdr:col>
                    <xdr:colOff>81643</xdr:colOff>
                    <xdr:row>11</xdr:row>
                    <xdr:rowOff>57150</xdr:rowOff>
                  </to>
                </anchor>
              </controlPr>
            </control>
          </mc:Choice>
        </mc:AlternateContent>
        <mc:AlternateContent xmlns:mc="http://schemas.openxmlformats.org/markup-compatibility/2006">
          <mc:Choice Requires="x14">
            <control shapeId="53254" r:id="rId6" name="Check Box 6">
              <controlPr defaultSize="0" autoFill="0" autoLine="0" autoPict="0">
                <anchor moveWithCells="1">
                  <from>
                    <xdr:col>3</xdr:col>
                    <xdr:colOff>10886</xdr:colOff>
                    <xdr:row>9</xdr:row>
                    <xdr:rowOff>0</xdr:rowOff>
                  </from>
                  <to>
                    <xdr:col>4</xdr:col>
                    <xdr:colOff>81643</xdr:colOff>
                    <xdr:row>11</xdr:row>
                    <xdr:rowOff>57150</xdr:rowOff>
                  </to>
                </anchor>
              </controlPr>
            </control>
          </mc:Choice>
        </mc:AlternateContent>
        <mc:AlternateContent xmlns:mc="http://schemas.openxmlformats.org/markup-compatibility/2006">
          <mc:Choice Requires="x14">
            <control shapeId="53255" r:id="rId7" name="Check Box 7">
              <controlPr defaultSize="0" autoFill="0" autoLine="0" autoPict="0">
                <anchor moveWithCells="1">
                  <from>
                    <xdr:col>1</xdr:col>
                    <xdr:colOff>10886</xdr:colOff>
                    <xdr:row>11</xdr:row>
                    <xdr:rowOff>46264</xdr:rowOff>
                  </from>
                  <to>
                    <xdr:col>2</xdr:col>
                    <xdr:colOff>81643</xdr:colOff>
                    <xdr:row>13</xdr:row>
                    <xdr:rowOff>46264</xdr:rowOff>
                  </to>
                </anchor>
              </controlPr>
            </control>
          </mc:Choice>
        </mc:AlternateContent>
        <mc:AlternateContent xmlns:mc="http://schemas.openxmlformats.org/markup-compatibility/2006">
          <mc:Choice Requires="x14">
            <control shapeId="53256" r:id="rId8" name="Check Box 8">
              <controlPr defaultSize="0" autoFill="0" autoLine="0" autoPict="0">
                <anchor moveWithCells="1">
                  <from>
                    <xdr:col>2</xdr:col>
                    <xdr:colOff>0</xdr:colOff>
                    <xdr:row>11</xdr:row>
                    <xdr:rowOff>46264</xdr:rowOff>
                  </from>
                  <to>
                    <xdr:col>3</xdr:col>
                    <xdr:colOff>70757</xdr:colOff>
                    <xdr:row>13</xdr:row>
                    <xdr:rowOff>46264</xdr:rowOff>
                  </to>
                </anchor>
              </controlPr>
            </control>
          </mc:Choice>
        </mc:AlternateContent>
        <mc:AlternateContent xmlns:mc="http://schemas.openxmlformats.org/markup-compatibility/2006">
          <mc:Choice Requires="x14">
            <control shapeId="53257" r:id="rId9" name="Check Box 9">
              <controlPr defaultSize="0" autoFill="0" autoLine="0" autoPict="0">
                <anchor moveWithCells="1">
                  <from>
                    <xdr:col>3</xdr:col>
                    <xdr:colOff>10886</xdr:colOff>
                    <xdr:row>11</xdr:row>
                    <xdr:rowOff>46264</xdr:rowOff>
                  </from>
                  <to>
                    <xdr:col>4</xdr:col>
                    <xdr:colOff>81643</xdr:colOff>
                    <xdr:row>13</xdr:row>
                    <xdr:rowOff>46264</xdr:rowOff>
                  </to>
                </anchor>
              </controlPr>
            </control>
          </mc:Choice>
        </mc:AlternateContent>
        <mc:AlternateContent xmlns:mc="http://schemas.openxmlformats.org/markup-compatibility/2006">
          <mc:Choice Requires="x14">
            <control shapeId="53259" r:id="rId10" name="Check Box 11">
              <controlPr defaultSize="0" autoFill="0" autoLine="0" autoPict="0">
                <anchor moveWithCells="1">
                  <from>
                    <xdr:col>1</xdr:col>
                    <xdr:colOff>10886</xdr:colOff>
                    <xdr:row>13</xdr:row>
                    <xdr:rowOff>46264</xdr:rowOff>
                  </from>
                  <to>
                    <xdr:col>2</xdr:col>
                    <xdr:colOff>81643</xdr:colOff>
                    <xdr:row>15</xdr:row>
                    <xdr:rowOff>46264</xdr:rowOff>
                  </to>
                </anchor>
              </controlPr>
            </control>
          </mc:Choice>
        </mc:AlternateContent>
        <mc:AlternateContent xmlns:mc="http://schemas.openxmlformats.org/markup-compatibility/2006">
          <mc:Choice Requires="x14">
            <control shapeId="53260" r:id="rId11" name="Check Box 12">
              <controlPr defaultSize="0" autoFill="0" autoLine="0" autoPict="0">
                <anchor moveWithCells="1">
                  <from>
                    <xdr:col>2</xdr:col>
                    <xdr:colOff>0</xdr:colOff>
                    <xdr:row>13</xdr:row>
                    <xdr:rowOff>46264</xdr:rowOff>
                  </from>
                  <to>
                    <xdr:col>3</xdr:col>
                    <xdr:colOff>70757</xdr:colOff>
                    <xdr:row>15</xdr:row>
                    <xdr:rowOff>46264</xdr:rowOff>
                  </to>
                </anchor>
              </controlPr>
            </control>
          </mc:Choice>
        </mc:AlternateContent>
        <mc:AlternateContent xmlns:mc="http://schemas.openxmlformats.org/markup-compatibility/2006">
          <mc:Choice Requires="x14">
            <control shapeId="53261" r:id="rId12" name="Check Box 13">
              <controlPr defaultSize="0" autoFill="0" autoLine="0" autoPict="0">
                <anchor moveWithCells="1">
                  <from>
                    <xdr:col>3</xdr:col>
                    <xdr:colOff>10886</xdr:colOff>
                    <xdr:row>13</xdr:row>
                    <xdr:rowOff>46264</xdr:rowOff>
                  </from>
                  <to>
                    <xdr:col>4</xdr:col>
                    <xdr:colOff>81643</xdr:colOff>
                    <xdr:row>15</xdr:row>
                    <xdr:rowOff>46264</xdr:rowOff>
                  </to>
                </anchor>
              </controlPr>
            </control>
          </mc:Choice>
        </mc:AlternateContent>
        <mc:AlternateContent xmlns:mc="http://schemas.openxmlformats.org/markup-compatibility/2006">
          <mc:Choice Requires="x14">
            <control shapeId="53262" r:id="rId13" name="Check Box 14">
              <controlPr defaultSize="0" autoFill="0" autoLine="0" autoPict="0">
                <anchor moveWithCells="1">
                  <from>
                    <xdr:col>1</xdr:col>
                    <xdr:colOff>10886</xdr:colOff>
                    <xdr:row>15</xdr:row>
                    <xdr:rowOff>46264</xdr:rowOff>
                  </from>
                  <to>
                    <xdr:col>2</xdr:col>
                    <xdr:colOff>81643</xdr:colOff>
                    <xdr:row>17</xdr:row>
                    <xdr:rowOff>46264</xdr:rowOff>
                  </to>
                </anchor>
              </controlPr>
            </control>
          </mc:Choice>
        </mc:AlternateContent>
        <mc:AlternateContent xmlns:mc="http://schemas.openxmlformats.org/markup-compatibility/2006">
          <mc:Choice Requires="x14">
            <control shapeId="53263" r:id="rId14" name="Check Box 15">
              <controlPr defaultSize="0" autoFill="0" autoLine="0" autoPict="0">
                <anchor moveWithCells="1">
                  <from>
                    <xdr:col>2</xdr:col>
                    <xdr:colOff>0</xdr:colOff>
                    <xdr:row>15</xdr:row>
                    <xdr:rowOff>46264</xdr:rowOff>
                  </from>
                  <to>
                    <xdr:col>3</xdr:col>
                    <xdr:colOff>70757</xdr:colOff>
                    <xdr:row>17</xdr:row>
                    <xdr:rowOff>46264</xdr:rowOff>
                  </to>
                </anchor>
              </controlPr>
            </control>
          </mc:Choice>
        </mc:AlternateContent>
        <mc:AlternateContent xmlns:mc="http://schemas.openxmlformats.org/markup-compatibility/2006">
          <mc:Choice Requires="x14">
            <control shapeId="53264" r:id="rId15" name="Check Box 16">
              <controlPr defaultSize="0" autoFill="0" autoLine="0" autoPict="0">
                <anchor moveWithCells="1">
                  <from>
                    <xdr:col>3</xdr:col>
                    <xdr:colOff>10886</xdr:colOff>
                    <xdr:row>15</xdr:row>
                    <xdr:rowOff>46264</xdr:rowOff>
                  </from>
                  <to>
                    <xdr:col>4</xdr:col>
                    <xdr:colOff>81643</xdr:colOff>
                    <xdr:row>17</xdr:row>
                    <xdr:rowOff>46264</xdr:rowOff>
                  </to>
                </anchor>
              </controlPr>
            </control>
          </mc:Choice>
        </mc:AlternateContent>
        <mc:AlternateContent xmlns:mc="http://schemas.openxmlformats.org/markup-compatibility/2006">
          <mc:Choice Requires="x14">
            <control shapeId="53265" r:id="rId16" name="Check Box 17">
              <controlPr defaultSize="0" autoFill="0" autoLine="0" autoPict="0">
                <anchor moveWithCells="1">
                  <from>
                    <xdr:col>1</xdr:col>
                    <xdr:colOff>10886</xdr:colOff>
                    <xdr:row>17</xdr:row>
                    <xdr:rowOff>46264</xdr:rowOff>
                  </from>
                  <to>
                    <xdr:col>2</xdr:col>
                    <xdr:colOff>81643</xdr:colOff>
                    <xdr:row>19</xdr:row>
                    <xdr:rowOff>46264</xdr:rowOff>
                  </to>
                </anchor>
              </controlPr>
            </control>
          </mc:Choice>
        </mc:AlternateContent>
        <mc:AlternateContent xmlns:mc="http://schemas.openxmlformats.org/markup-compatibility/2006">
          <mc:Choice Requires="x14">
            <control shapeId="53266" r:id="rId17" name="Check Box 18">
              <controlPr defaultSize="0" autoFill="0" autoLine="0" autoPict="0">
                <anchor moveWithCells="1">
                  <from>
                    <xdr:col>2</xdr:col>
                    <xdr:colOff>0</xdr:colOff>
                    <xdr:row>17</xdr:row>
                    <xdr:rowOff>46264</xdr:rowOff>
                  </from>
                  <to>
                    <xdr:col>3</xdr:col>
                    <xdr:colOff>70757</xdr:colOff>
                    <xdr:row>19</xdr:row>
                    <xdr:rowOff>46264</xdr:rowOff>
                  </to>
                </anchor>
              </controlPr>
            </control>
          </mc:Choice>
        </mc:AlternateContent>
        <mc:AlternateContent xmlns:mc="http://schemas.openxmlformats.org/markup-compatibility/2006">
          <mc:Choice Requires="x14">
            <control shapeId="53267" r:id="rId18" name="Check Box 19">
              <controlPr defaultSize="0" autoFill="0" autoLine="0" autoPict="0">
                <anchor moveWithCells="1">
                  <from>
                    <xdr:col>3</xdr:col>
                    <xdr:colOff>10886</xdr:colOff>
                    <xdr:row>17</xdr:row>
                    <xdr:rowOff>46264</xdr:rowOff>
                  </from>
                  <to>
                    <xdr:col>4</xdr:col>
                    <xdr:colOff>81643</xdr:colOff>
                    <xdr:row>19</xdr:row>
                    <xdr:rowOff>46264</xdr:rowOff>
                  </to>
                </anchor>
              </controlPr>
            </control>
          </mc:Choice>
        </mc:AlternateContent>
        <mc:AlternateContent xmlns:mc="http://schemas.openxmlformats.org/markup-compatibility/2006">
          <mc:Choice Requires="x14">
            <control shapeId="53268" r:id="rId19" name="Check Box 20">
              <controlPr defaultSize="0" autoFill="0" autoLine="0" autoPict="0">
                <anchor moveWithCells="1">
                  <from>
                    <xdr:col>1</xdr:col>
                    <xdr:colOff>10886</xdr:colOff>
                    <xdr:row>19</xdr:row>
                    <xdr:rowOff>46264</xdr:rowOff>
                  </from>
                  <to>
                    <xdr:col>2</xdr:col>
                    <xdr:colOff>81643</xdr:colOff>
                    <xdr:row>21</xdr:row>
                    <xdr:rowOff>46264</xdr:rowOff>
                  </to>
                </anchor>
              </controlPr>
            </control>
          </mc:Choice>
        </mc:AlternateContent>
        <mc:AlternateContent xmlns:mc="http://schemas.openxmlformats.org/markup-compatibility/2006">
          <mc:Choice Requires="x14">
            <control shapeId="53269" r:id="rId20" name="Check Box 21">
              <controlPr defaultSize="0" autoFill="0" autoLine="0" autoPict="0">
                <anchor moveWithCells="1">
                  <from>
                    <xdr:col>2</xdr:col>
                    <xdr:colOff>0</xdr:colOff>
                    <xdr:row>19</xdr:row>
                    <xdr:rowOff>46264</xdr:rowOff>
                  </from>
                  <to>
                    <xdr:col>3</xdr:col>
                    <xdr:colOff>70757</xdr:colOff>
                    <xdr:row>21</xdr:row>
                    <xdr:rowOff>46264</xdr:rowOff>
                  </to>
                </anchor>
              </controlPr>
            </control>
          </mc:Choice>
        </mc:AlternateContent>
        <mc:AlternateContent xmlns:mc="http://schemas.openxmlformats.org/markup-compatibility/2006">
          <mc:Choice Requires="x14">
            <control shapeId="53270" r:id="rId21" name="Check Box 22">
              <controlPr defaultSize="0" autoFill="0" autoLine="0" autoPict="0">
                <anchor moveWithCells="1">
                  <from>
                    <xdr:col>3</xdr:col>
                    <xdr:colOff>10886</xdr:colOff>
                    <xdr:row>19</xdr:row>
                    <xdr:rowOff>46264</xdr:rowOff>
                  </from>
                  <to>
                    <xdr:col>4</xdr:col>
                    <xdr:colOff>81643</xdr:colOff>
                    <xdr:row>21</xdr:row>
                    <xdr:rowOff>46264</xdr:rowOff>
                  </to>
                </anchor>
              </controlPr>
            </control>
          </mc:Choice>
        </mc:AlternateContent>
        <mc:AlternateContent xmlns:mc="http://schemas.openxmlformats.org/markup-compatibility/2006">
          <mc:Choice Requires="x14">
            <control shapeId="53271" r:id="rId22" name="Check Box 23">
              <controlPr defaultSize="0" autoFill="0" autoLine="0" autoPict="0">
                <anchor moveWithCells="1">
                  <from>
                    <xdr:col>1</xdr:col>
                    <xdr:colOff>10886</xdr:colOff>
                    <xdr:row>21</xdr:row>
                    <xdr:rowOff>46264</xdr:rowOff>
                  </from>
                  <to>
                    <xdr:col>2</xdr:col>
                    <xdr:colOff>81643</xdr:colOff>
                    <xdr:row>23</xdr:row>
                    <xdr:rowOff>46264</xdr:rowOff>
                  </to>
                </anchor>
              </controlPr>
            </control>
          </mc:Choice>
        </mc:AlternateContent>
        <mc:AlternateContent xmlns:mc="http://schemas.openxmlformats.org/markup-compatibility/2006">
          <mc:Choice Requires="x14">
            <control shapeId="53272" r:id="rId23" name="Check Box 24">
              <controlPr defaultSize="0" autoFill="0" autoLine="0" autoPict="0">
                <anchor moveWithCells="1">
                  <from>
                    <xdr:col>2</xdr:col>
                    <xdr:colOff>0</xdr:colOff>
                    <xdr:row>21</xdr:row>
                    <xdr:rowOff>46264</xdr:rowOff>
                  </from>
                  <to>
                    <xdr:col>3</xdr:col>
                    <xdr:colOff>70757</xdr:colOff>
                    <xdr:row>23</xdr:row>
                    <xdr:rowOff>46264</xdr:rowOff>
                  </to>
                </anchor>
              </controlPr>
            </control>
          </mc:Choice>
        </mc:AlternateContent>
        <mc:AlternateContent xmlns:mc="http://schemas.openxmlformats.org/markup-compatibility/2006">
          <mc:Choice Requires="x14">
            <control shapeId="53273" r:id="rId24" name="Check Box 25">
              <controlPr defaultSize="0" autoFill="0" autoLine="0" autoPict="0">
                <anchor moveWithCells="1">
                  <from>
                    <xdr:col>3</xdr:col>
                    <xdr:colOff>10886</xdr:colOff>
                    <xdr:row>21</xdr:row>
                    <xdr:rowOff>46264</xdr:rowOff>
                  </from>
                  <to>
                    <xdr:col>4</xdr:col>
                    <xdr:colOff>81643</xdr:colOff>
                    <xdr:row>23</xdr:row>
                    <xdr:rowOff>46264</xdr:rowOff>
                  </to>
                </anchor>
              </controlPr>
            </control>
          </mc:Choice>
        </mc:AlternateContent>
        <mc:AlternateContent xmlns:mc="http://schemas.openxmlformats.org/markup-compatibility/2006">
          <mc:Choice Requires="x14">
            <control shapeId="53274" r:id="rId25" name="Check Box 26">
              <controlPr defaultSize="0" autoFill="0" autoLine="0" autoPict="0">
                <anchor moveWithCells="1">
                  <from>
                    <xdr:col>1</xdr:col>
                    <xdr:colOff>10886</xdr:colOff>
                    <xdr:row>23</xdr:row>
                    <xdr:rowOff>46264</xdr:rowOff>
                  </from>
                  <to>
                    <xdr:col>2</xdr:col>
                    <xdr:colOff>81643</xdr:colOff>
                    <xdr:row>25</xdr:row>
                    <xdr:rowOff>46264</xdr:rowOff>
                  </to>
                </anchor>
              </controlPr>
            </control>
          </mc:Choice>
        </mc:AlternateContent>
        <mc:AlternateContent xmlns:mc="http://schemas.openxmlformats.org/markup-compatibility/2006">
          <mc:Choice Requires="x14">
            <control shapeId="53275" r:id="rId26" name="Check Box 27">
              <controlPr defaultSize="0" autoFill="0" autoLine="0" autoPict="0">
                <anchor moveWithCells="1">
                  <from>
                    <xdr:col>2</xdr:col>
                    <xdr:colOff>0</xdr:colOff>
                    <xdr:row>23</xdr:row>
                    <xdr:rowOff>46264</xdr:rowOff>
                  </from>
                  <to>
                    <xdr:col>3</xdr:col>
                    <xdr:colOff>70757</xdr:colOff>
                    <xdr:row>25</xdr:row>
                    <xdr:rowOff>46264</xdr:rowOff>
                  </to>
                </anchor>
              </controlPr>
            </control>
          </mc:Choice>
        </mc:AlternateContent>
        <mc:AlternateContent xmlns:mc="http://schemas.openxmlformats.org/markup-compatibility/2006">
          <mc:Choice Requires="x14">
            <control shapeId="53276" r:id="rId27" name="Check Box 28">
              <controlPr defaultSize="0" autoFill="0" autoLine="0" autoPict="0">
                <anchor moveWithCells="1">
                  <from>
                    <xdr:col>3</xdr:col>
                    <xdr:colOff>10886</xdr:colOff>
                    <xdr:row>23</xdr:row>
                    <xdr:rowOff>46264</xdr:rowOff>
                  </from>
                  <to>
                    <xdr:col>4</xdr:col>
                    <xdr:colOff>81643</xdr:colOff>
                    <xdr:row>25</xdr:row>
                    <xdr:rowOff>46264</xdr:rowOff>
                  </to>
                </anchor>
              </controlPr>
            </control>
          </mc:Choice>
        </mc:AlternateContent>
        <mc:AlternateContent xmlns:mc="http://schemas.openxmlformats.org/markup-compatibility/2006">
          <mc:Choice Requires="x14">
            <control shapeId="53277" r:id="rId28" name="Check Box 29">
              <controlPr defaultSize="0" autoFill="0" autoLine="0" autoPict="0">
                <anchor moveWithCells="1">
                  <from>
                    <xdr:col>1</xdr:col>
                    <xdr:colOff>10886</xdr:colOff>
                    <xdr:row>25</xdr:row>
                    <xdr:rowOff>46264</xdr:rowOff>
                  </from>
                  <to>
                    <xdr:col>2</xdr:col>
                    <xdr:colOff>81643</xdr:colOff>
                    <xdr:row>27</xdr:row>
                    <xdr:rowOff>46264</xdr:rowOff>
                  </to>
                </anchor>
              </controlPr>
            </control>
          </mc:Choice>
        </mc:AlternateContent>
        <mc:AlternateContent xmlns:mc="http://schemas.openxmlformats.org/markup-compatibility/2006">
          <mc:Choice Requires="x14">
            <control shapeId="53278" r:id="rId29" name="Check Box 30">
              <controlPr defaultSize="0" autoFill="0" autoLine="0" autoPict="0">
                <anchor moveWithCells="1">
                  <from>
                    <xdr:col>2</xdr:col>
                    <xdr:colOff>0</xdr:colOff>
                    <xdr:row>25</xdr:row>
                    <xdr:rowOff>46264</xdr:rowOff>
                  </from>
                  <to>
                    <xdr:col>3</xdr:col>
                    <xdr:colOff>70757</xdr:colOff>
                    <xdr:row>27</xdr:row>
                    <xdr:rowOff>46264</xdr:rowOff>
                  </to>
                </anchor>
              </controlPr>
            </control>
          </mc:Choice>
        </mc:AlternateContent>
        <mc:AlternateContent xmlns:mc="http://schemas.openxmlformats.org/markup-compatibility/2006">
          <mc:Choice Requires="x14">
            <control shapeId="53279" r:id="rId30" name="Check Box 31">
              <controlPr defaultSize="0" autoFill="0" autoLine="0" autoPict="0">
                <anchor moveWithCells="1">
                  <from>
                    <xdr:col>3</xdr:col>
                    <xdr:colOff>10886</xdr:colOff>
                    <xdr:row>25</xdr:row>
                    <xdr:rowOff>46264</xdr:rowOff>
                  </from>
                  <to>
                    <xdr:col>4</xdr:col>
                    <xdr:colOff>81643</xdr:colOff>
                    <xdr:row>27</xdr:row>
                    <xdr:rowOff>46264</xdr:rowOff>
                  </to>
                </anchor>
              </controlPr>
            </control>
          </mc:Choice>
        </mc:AlternateContent>
        <mc:AlternateContent xmlns:mc="http://schemas.openxmlformats.org/markup-compatibility/2006">
          <mc:Choice Requires="x14">
            <control shapeId="53280" r:id="rId31" name="Check Box 32">
              <controlPr defaultSize="0" autoFill="0" autoLine="0" autoPict="0">
                <anchor moveWithCells="1">
                  <from>
                    <xdr:col>1</xdr:col>
                    <xdr:colOff>10886</xdr:colOff>
                    <xdr:row>28</xdr:row>
                    <xdr:rowOff>46264</xdr:rowOff>
                  </from>
                  <to>
                    <xdr:col>2</xdr:col>
                    <xdr:colOff>81643</xdr:colOff>
                    <xdr:row>30</xdr:row>
                    <xdr:rowOff>46264</xdr:rowOff>
                  </to>
                </anchor>
              </controlPr>
            </control>
          </mc:Choice>
        </mc:AlternateContent>
        <mc:AlternateContent xmlns:mc="http://schemas.openxmlformats.org/markup-compatibility/2006">
          <mc:Choice Requires="x14">
            <control shapeId="53281" r:id="rId32" name="Check Box 33">
              <controlPr defaultSize="0" autoFill="0" autoLine="0" autoPict="0">
                <anchor moveWithCells="1">
                  <from>
                    <xdr:col>2</xdr:col>
                    <xdr:colOff>0</xdr:colOff>
                    <xdr:row>28</xdr:row>
                    <xdr:rowOff>46264</xdr:rowOff>
                  </from>
                  <to>
                    <xdr:col>3</xdr:col>
                    <xdr:colOff>70757</xdr:colOff>
                    <xdr:row>30</xdr:row>
                    <xdr:rowOff>46264</xdr:rowOff>
                  </to>
                </anchor>
              </controlPr>
            </control>
          </mc:Choice>
        </mc:AlternateContent>
        <mc:AlternateContent xmlns:mc="http://schemas.openxmlformats.org/markup-compatibility/2006">
          <mc:Choice Requires="x14">
            <control shapeId="53282" r:id="rId33" name="Check Box 34">
              <controlPr defaultSize="0" autoFill="0" autoLine="0" autoPict="0">
                <anchor moveWithCells="1">
                  <from>
                    <xdr:col>3</xdr:col>
                    <xdr:colOff>10886</xdr:colOff>
                    <xdr:row>28</xdr:row>
                    <xdr:rowOff>46264</xdr:rowOff>
                  </from>
                  <to>
                    <xdr:col>4</xdr:col>
                    <xdr:colOff>81643</xdr:colOff>
                    <xdr:row>30</xdr:row>
                    <xdr:rowOff>46264</xdr:rowOff>
                  </to>
                </anchor>
              </controlPr>
            </control>
          </mc:Choice>
        </mc:AlternateContent>
        <mc:AlternateContent xmlns:mc="http://schemas.openxmlformats.org/markup-compatibility/2006">
          <mc:Choice Requires="x14">
            <control shapeId="53283" r:id="rId34" name="Check Box 35">
              <controlPr defaultSize="0" autoFill="0" autoLine="0" autoPict="0">
                <anchor moveWithCells="1">
                  <from>
                    <xdr:col>1</xdr:col>
                    <xdr:colOff>10886</xdr:colOff>
                    <xdr:row>30</xdr:row>
                    <xdr:rowOff>46264</xdr:rowOff>
                  </from>
                  <to>
                    <xdr:col>2</xdr:col>
                    <xdr:colOff>81643</xdr:colOff>
                    <xdr:row>32</xdr:row>
                    <xdr:rowOff>46264</xdr:rowOff>
                  </to>
                </anchor>
              </controlPr>
            </control>
          </mc:Choice>
        </mc:AlternateContent>
        <mc:AlternateContent xmlns:mc="http://schemas.openxmlformats.org/markup-compatibility/2006">
          <mc:Choice Requires="x14">
            <control shapeId="53284" r:id="rId35" name="Check Box 36">
              <controlPr defaultSize="0" autoFill="0" autoLine="0" autoPict="0">
                <anchor moveWithCells="1">
                  <from>
                    <xdr:col>2</xdr:col>
                    <xdr:colOff>0</xdr:colOff>
                    <xdr:row>30</xdr:row>
                    <xdr:rowOff>46264</xdr:rowOff>
                  </from>
                  <to>
                    <xdr:col>3</xdr:col>
                    <xdr:colOff>70757</xdr:colOff>
                    <xdr:row>32</xdr:row>
                    <xdr:rowOff>46264</xdr:rowOff>
                  </to>
                </anchor>
              </controlPr>
            </control>
          </mc:Choice>
        </mc:AlternateContent>
        <mc:AlternateContent xmlns:mc="http://schemas.openxmlformats.org/markup-compatibility/2006">
          <mc:Choice Requires="x14">
            <control shapeId="53285" r:id="rId36" name="Check Box 37">
              <controlPr defaultSize="0" autoFill="0" autoLine="0" autoPict="0">
                <anchor moveWithCells="1">
                  <from>
                    <xdr:col>3</xdr:col>
                    <xdr:colOff>10886</xdr:colOff>
                    <xdr:row>30</xdr:row>
                    <xdr:rowOff>46264</xdr:rowOff>
                  </from>
                  <to>
                    <xdr:col>4</xdr:col>
                    <xdr:colOff>81643</xdr:colOff>
                    <xdr:row>32</xdr:row>
                    <xdr:rowOff>46264</xdr:rowOff>
                  </to>
                </anchor>
              </controlPr>
            </control>
          </mc:Choice>
        </mc:AlternateContent>
        <mc:AlternateContent xmlns:mc="http://schemas.openxmlformats.org/markup-compatibility/2006">
          <mc:Choice Requires="x14">
            <control shapeId="53286" r:id="rId37" name="Check Box 38">
              <controlPr defaultSize="0" autoFill="0" autoLine="0" autoPict="0">
                <anchor moveWithCells="1">
                  <from>
                    <xdr:col>1</xdr:col>
                    <xdr:colOff>10886</xdr:colOff>
                    <xdr:row>32</xdr:row>
                    <xdr:rowOff>46264</xdr:rowOff>
                  </from>
                  <to>
                    <xdr:col>2</xdr:col>
                    <xdr:colOff>81643</xdr:colOff>
                    <xdr:row>34</xdr:row>
                    <xdr:rowOff>46264</xdr:rowOff>
                  </to>
                </anchor>
              </controlPr>
            </control>
          </mc:Choice>
        </mc:AlternateContent>
        <mc:AlternateContent xmlns:mc="http://schemas.openxmlformats.org/markup-compatibility/2006">
          <mc:Choice Requires="x14">
            <control shapeId="53287" r:id="rId38" name="Check Box 39">
              <controlPr defaultSize="0" autoFill="0" autoLine="0" autoPict="0">
                <anchor moveWithCells="1">
                  <from>
                    <xdr:col>2</xdr:col>
                    <xdr:colOff>0</xdr:colOff>
                    <xdr:row>32</xdr:row>
                    <xdr:rowOff>46264</xdr:rowOff>
                  </from>
                  <to>
                    <xdr:col>3</xdr:col>
                    <xdr:colOff>70757</xdr:colOff>
                    <xdr:row>34</xdr:row>
                    <xdr:rowOff>46264</xdr:rowOff>
                  </to>
                </anchor>
              </controlPr>
            </control>
          </mc:Choice>
        </mc:AlternateContent>
        <mc:AlternateContent xmlns:mc="http://schemas.openxmlformats.org/markup-compatibility/2006">
          <mc:Choice Requires="x14">
            <control shapeId="53288" r:id="rId39" name="Check Box 40">
              <controlPr defaultSize="0" autoFill="0" autoLine="0" autoPict="0">
                <anchor moveWithCells="1">
                  <from>
                    <xdr:col>3</xdr:col>
                    <xdr:colOff>10886</xdr:colOff>
                    <xdr:row>32</xdr:row>
                    <xdr:rowOff>46264</xdr:rowOff>
                  </from>
                  <to>
                    <xdr:col>4</xdr:col>
                    <xdr:colOff>81643</xdr:colOff>
                    <xdr:row>34</xdr:row>
                    <xdr:rowOff>46264</xdr:rowOff>
                  </to>
                </anchor>
              </controlPr>
            </control>
          </mc:Choice>
        </mc:AlternateContent>
        <mc:AlternateContent xmlns:mc="http://schemas.openxmlformats.org/markup-compatibility/2006">
          <mc:Choice Requires="x14">
            <control shapeId="53289" r:id="rId40" name="Check Box 41">
              <controlPr defaultSize="0" autoFill="0" autoLine="0" autoPict="0">
                <anchor moveWithCells="1">
                  <from>
                    <xdr:col>1</xdr:col>
                    <xdr:colOff>10886</xdr:colOff>
                    <xdr:row>34</xdr:row>
                    <xdr:rowOff>46264</xdr:rowOff>
                  </from>
                  <to>
                    <xdr:col>2</xdr:col>
                    <xdr:colOff>81643</xdr:colOff>
                    <xdr:row>36</xdr:row>
                    <xdr:rowOff>46264</xdr:rowOff>
                  </to>
                </anchor>
              </controlPr>
            </control>
          </mc:Choice>
        </mc:AlternateContent>
        <mc:AlternateContent xmlns:mc="http://schemas.openxmlformats.org/markup-compatibility/2006">
          <mc:Choice Requires="x14">
            <control shapeId="53290" r:id="rId41" name="Check Box 42">
              <controlPr defaultSize="0" autoFill="0" autoLine="0" autoPict="0">
                <anchor moveWithCells="1">
                  <from>
                    <xdr:col>2</xdr:col>
                    <xdr:colOff>0</xdr:colOff>
                    <xdr:row>34</xdr:row>
                    <xdr:rowOff>46264</xdr:rowOff>
                  </from>
                  <to>
                    <xdr:col>3</xdr:col>
                    <xdr:colOff>70757</xdr:colOff>
                    <xdr:row>36</xdr:row>
                    <xdr:rowOff>46264</xdr:rowOff>
                  </to>
                </anchor>
              </controlPr>
            </control>
          </mc:Choice>
        </mc:AlternateContent>
        <mc:AlternateContent xmlns:mc="http://schemas.openxmlformats.org/markup-compatibility/2006">
          <mc:Choice Requires="x14">
            <control shapeId="53291" r:id="rId42" name="Check Box 43">
              <controlPr defaultSize="0" autoFill="0" autoLine="0" autoPict="0">
                <anchor moveWithCells="1">
                  <from>
                    <xdr:col>3</xdr:col>
                    <xdr:colOff>10886</xdr:colOff>
                    <xdr:row>34</xdr:row>
                    <xdr:rowOff>46264</xdr:rowOff>
                  </from>
                  <to>
                    <xdr:col>4</xdr:col>
                    <xdr:colOff>81643</xdr:colOff>
                    <xdr:row>36</xdr:row>
                    <xdr:rowOff>46264</xdr:rowOff>
                  </to>
                </anchor>
              </controlPr>
            </control>
          </mc:Choice>
        </mc:AlternateContent>
        <mc:AlternateContent xmlns:mc="http://schemas.openxmlformats.org/markup-compatibility/2006">
          <mc:Choice Requires="x14">
            <control shapeId="53292" r:id="rId43" name="Check Box 44">
              <controlPr defaultSize="0" autoFill="0" autoLine="0" autoPict="0">
                <anchor moveWithCells="1">
                  <from>
                    <xdr:col>1</xdr:col>
                    <xdr:colOff>10886</xdr:colOff>
                    <xdr:row>36</xdr:row>
                    <xdr:rowOff>46264</xdr:rowOff>
                  </from>
                  <to>
                    <xdr:col>2</xdr:col>
                    <xdr:colOff>81643</xdr:colOff>
                    <xdr:row>38</xdr:row>
                    <xdr:rowOff>46264</xdr:rowOff>
                  </to>
                </anchor>
              </controlPr>
            </control>
          </mc:Choice>
        </mc:AlternateContent>
        <mc:AlternateContent xmlns:mc="http://schemas.openxmlformats.org/markup-compatibility/2006">
          <mc:Choice Requires="x14">
            <control shapeId="53293" r:id="rId44" name="Check Box 45">
              <controlPr defaultSize="0" autoFill="0" autoLine="0" autoPict="0">
                <anchor moveWithCells="1">
                  <from>
                    <xdr:col>2</xdr:col>
                    <xdr:colOff>0</xdr:colOff>
                    <xdr:row>36</xdr:row>
                    <xdr:rowOff>46264</xdr:rowOff>
                  </from>
                  <to>
                    <xdr:col>3</xdr:col>
                    <xdr:colOff>70757</xdr:colOff>
                    <xdr:row>38</xdr:row>
                    <xdr:rowOff>46264</xdr:rowOff>
                  </to>
                </anchor>
              </controlPr>
            </control>
          </mc:Choice>
        </mc:AlternateContent>
        <mc:AlternateContent xmlns:mc="http://schemas.openxmlformats.org/markup-compatibility/2006">
          <mc:Choice Requires="x14">
            <control shapeId="53294" r:id="rId45" name="Check Box 46">
              <controlPr defaultSize="0" autoFill="0" autoLine="0" autoPict="0">
                <anchor moveWithCells="1">
                  <from>
                    <xdr:col>3</xdr:col>
                    <xdr:colOff>10886</xdr:colOff>
                    <xdr:row>36</xdr:row>
                    <xdr:rowOff>46264</xdr:rowOff>
                  </from>
                  <to>
                    <xdr:col>4</xdr:col>
                    <xdr:colOff>81643</xdr:colOff>
                    <xdr:row>38</xdr:row>
                    <xdr:rowOff>46264</xdr:rowOff>
                  </to>
                </anchor>
              </controlPr>
            </control>
          </mc:Choice>
        </mc:AlternateContent>
        <mc:AlternateContent xmlns:mc="http://schemas.openxmlformats.org/markup-compatibility/2006">
          <mc:Choice Requires="x14">
            <control shapeId="53295" r:id="rId46" name="Check Box 47">
              <controlPr defaultSize="0" autoFill="0" autoLine="0" autoPict="0">
                <anchor moveWithCells="1">
                  <from>
                    <xdr:col>1</xdr:col>
                    <xdr:colOff>10886</xdr:colOff>
                    <xdr:row>38</xdr:row>
                    <xdr:rowOff>46264</xdr:rowOff>
                  </from>
                  <to>
                    <xdr:col>2</xdr:col>
                    <xdr:colOff>81643</xdr:colOff>
                    <xdr:row>40</xdr:row>
                    <xdr:rowOff>46264</xdr:rowOff>
                  </to>
                </anchor>
              </controlPr>
            </control>
          </mc:Choice>
        </mc:AlternateContent>
        <mc:AlternateContent xmlns:mc="http://schemas.openxmlformats.org/markup-compatibility/2006">
          <mc:Choice Requires="x14">
            <control shapeId="53296" r:id="rId47" name="Check Box 48">
              <controlPr defaultSize="0" autoFill="0" autoLine="0" autoPict="0">
                <anchor moveWithCells="1">
                  <from>
                    <xdr:col>2</xdr:col>
                    <xdr:colOff>0</xdr:colOff>
                    <xdr:row>38</xdr:row>
                    <xdr:rowOff>46264</xdr:rowOff>
                  </from>
                  <to>
                    <xdr:col>3</xdr:col>
                    <xdr:colOff>70757</xdr:colOff>
                    <xdr:row>40</xdr:row>
                    <xdr:rowOff>46264</xdr:rowOff>
                  </to>
                </anchor>
              </controlPr>
            </control>
          </mc:Choice>
        </mc:AlternateContent>
        <mc:AlternateContent xmlns:mc="http://schemas.openxmlformats.org/markup-compatibility/2006">
          <mc:Choice Requires="x14">
            <control shapeId="53297" r:id="rId48" name="Check Box 49">
              <controlPr defaultSize="0" autoFill="0" autoLine="0" autoPict="0">
                <anchor moveWithCells="1">
                  <from>
                    <xdr:col>3</xdr:col>
                    <xdr:colOff>10886</xdr:colOff>
                    <xdr:row>38</xdr:row>
                    <xdr:rowOff>46264</xdr:rowOff>
                  </from>
                  <to>
                    <xdr:col>4</xdr:col>
                    <xdr:colOff>81643</xdr:colOff>
                    <xdr:row>40</xdr:row>
                    <xdr:rowOff>46264</xdr:rowOff>
                  </to>
                </anchor>
              </controlPr>
            </control>
          </mc:Choice>
        </mc:AlternateContent>
        <mc:AlternateContent xmlns:mc="http://schemas.openxmlformats.org/markup-compatibility/2006">
          <mc:Choice Requires="x14">
            <control shapeId="53298" r:id="rId49" name="Check Box 50">
              <controlPr defaultSize="0" autoFill="0" autoLine="0" autoPict="0">
                <anchor moveWithCells="1">
                  <from>
                    <xdr:col>1</xdr:col>
                    <xdr:colOff>10886</xdr:colOff>
                    <xdr:row>40</xdr:row>
                    <xdr:rowOff>46264</xdr:rowOff>
                  </from>
                  <to>
                    <xdr:col>2</xdr:col>
                    <xdr:colOff>81643</xdr:colOff>
                    <xdr:row>42</xdr:row>
                    <xdr:rowOff>46264</xdr:rowOff>
                  </to>
                </anchor>
              </controlPr>
            </control>
          </mc:Choice>
        </mc:AlternateContent>
        <mc:AlternateContent xmlns:mc="http://schemas.openxmlformats.org/markup-compatibility/2006">
          <mc:Choice Requires="x14">
            <control shapeId="53299" r:id="rId50" name="Check Box 51">
              <controlPr defaultSize="0" autoFill="0" autoLine="0" autoPict="0">
                <anchor moveWithCells="1">
                  <from>
                    <xdr:col>2</xdr:col>
                    <xdr:colOff>0</xdr:colOff>
                    <xdr:row>40</xdr:row>
                    <xdr:rowOff>46264</xdr:rowOff>
                  </from>
                  <to>
                    <xdr:col>3</xdr:col>
                    <xdr:colOff>70757</xdr:colOff>
                    <xdr:row>42</xdr:row>
                    <xdr:rowOff>46264</xdr:rowOff>
                  </to>
                </anchor>
              </controlPr>
            </control>
          </mc:Choice>
        </mc:AlternateContent>
        <mc:AlternateContent xmlns:mc="http://schemas.openxmlformats.org/markup-compatibility/2006">
          <mc:Choice Requires="x14">
            <control shapeId="53300" r:id="rId51" name="Check Box 52">
              <controlPr defaultSize="0" autoFill="0" autoLine="0" autoPict="0">
                <anchor moveWithCells="1">
                  <from>
                    <xdr:col>3</xdr:col>
                    <xdr:colOff>10886</xdr:colOff>
                    <xdr:row>40</xdr:row>
                    <xdr:rowOff>46264</xdr:rowOff>
                  </from>
                  <to>
                    <xdr:col>4</xdr:col>
                    <xdr:colOff>81643</xdr:colOff>
                    <xdr:row>42</xdr:row>
                    <xdr:rowOff>46264</xdr:rowOff>
                  </to>
                </anchor>
              </controlPr>
            </control>
          </mc:Choice>
        </mc:AlternateContent>
        <mc:AlternateContent xmlns:mc="http://schemas.openxmlformats.org/markup-compatibility/2006">
          <mc:Choice Requires="x14">
            <control shapeId="53301" r:id="rId52" name="Check Box 53">
              <controlPr defaultSize="0" autoFill="0" autoLine="0" autoPict="0">
                <anchor moveWithCells="1">
                  <from>
                    <xdr:col>1</xdr:col>
                    <xdr:colOff>10886</xdr:colOff>
                    <xdr:row>42</xdr:row>
                    <xdr:rowOff>46264</xdr:rowOff>
                  </from>
                  <to>
                    <xdr:col>2</xdr:col>
                    <xdr:colOff>81643</xdr:colOff>
                    <xdr:row>44</xdr:row>
                    <xdr:rowOff>46264</xdr:rowOff>
                  </to>
                </anchor>
              </controlPr>
            </control>
          </mc:Choice>
        </mc:AlternateContent>
        <mc:AlternateContent xmlns:mc="http://schemas.openxmlformats.org/markup-compatibility/2006">
          <mc:Choice Requires="x14">
            <control shapeId="53302" r:id="rId53" name="Check Box 54">
              <controlPr defaultSize="0" autoFill="0" autoLine="0" autoPict="0">
                <anchor moveWithCells="1">
                  <from>
                    <xdr:col>2</xdr:col>
                    <xdr:colOff>0</xdr:colOff>
                    <xdr:row>42</xdr:row>
                    <xdr:rowOff>46264</xdr:rowOff>
                  </from>
                  <to>
                    <xdr:col>3</xdr:col>
                    <xdr:colOff>70757</xdr:colOff>
                    <xdr:row>44</xdr:row>
                    <xdr:rowOff>46264</xdr:rowOff>
                  </to>
                </anchor>
              </controlPr>
            </control>
          </mc:Choice>
        </mc:AlternateContent>
        <mc:AlternateContent xmlns:mc="http://schemas.openxmlformats.org/markup-compatibility/2006">
          <mc:Choice Requires="x14">
            <control shapeId="53303" r:id="rId54" name="Check Box 55">
              <controlPr defaultSize="0" autoFill="0" autoLine="0" autoPict="0">
                <anchor moveWithCells="1">
                  <from>
                    <xdr:col>3</xdr:col>
                    <xdr:colOff>10886</xdr:colOff>
                    <xdr:row>42</xdr:row>
                    <xdr:rowOff>46264</xdr:rowOff>
                  </from>
                  <to>
                    <xdr:col>4</xdr:col>
                    <xdr:colOff>81643</xdr:colOff>
                    <xdr:row>44</xdr:row>
                    <xdr:rowOff>46264</xdr:rowOff>
                  </to>
                </anchor>
              </controlPr>
            </control>
          </mc:Choice>
        </mc:AlternateContent>
        <mc:AlternateContent xmlns:mc="http://schemas.openxmlformats.org/markup-compatibility/2006">
          <mc:Choice Requires="x14">
            <control shapeId="53304" r:id="rId55" name="Check Box 56">
              <controlPr defaultSize="0" autoFill="0" autoLine="0" autoPict="0">
                <anchor moveWithCells="1">
                  <from>
                    <xdr:col>1</xdr:col>
                    <xdr:colOff>10886</xdr:colOff>
                    <xdr:row>44</xdr:row>
                    <xdr:rowOff>46264</xdr:rowOff>
                  </from>
                  <to>
                    <xdr:col>2</xdr:col>
                    <xdr:colOff>81643</xdr:colOff>
                    <xdr:row>46</xdr:row>
                    <xdr:rowOff>46264</xdr:rowOff>
                  </to>
                </anchor>
              </controlPr>
            </control>
          </mc:Choice>
        </mc:AlternateContent>
        <mc:AlternateContent xmlns:mc="http://schemas.openxmlformats.org/markup-compatibility/2006">
          <mc:Choice Requires="x14">
            <control shapeId="53305" r:id="rId56" name="Check Box 57">
              <controlPr defaultSize="0" autoFill="0" autoLine="0" autoPict="0">
                <anchor moveWithCells="1">
                  <from>
                    <xdr:col>2</xdr:col>
                    <xdr:colOff>0</xdr:colOff>
                    <xdr:row>44</xdr:row>
                    <xdr:rowOff>46264</xdr:rowOff>
                  </from>
                  <to>
                    <xdr:col>3</xdr:col>
                    <xdr:colOff>70757</xdr:colOff>
                    <xdr:row>46</xdr:row>
                    <xdr:rowOff>46264</xdr:rowOff>
                  </to>
                </anchor>
              </controlPr>
            </control>
          </mc:Choice>
        </mc:AlternateContent>
        <mc:AlternateContent xmlns:mc="http://schemas.openxmlformats.org/markup-compatibility/2006">
          <mc:Choice Requires="x14">
            <control shapeId="53306" r:id="rId57" name="Check Box 58">
              <controlPr defaultSize="0" autoFill="0" autoLine="0" autoPict="0">
                <anchor moveWithCells="1">
                  <from>
                    <xdr:col>3</xdr:col>
                    <xdr:colOff>10886</xdr:colOff>
                    <xdr:row>44</xdr:row>
                    <xdr:rowOff>46264</xdr:rowOff>
                  </from>
                  <to>
                    <xdr:col>4</xdr:col>
                    <xdr:colOff>81643</xdr:colOff>
                    <xdr:row>46</xdr:row>
                    <xdr:rowOff>46264</xdr:rowOff>
                  </to>
                </anchor>
              </controlPr>
            </control>
          </mc:Choice>
        </mc:AlternateContent>
        <mc:AlternateContent xmlns:mc="http://schemas.openxmlformats.org/markup-compatibility/2006">
          <mc:Choice Requires="x14">
            <control shapeId="53307" r:id="rId58" name="Check Box 59">
              <controlPr defaultSize="0" autoFill="0" autoLine="0" autoPict="0">
                <anchor moveWithCells="1">
                  <from>
                    <xdr:col>1</xdr:col>
                    <xdr:colOff>10886</xdr:colOff>
                    <xdr:row>46</xdr:row>
                    <xdr:rowOff>46264</xdr:rowOff>
                  </from>
                  <to>
                    <xdr:col>2</xdr:col>
                    <xdr:colOff>81643</xdr:colOff>
                    <xdr:row>48</xdr:row>
                    <xdr:rowOff>46264</xdr:rowOff>
                  </to>
                </anchor>
              </controlPr>
            </control>
          </mc:Choice>
        </mc:AlternateContent>
        <mc:AlternateContent xmlns:mc="http://schemas.openxmlformats.org/markup-compatibility/2006">
          <mc:Choice Requires="x14">
            <control shapeId="53308" r:id="rId59" name="Check Box 60">
              <controlPr defaultSize="0" autoFill="0" autoLine="0" autoPict="0">
                <anchor moveWithCells="1">
                  <from>
                    <xdr:col>2</xdr:col>
                    <xdr:colOff>0</xdr:colOff>
                    <xdr:row>46</xdr:row>
                    <xdr:rowOff>46264</xdr:rowOff>
                  </from>
                  <to>
                    <xdr:col>3</xdr:col>
                    <xdr:colOff>70757</xdr:colOff>
                    <xdr:row>48</xdr:row>
                    <xdr:rowOff>46264</xdr:rowOff>
                  </to>
                </anchor>
              </controlPr>
            </control>
          </mc:Choice>
        </mc:AlternateContent>
        <mc:AlternateContent xmlns:mc="http://schemas.openxmlformats.org/markup-compatibility/2006">
          <mc:Choice Requires="x14">
            <control shapeId="53309" r:id="rId60" name="Check Box 61">
              <controlPr defaultSize="0" autoFill="0" autoLine="0" autoPict="0">
                <anchor moveWithCells="1">
                  <from>
                    <xdr:col>3</xdr:col>
                    <xdr:colOff>10886</xdr:colOff>
                    <xdr:row>46</xdr:row>
                    <xdr:rowOff>46264</xdr:rowOff>
                  </from>
                  <to>
                    <xdr:col>4</xdr:col>
                    <xdr:colOff>81643</xdr:colOff>
                    <xdr:row>48</xdr:row>
                    <xdr:rowOff>46264</xdr:rowOff>
                  </to>
                </anchor>
              </controlPr>
            </control>
          </mc:Choice>
        </mc:AlternateContent>
        <mc:AlternateContent xmlns:mc="http://schemas.openxmlformats.org/markup-compatibility/2006">
          <mc:Choice Requires="x14">
            <control shapeId="53310" r:id="rId61" name="Check Box 62">
              <controlPr defaultSize="0" autoFill="0" autoLine="0" autoPict="0">
                <anchor moveWithCells="1">
                  <from>
                    <xdr:col>1</xdr:col>
                    <xdr:colOff>10886</xdr:colOff>
                    <xdr:row>48</xdr:row>
                    <xdr:rowOff>46264</xdr:rowOff>
                  </from>
                  <to>
                    <xdr:col>2</xdr:col>
                    <xdr:colOff>81643</xdr:colOff>
                    <xdr:row>50</xdr:row>
                    <xdr:rowOff>46264</xdr:rowOff>
                  </to>
                </anchor>
              </controlPr>
            </control>
          </mc:Choice>
        </mc:AlternateContent>
        <mc:AlternateContent xmlns:mc="http://schemas.openxmlformats.org/markup-compatibility/2006">
          <mc:Choice Requires="x14">
            <control shapeId="53311" r:id="rId62" name="Check Box 63">
              <controlPr defaultSize="0" autoFill="0" autoLine="0" autoPict="0">
                <anchor moveWithCells="1">
                  <from>
                    <xdr:col>2</xdr:col>
                    <xdr:colOff>0</xdr:colOff>
                    <xdr:row>48</xdr:row>
                    <xdr:rowOff>46264</xdr:rowOff>
                  </from>
                  <to>
                    <xdr:col>3</xdr:col>
                    <xdr:colOff>70757</xdr:colOff>
                    <xdr:row>50</xdr:row>
                    <xdr:rowOff>46264</xdr:rowOff>
                  </to>
                </anchor>
              </controlPr>
            </control>
          </mc:Choice>
        </mc:AlternateContent>
        <mc:AlternateContent xmlns:mc="http://schemas.openxmlformats.org/markup-compatibility/2006">
          <mc:Choice Requires="x14">
            <control shapeId="53312" r:id="rId63" name="Check Box 64">
              <controlPr defaultSize="0" autoFill="0" autoLine="0" autoPict="0">
                <anchor moveWithCells="1">
                  <from>
                    <xdr:col>3</xdr:col>
                    <xdr:colOff>10886</xdr:colOff>
                    <xdr:row>48</xdr:row>
                    <xdr:rowOff>46264</xdr:rowOff>
                  </from>
                  <to>
                    <xdr:col>4</xdr:col>
                    <xdr:colOff>81643</xdr:colOff>
                    <xdr:row>50</xdr:row>
                    <xdr:rowOff>46264</xdr:rowOff>
                  </to>
                </anchor>
              </controlPr>
            </control>
          </mc:Choice>
        </mc:AlternateContent>
        <mc:AlternateContent xmlns:mc="http://schemas.openxmlformats.org/markup-compatibility/2006">
          <mc:Choice Requires="x14">
            <control shapeId="53313" r:id="rId64" name="Check Box 65">
              <controlPr defaultSize="0" autoFill="0" autoLine="0" autoPict="0">
                <anchor moveWithCells="1">
                  <from>
                    <xdr:col>1</xdr:col>
                    <xdr:colOff>10886</xdr:colOff>
                    <xdr:row>50</xdr:row>
                    <xdr:rowOff>46264</xdr:rowOff>
                  </from>
                  <to>
                    <xdr:col>2</xdr:col>
                    <xdr:colOff>81643</xdr:colOff>
                    <xdr:row>52</xdr:row>
                    <xdr:rowOff>46264</xdr:rowOff>
                  </to>
                </anchor>
              </controlPr>
            </control>
          </mc:Choice>
        </mc:AlternateContent>
        <mc:AlternateContent xmlns:mc="http://schemas.openxmlformats.org/markup-compatibility/2006">
          <mc:Choice Requires="x14">
            <control shapeId="53314" r:id="rId65" name="Check Box 66">
              <controlPr defaultSize="0" autoFill="0" autoLine="0" autoPict="0">
                <anchor moveWithCells="1">
                  <from>
                    <xdr:col>2</xdr:col>
                    <xdr:colOff>0</xdr:colOff>
                    <xdr:row>50</xdr:row>
                    <xdr:rowOff>46264</xdr:rowOff>
                  </from>
                  <to>
                    <xdr:col>3</xdr:col>
                    <xdr:colOff>70757</xdr:colOff>
                    <xdr:row>52</xdr:row>
                    <xdr:rowOff>46264</xdr:rowOff>
                  </to>
                </anchor>
              </controlPr>
            </control>
          </mc:Choice>
        </mc:AlternateContent>
        <mc:AlternateContent xmlns:mc="http://schemas.openxmlformats.org/markup-compatibility/2006">
          <mc:Choice Requires="x14">
            <control shapeId="53315" r:id="rId66" name="Check Box 67">
              <controlPr defaultSize="0" autoFill="0" autoLine="0" autoPict="0">
                <anchor moveWithCells="1">
                  <from>
                    <xdr:col>3</xdr:col>
                    <xdr:colOff>10886</xdr:colOff>
                    <xdr:row>50</xdr:row>
                    <xdr:rowOff>46264</xdr:rowOff>
                  </from>
                  <to>
                    <xdr:col>4</xdr:col>
                    <xdr:colOff>81643</xdr:colOff>
                    <xdr:row>52</xdr:row>
                    <xdr:rowOff>46264</xdr:rowOff>
                  </to>
                </anchor>
              </controlPr>
            </control>
          </mc:Choice>
        </mc:AlternateContent>
        <mc:AlternateContent xmlns:mc="http://schemas.openxmlformats.org/markup-compatibility/2006">
          <mc:Choice Requires="x14">
            <control shapeId="53316" r:id="rId67" name="Check Box 68">
              <controlPr defaultSize="0" autoFill="0" autoLine="0" autoPict="0">
                <anchor moveWithCells="1">
                  <from>
                    <xdr:col>1</xdr:col>
                    <xdr:colOff>10886</xdr:colOff>
                    <xdr:row>52</xdr:row>
                    <xdr:rowOff>46264</xdr:rowOff>
                  </from>
                  <to>
                    <xdr:col>2</xdr:col>
                    <xdr:colOff>81643</xdr:colOff>
                    <xdr:row>54</xdr:row>
                    <xdr:rowOff>46264</xdr:rowOff>
                  </to>
                </anchor>
              </controlPr>
            </control>
          </mc:Choice>
        </mc:AlternateContent>
        <mc:AlternateContent xmlns:mc="http://schemas.openxmlformats.org/markup-compatibility/2006">
          <mc:Choice Requires="x14">
            <control shapeId="53317" r:id="rId68" name="Check Box 69">
              <controlPr defaultSize="0" autoFill="0" autoLine="0" autoPict="0">
                <anchor moveWithCells="1">
                  <from>
                    <xdr:col>2</xdr:col>
                    <xdr:colOff>0</xdr:colOff>
                    <xdr:row>52</xdr:row>
                    <xdr:rowOff>46264</xdr:rowOff>
                  </from>
                  <to>
                    <xdr:col>3</xdr:col>
                    <xdr:colOff>70757</xdr:colOff>
                    <xdr:row>54</xdr:row>
                    <xdr:rowOff>46264</xdr:rowOff>
                  </to>
                </anchor>
              </controlPr>
            </control>
          </mc:Choice>
        </mc:AlternateContent>
        <mc:AlternateContent xmlns:mc="http://schemas.openxmlformats.org/markup-compatibility/2006">
          <mc:Choice Requires="x14">
            <control shapeId="53318" r:id="rId69" name="Check Box 70">
              <controlPr defaultSize="0" autoFill="0" autoLine="0" autoPict="0">
                <anchor moveWithCells="1">
                  <from>
                    <xdr:col>3</xdr:col>
                    <xdr:colOff>10886</xdr:colOff>
                    <xdr:row>52</xdr:row>
                    <xdr:rowOff>46264</xdr:rowOff>
                  </from>
                  <to>
                    <xdr:col>4</xdr:col>
                    <xdr:colOff>81643</xdr:colOff>
                    <xdr:row>54</xdr:row>
                    <xdr:rowOff>46264</xdr:rowOff>
                  </to>
                </anchor>
              </controlPr>
            </control>
          </mc:Choice>
        </mc:AlternateContent>
        <mc:AlternateContent xmlns:mc="http://schemas.openxmlformats.org/markup-compatibility/2006">
          <mc:Choice Requires="x14">
            <control shapeId="53319" r:id="rId70" name="Check Box 71">
              <controlPr defaultSize="0" autoFill="0" autoLine="0" autoPict="0">
                <anchor moveWithCells="1">
                  <from>
                    <xdr:col>1</xdr:col>
                    <xdr:colOff>10886</xdr:colOff>
                    <xdr:row>54</xdr:row>
                    <xdr:rowOff>46264</xdr:rowOff>
                  </from>
                  <to>
                    <xdr:col>2</xdr:col>
                    <xdr:colOff>81643</xdr:colOff>
                    <xdr:row>56</xdr:row>
                    <xdr:rowOff>46264</xdr:rowOff>
                  </to>
                </anchor>
              </controlPr>
            </control>
          </mc:Choice>
        </mc:AlternateContent>
        <mc:AlternateContent xmlns:mc="http://schemas.openxmlformats.org/markup-compatibility/2006">
          <mc:Choice Requires="x14">
            <control shapeId="53320" r:id="rId71" name="Check Box 72">
              <controlPr defaultSize="0" autoFill="0" autoLine="0" autoPict="0">
                <anchor moveWithCells="1">
                  <from>
                    <xdr:col>2</xdr:col>
                    <xdr:colOff>0</xdr:colOff>
                    <xdr:row>54</xdr:row>
                    <xdr:rowOff>46264</xdr:rowOff>
                  </from>
                  <to>
                    <xdr:col>3</xdr:col>
                    <xdr:colOff>70757</xdr:colOff>
                    <xdr:row>56</xdr:row>
                    <xdr:rowOff>46264</xdr:rowOff>
                  </to>
                </anchor>
              </controlPr>
            </control>
          </mc:Choice>
        </mc:AlternateContent>
        <mc:AlternateContent xmlns:mc="http://schemas.openxmlformats.org/markup-compatibility/2006">
          <mc:Choice Requires="x14">
            <control shapeId="53321" r:id="rId72" name="Check Box 73">
              <controlPr defaultSize="0" autoFill="0" autoLine="0" autoPict="0">
                <anchor moveWithCells="1">
                  <from>
                    <xdr:col>3</xdr:col>
                    <xdr:colOff>10886</xdr:colOff>
                    <xdr:row>54</xdr:row>
                    <xdr:rowOff>46264</xdr:rowOff>
                  </from>
                  <to>
                    <xdr:col>4</xdr:col>
                    <xdr:colOff>81643</xdr:colOff>
                    <xdr:row>56</xdr:row>
                    <xdr:rowOff>46264</xdr:rowOff>
                  </to>
                </anchor>
              </controlPr>
            </control>
          </mc:Choice>
        </mc:AlternateContent>
        <mc:AlternateContent xmlns:mc="http://schemas.openxmlformats.org/markup-compatibility/2006">
          <mc:Choice Requires="x14">
            <control shapeId="53322" r:id="rId73" name="Check Box 74">
              <controlPr defaultSize="0" autoFill="0" autoLine="0" autoPict="0">
                <anchor moveWithCells="1">
                  <from>
                    <xdr:col>1</xdr:col>
                    <xdr:colOff>10886</xdr:colOff>
                    <xdr:row>56</xdr:row>
                    <xdr:rowOff>46264</xdr:rowOff>
                  </from>
                  <to>
                    <xdr:col>2</xdr:col>
                    <xdr:colOff>81643</xdr:colOff>
                    <xdr:row>58</xdr:row>
                    <xdr:rowOff>46264</xdr:rowOff>
                  </to>
                </anchor>
              </controlPr>
            </control>
          </mc:Choice>
        </mc:AlternateContent>
        <mc:AlternateContent xmlns:mc="http://schemas.openxmlformats.org/markup-compatibility/2006">
          <mc:Choice Requires="x14">
            <control shapeId="53323" r:id="rId74" name="Check Box 75">
              <controlPr defaultSize="0" autoFill="0" autoLine="0" autoPict="0">
                <anchor moveWithCells="1">
                  <from>
                    <xdr:col>2</xdr:col>
                    <xdr:colOff>0</xdr:colOff>
                    <xdr:row>56</xdr:row>
                    <xdr:rowOff>46264</xdr:rowOff>
                  </from>
                  <to>
                    <xdr:col>3</xdr:col>
                    <xdr:colOff>70757</xdr:colOff>
                    <xdr:row>58</xdr:row>
                    <xdr:rowOff>46264</xdr:rowOff>
                  </to>
                </anchor>
              </controlPr>
            </control>
          </mc:Choice>
        </mc:AlternateContent>
        <mc:AlternateContent xmlns:mc="http://schemas.openxmlformats.org/markup-compatibility/2006">
          <mc:Choice Requires="x14">
            <control shapeId="53324" r:id="rId75" name="Check Box 76">
              <controlPr defaultSize="0" autoFill="0" autoLine="0" autoPict="0">
                <anchor moveWithCells="1">
                  <from>
                    <xdr:col>3</xdr:col>
                    <xdr:colOff>10886</xdr:colOff>
                    <xdr:row>56</xdr:row>
                    <xdr:rowOff>46264</xdr:rowOff>
                  </from>
                  <to>
                    <xdr:col>4</xdr:col>
                    <xdr:colOff>81643</xdr:colOff>
                    <xdr:row>58</xdr:row>
                    <xdr:rowOff>46264</xdr:rowOff>
                  </to>
                </anchor>
              </controlPr>
            </control>
          </mc:Choice>
        </mc:AlternateContent>
        <mc:AlternateContent xmlns:mc="http://schemas.openxmlformats.org/markup-compatibility/2006">
          <mc:Choice Requires="x14">
            <control shapeId="53325" r:id="rId76" name="Check Box 77">
              <controlPr defaultSize="0" autoFill="0" autoLine="0" autoPict="0">
                <anchor moveWithCells="1">
                  <from>
                    <xdr:col>1</xdr:col>
                    <xdr:colOff>10886</xdr:colOff>
                    <xdr:row>59</xdr:row>
                    <xdr:rowOff>46264</xdr:rowOff>
                  </from>
                  <to>
                    <xdr:col>2</xdr:col>
                    <xdr:colOff>81643</xdr:colOff>
                    <xdr:row>61</xdr:row>
                    <xdr:rowOff>46264</xdr:rowOff>
                  </to>
                </anchor>
              </controlPr>
            </control>
          </mc:Choice>
        </mc:AlternateContent>
        <mc:AlternateContent xmlns:mc="http://schemas.openxmlformats.org/markup-compatibility/2006">
          <mc:Choice Requires="x14">
            <control shapeId="53326" r:id="rId77" name="Check Box 78">
              <controlPr defaultSize="0" autoFill="0" autoLine="0" autoPict="0">
                <anchor moveWithCells="1">
                  <from>
                    <xdr:col>2</xdr:col>
                    <xdr:colOff>0</xdr:colOff>
                    <xdr:row>59</xdr:row>
                    <xdr:rowOff>46264</xdr:rowOff>
                  </from>
                  <to>
                    <xdr:col>3</xdr:col>
                    <xdr:colOff>70757</xdr:colOff>
                    <xdr:row>61</xdr:row>
                    <xdr:rowOff>46264</xdr:rowOff>
                  </to>
                </anchor>
              </controlPr>
            </control>
          </mc:Choice>
        </mc:AlternateContent>
        <mc:AlternateContent xmlns:mc="http://schemas.openxmlformats.org/markup-compatibility/2006">
          <mc:Choice Requires="x14">
            <control shapeId="53327" r:id="rId78" name="Check Box 79">
              <controlPr defaultSize="0" autoFill="0" autoLine="0" autoPict="0">
                <anchor moveWithCells="1">
                  <from>
                    <xdr:col>3</xdr:col>
                    <xdr:colOff>10886</xdr:colOff>
                    <xdr:row>59</xdr:row>
                    <xdr:rowOff>46264</xdr:rowOff>
                  </from>
                  <to>
                    <xdr:col>4</xdr:col>
                    <xdr:colOff>81643</xdr:colOff>
                    <xdr:row>61</xdr:row>
                    <xdr:rowOff>46264</xdr:rowOff>
                  </to>
                </anchor>
              </controlPr>
            </control>
          </mc:Choice>
        </mc:AlternateContent>
        <mc:AlternateContent xmlns:mc="http://schemas.openxmlformats.org/markup-compatibility/2006">
          <mc:Choice Requires="x14">
            <control shapeId="53328" r:id="rId79" name="Check Box 80">
              <controlPr defaultSize="0" autoFill="0" autoLine="0" autoPict="0">
                <anchor moveWithCells="1">
                  <from>
                    <xdr:col>1</xdr:col>
                    <xdr:colOff>10886</xdr:colOff>
                    <xdr:row>64</xdr:row>
                    <xdr:rowOff>46264</xdr:rowOff>
                  </from>
                  <to>
                    <xdr:col>2</xdr:col>
                    <xdr:colOff>81643</xdr:colOff>
                    <xdr:row>66</xdr:row>
                    <xdr:rowOff>46264</xdr:rowOff>
                  </to>
                </anchor>
              </controlPr>
            </control>
          </mc:Choice>
        </mc:AlternateContent>
        <mc:AlternateContent xmlns:mc="http://schemas.openxmlformats.org/markup-compatibility/2006">
          <mc:Choice Requires="x14">
            <control shapeId="53329" r:id="rId80" name="Check Box 81">
              <controlPr defaultSize="0" autoFill="0" autoLine="0" autoPict="0">
                <anchor moveWithCells="1">
                  <from>
                    <xdr:col>2</xdr:col>
                    <xdr:colOff>0</xdr:colOff>
                    <xdr:row>64</xdr:row>
                    <xdr:rowOff>46264</xdr:rowOff>
                  </from>
                  <to>
                    <xdr:col>3</xdr:col>
                    <xdr:colOff>70757</xdr:colOff>
                    <xdr:row>66</xdr:row>
                    <xdr:rowOff>46264</xdr:rowOff>
                  </to>
                </anchor>
              </controlPr>
            </control>
          </mc:Choice>
        </mc:AlternateContent>
        <mc:AlternateContent xmlns:mc="http://schemas.openxmlformats.org/markup-compatibility/2006">
          <mc:Choice Requires="x14">
            <control shapeId="53330" r:id="rId81" name="Check Box 82">
              <controlPr defaultSize="0" autoFill="0" autoLine="0" autoPict="0">
                <anchor moveWithCells="1">
                  <from>
                    <xdr:col>3</xdr:col>
                    <xdr:colOff>10886</xdr:colOff>
                    <xdr:row>64</xdr:row>
                    <xdr:rowOff>46264</xdr:rowOff>
                  </from>
                  <to>
                    <xdr:col>4</xdr:col>
                    <xdr:colOff>81643</xdr:colOff>
                    <xdr:row>66</xdr:row>
                    <xdr:rowOff>46264</xdr:rowOff>
                  </to>
                </anchor>
              </controlPr>
            </control>
          </mc:Choice>
        </mc:AlternateContent>
        <mc:AlternateContent xmlns:mc="http://schemas.openxmlformats.org/markup-compatibility/2006">
          <mc:Choice Requires="x14">
            <control shapeId="53331" r:id="rId82" name="Check Box 83">
              <controlPr defaultSize="0" autoFill="0" autoLine="0" autoPict="0">
                <anchor moveWithCells="1">
                  <from>
                    <xdr:col>1</xdr:col>
                    <xdr:colOff>10886</xdr:colOff>
                    <xdr:row>66</xdr:row>
                    <xdr:rowOff>46264</xdr:rowOff>
                  </from>
                  <to>
                    <xdr:col>2</xdr:col>
                    <xdr:colOff>81643</xdr:colOff>
                    <xdr:row>68</xdr:row>
                    <xdr:rowOff>46264</xdr:rowOff>
                  </to>
                </anchor>
              </controlPr>
            </control>
          </mc:Choice>
        </mc:AlternateContent>
        <mc:AlternateContent xmlns:mc="http://schemas.openxmlformats.org/markup-compatibility/2006">
          <mc:Choice Requires="x14">
            <control shapeId="53332" r:id="rId83" name="Check Box 84">
              <controlPr defaultSize="0" autoFill="0" autoLine="0" autoPict="0">
                <anchor moveWithCells="1">
                  <from>
                    <xdr:col>2</xdr:col>
                    <xdr:colOff>0</xdr:colOff>
                    <xdr:row>66</xdr:row>
                    <xdr:rowOff>46264</xdr:rowOff>
                  </from>
                  <to>
                    <xdr:col>3</xdr:col>
                    <xdr:colOff>70757</xdr:colOff>
                    <xdr:row>68</xdr:row>
                    <xdr:rowOff>46264</xdr:rowOff>
                  </to>
                </anchor>
              </controlPr>
            </control>
          </mc:Choice>
        </mc:AlternateContent>
        <mc:AlternateContent xmlns:mc="http://schemas.openxmlformats.org/markup-compatibility/2006">
          <mc:Choice Requires="x14">
            <control shapeId="53333" r:id="rId84" name="Check Box 85">
              <controlPr defaultSize="0" autoFill="0" autoLine="0" autoPict="0">
                <anchor moveWithCells="1">
                  <from>
                    <xdr:col>3</xdr:col>
                    <xdr:colOff>10886</xdr:colOff>
                    <xdr:row>66</xdr:row>
                    <xdr:rowOff>46264</xdr:rowOff>
                  </from>
                  <to>
                    <xdr:col>4</xdr:col>
                    <xdr:colOff>81643</xdr:colOff>
                    <xdr:row>68</xdr:row>
                    <xdr:rowOff>46264</xdr:rowOff>
                  </to>
                </anchor>
              </controlPr>
            </control>
          </mc:Choice>
        </mc:AlternateContent>
        <mc:AlternateContent xmlns:mc="http://schemas.openxmlformats.org/markup-compatibility/2006">
          <mc:Choice Requires="x14">
            <control shapeId="53336" r:id="rId85" name="Check Box 88">
              <controlPr defaultSize="0" autoFill="0" autoLine="0" autoPict="0">
                <anchor moveWithCells="1">
                  <from>
                    <xdr:col>1</xdr:col>
                    <xdr:colOff>10886</xdr:colOff>
                    <xdr:row>62</xdr:row>
                    <xdr:rowOff>68036</xdr:rowOff>
                  </from>
                  <to>
                    <xdr:col>2</xdr:col>
                    <xdr:colOff>81643</xdr:colOff>
                    <xdr:row>64</xdr:row>
                    <xdr:rowOff>38100</xdr:rowOff>
                  </to>
                </anchor>
              </controlPr>
            </control>
          </mc:Choice>
        </mc:AlternateContent>
        <mc:AlternateContent xmlns:mc="http://schemas.openxmlformats.org/markup-compatibility/2006">
          <mc:Choice Requires="x14">
            <control shapeId="53337" r:id="rId86" name="Check Box 89">
              <controlPr defaultSize="0" autoFill="0" autoLine="0" autoPict="0">
                <anchor moveWithCells="1">
                  <from>
                    <xdr:col>2</xdr:col>
                    <xdr:colOff>0</xdr:colOff>
                    <xdr:row>62</xdr:row>
                    <xdr:rowOff>68036</xdr:rowOff>
                  </from>
                  <to>
                    <xdr:col>3</xdr:col>
                    <xdr:colOff>70757</xdr:colOff>
                    <xdr:row>64</xdr:row>
                    <xdr:rowOff>38100</xdr:rowOff>
                  </to>
                </anchor>
              </controlPr>
            </control>
          </mc:Choice>
        </mc:AlternateContent>
        <mc:AlternateContent xmlns:mc="http://schemas.openxmlformats.org/markup-compatibility/2006">
          <mc:Choice Requires="x14">
            <control shapeId="53338" r:id="rId87" name="Check Box 90">
              <controlPr defaultSize="0" autoFill="0" autoLine="0" autoPict="0">
                <anchor moveWithCells="1">
                  <from>
                    <xdr:col>3</xdr:col>
                    <xdr:colOff>10886</xdr:colOff>
                    <xdr:row>62</xdr:row>
                    <xdr:rowOff>68036</xdr:rowOff>
                  </from>
                  <to>
                    <xdr:col>4</xdr:col>
                    <xdr:colOff>81643</xdr:colOff>
                    <xdr:row>64</xdr:row>
                    <xdr:rowOff>38100</xdr:rowOff>
                  </to>
                </anchor>
              </controlPr>
            </control>
          </mc:Choice>
        </mc:AlternateContent>
        <mc:AlternateContent xmlns:mc="http://schemas.openxmlformats.org/markup-compatibility/2006">
          <mc:Choice Requires="x14">
            <control shapeId="53339" r:id="rId88" name="Check Box 91">
              <controlPr defaultSize="0" autoFill="0" autoLine="0" autoPict="0">
                <anchor moveWithCells="1">
                  <from>
                    <xdr:col>1</xdr:col>
                    <xdr:colOff>10886</xdr:colOff>
                    <xdr:row>68</xdr:row>
                    <xdr:rowOff>46264</xdr:rowOff>
                  </from>
                  <to>
                    <xdr:col>2</xdr:col>
                    <xdr:colOff>81643</xdr:colOff>
                    <xdr:row>70</xdr:row>
                    <xdr:rowOff>46264</xdr:rowOff>
                  </to>
                </anchor>
              </controlPr>
            </control>
          </mc:Choice>
        </mc:AlternateContent>
        <mc:AlternateContent xmlns:mc="http://schemas.openxmlformats.org/markup-compatibility/2006">
          <mc:Choice Requires="x14">
            <control shapeId="53340" r:id="rId89" name="Check Box 92">
              <controlPr defaultSize="0" autoFill="0" autoLine="0" autoPict="0">
                <anchor moveWithCells="1">
                  <from>
                    <xdr:col>2</xdr:col>
                    <xdr:colOff>0</xdr:colOff>
                    <xdr:row>68</xdr:row>
                    <xdr:rowOff>46264</xdr:rowOff>
                  </from>
                  <to>
                    <xdr:col>3</xdr:col>
                    <xdr:colOff>70757</xdr:colOff>
                    <xdr:row>70</xdr:row>
                    <xdr:rowOff>46264</xdr:rowOff>
                  </to>
                </anchor>
              </controlPr>
            </control>
          </mc:Choice>
        </mc:AlternateContent>
        <mc:AlternateContent xmlns:mc="http://schemas.openxmlformats.org/markup-compatibility/2006">
          <mc:Choice Requires="x14">
            <control shapeId="53341" r:id="rId90" name="Check Box 93">
              <controlPr defaultSize="0" autoFill="0" autoLine="0" autoPict="0">
                <anchor moveWithCells="1">
                  <from>
                    <xdr:col>3</xdr:col>
                    <xdr:colOff>10886</xdr:colOff>
                    <xdr:row>68</xdr:row>
                    <xdr:rowOff>46264</xdr:rowOff>
                  </from>
                  <to>
                    <xdr:col>4</xdr:col>
                    <xdr:colOff>81643</xdr:colOff>
                    <xdr:row>70</xdr:row>
                    <xdr:rowOff>46264</xdr:rowOff>
                  </to>
                </anchor>
              </controlPr>
            </control>
          </mc:Choice>
        </mc:AlternateContent>
        <mc:AlternateContent xmlns:mc="http://schemas.openxmlformats.org/markup-compatibility/2006">
          <mc:Choice Requires="x14">
            <control shapeId="53342" r:id="rId91" name="Check Box 94">
              <controlPr defaultSize="0" autoFill="0" autoLine="0" autoPict="0">
                <anchor moveWithCells="1">
                  <from>
                    <xdr:col>1</xdr:col>
                    <xdr:colOff>10886</xdr:colOff>
                    <xdr:row>70</xdr:row>
                    <xdr:rowOff>46264</xdr:rowOff>
                  </from>
                  <to>
                    <xdr:col>2</xdr:col>
                    <xdr:colOff>81643</xdr:colOff>
                    <xdr:row>72</xdr:row>
                    <xdr:rowOff>46264</xdr:rowOff>
                  </to>
                </anchor>
              </controlPr>
            </control>
          </mc:Choice>
        </mc:AlternateContent>
        <mc:AlternateContent xmlns:mc="http://schemas.openxmlformats.org/markup-compatibility/2006">
          <mc:Choice Requires="x14">
            <control shapeId="53343" r:id="rId92" name="Check Box 95">
              <controlPr defaultSize="0" autoFill="0" autoLine="0" autoPict="0">
                <anchor moveWithCells="1">
                  <from>
                    <xdr:col>2</xdr:col>
                    <xdr:colOff>0</xdr:colOff>
                    <xdr:row>70</xdr:row>
                    <xdr:rowOff>46264</xdr:rowOff>
                  </from>
                  <to>
                    <xdr:col>3</xdr:col>
                    <xdr:colOff>70757</xdr:colOff>
                    <xdr:row>72</xdr:row>
                    <xdr:rowOff>46264</xdr:rowOff>
                  </to>
                </anchor>
              </controlPr>
            </control>
          </mc:Choice>
        </mc:AlternateContent>
        <mc:AlternateContent xmlns:mc="http://schemas.openxmlformats.org/markup-compatibility/2006">
          <mc:Choice Requires="x14">
            <control shapeId="53344" r:id="rId93" name="Check Box 96">
              <controlPr defaultSize="0" autoFill="0" autoLine="0" autoPict="0">
                <anchor moveWithCells="1">
                  <from>
                    <xdr:col>3</xdr:col>
                    <xdr:colOff>10886</xdr:colOff>
                    <xdr:row>70</xdr:row>
                    <xdr:rowOff>46264</xdr:rowOff>
                  </from>
                  <to>
                    <xdr:col>4</xdr:col>
                    <xdr:colOff>81643</xdr:colOff>
                    <xdr:row>72</xdr:row>
                    <xdr:rowOff>46264</xdr:rowOff>
                  </to>
                </anchor>
              </controlPr>
            </control>
          </mc:Choice>
        </mc:AlternateContent>
        <mc:AlternateContent xmlns:mc="http://schemas.openxmlformats.org/markup-compatibility/2006">
          <mc:Choice Requires="x14">
            <control shapeId="53345" r:id="rId94" name="Check Box 97">
              <controlPr defaultSize="0" autoFill="0" autoLine="0" autoPict="0">
                <anchor moveWithCells="1">
                  <from>
                    <xdr:col>1</xdr:col>
                    <xdr:colOff>10886</xdr:colOff>
                    <xdr:row>72</xdr:row>
                    <xdr:rowOff>46264</xdr:rowOff>
                  </from>
                  <to>
                    <xdr:col>2</xdr:col>
                    <xdr:colOff>81643</xdr:colOff>
                    <xdr:row>74</xdr:row>
                    <xdr:rowOff>46264</xdr:rowOff>
                  </to>
                </anchor>
              </controlPr>
            </control>
          </mc:Choice>
        </mc:AlternateContent>
        <mc:AlternateContent xmlns:mc="http://schemas.openxmlformats.org/markup-compatibility/2006">
          <mc:Choice Requires="x14">
            <control shapeId="53346" r:id="rId95" name="Check Box 98">
              <controlPr defaultSize="0" autoFill="0" autoLine="0" autoPict="0">
                <anchor moveWithCells="1">
                  <from>
                    <xdr:col>2</xdr:col>
                    <xdr:colOff>0</xdr:colOff>
                    <xdr:row>72</xdr:row>
                    <xdr:rowOff>46264</xdr:rowOff>
                  </from>
                  <to>
                    <xdr:col>3</xdr:col>
                    <xdr:colOff>70757</xdr:colOff>
                    <xdr:row>74</xdr:row>
                    <xdr:rowOff>46264</xdr:rowOff>
                  </to>
                </anchor>
              </controlPr>
            </control>
          </mc:Choice>
        </mc:AlternateContent>
        <mc:AlternateContent xmlns:mc="http://schemas.openxmlformats.org/markup-compatibility/2006">
          <mc:Choice Requires="x14">
            <control shapeId="53347" r:id="rId96" name="Check Box 99">
              <controlPr defaultSize="0" autoFill="0" autoLine="0" autoPict="0">
                <anchor moveWithCells="1">
                  <from>
                    <xdr:col>3</xdr:col>
                    <xdr:colOff>10886</xdr:colOff>
                    <xdr:row>72</xdr:row>
                    <xdr:rowOff>46264</xdr:rowOff>
                  </from>
                  <to>
                    <xdr:col>4</xdr:col>
                    <xdr:colOff>81643</xdr:colOff>
                    <xdr:row>74</xdr:row>
                    <xdr:rowOff>46264</xdr:rowOff>
                  </to>
                </anchor>
              </controlPr>
            </control>
          </mc:Choice>
        </mc:AlternateContent>
        <mc:AlternateContent xmlns:mc="http://schemas.openxmlformats.org/markup-compatibility/2006">
          <mc:Choice Requires="x14">
            <control shapeId="53348" r:id="rId97" name="Check Box 100">
              <controlPr defaultSize="0" autoFill="0" autoLine="0" autoPict="0">
                <anchor moveWithCells="1">
                  <from>
                    <xdr:col>1</xdr:col>
                    <xdr:colOff>10886</xdr:colOff>
                    <xdr:row>74</xdr:row>
                    <xdr:rowOff>46264</xdr:rowOff>
                  </from>
                  <to>
                    <xdr:col>2</xdr:col>
                    <xdr:colOff>81643</xdr:colOff>
                    <xdr:row>76</xdr:row>
                    <xdr:rowOff>46264</xdr:rowOff>
                  </to>
                </anchor>
              </controlPr>
            </control>
          </mc:Choice>
        </mc:AlternateContent>
        <mc:AlternateContent xmlns:mc="http://schemas.openxmlformats.org/markup-compatibility/2006">
          <mc:Choice Requires="x14">
            <control shapeId="53349" r:id="rId98" name="Check Box 101">
              <controlPr defaultSize="0" autoFill="0" autoLine="0" autoPict="0">
                <anchor moveWithCells="1">
                  <from>
                    <xdr:col>2</xdr:col>
                    <xdr:colOff>0</xdr:colOff>
                    <xdr:row>74</xdr:row>
                    <xdr:rowOff>46264</xdr:rowOff>
                  </from>
                  <to>
                    <xdr:col>3</xdr:col>
                    <xdr:colOff>70757</xdr:colOff>
                    <xdr:row>76</xdr:row>
                    <xdr:rowOff>46264</xdr:rowOff>
                  </to>
                </anchor>
              </controlPr>
            </control>
          </mc:Choice>
        </mc:AlternateContent>
        <mc:AlternateContent xmlns:mc="http://schemas.openxmlformats.org/markup-compatibility/2006">
          <mc:Choice Requires="x14">
            <control shapeId="53350" r:id="rId99" name="Check Box 102">
              <controlPr defaultSize="0" autoFill="0" autoLine="0" autoPict="0">
                <anchor moveWithCells="1">
                  <from>
                    <xdr:col>3</xdr:col>
                    <xdr:colOff>10886</xdr:colOff>
                    <xdr:row>74</xdr:row>
                    <xdr:rowOff>46264</xdr:rowOff>
                  </from>
                  <to>
                    <xdr:col>4</xdr:col>
                    <xdr:colOff>81643</xdr:colOff>
                    <xdr:row>76</xdr:row>
                    <xdr:rowOff>46264</xdr:rowOff>
                  </to>
                </anchor>
              </controlPr>
            </control>
          </mc:Choice>
        </mc:AlternateContent>
        <mc:AlternateContent xmlns:mc="http://schemas.openxmlformats.org/markup-compatibility/2006">
          <mc:Choice Requires="x14">
            <control shapeId="53351" r:id="rId100" name="Check Box 103">
              <controlPr defaultSize="0" autoFill="0" autoLine="0" autoPict="0">
                <anchor moveWithCells="1">
                  <from>
                    <xdr:col>1</xdr:col>
                    <xdr:colOff>10886</xdr:colOff>
                    <xdr:row>76</xdr:row>
                    <xdr:rowOff>46264</xdr:rowOff>
                  </from>
                  <to>
                    <xdr:col>2</xdr:col>
                    <xdr:colOff>81643</xdr:colOff>
                    <xdr:row>78</xdr:row>
                    <xdr:rowOff>46264</xdr:rowOff>
                  </to>
                </anchor>
              </controlPr>
            </control>
          </mc:Choice>
        </mc:AlternateContent>
        <mc:AlternateContent xmlns:mc="http://schemas.openxmlformats.org/markup-compatibility/2006">
          <mc:Choice Requires="x14">
            <control shapeId="53352" r:id="rId101" name="Check Box 104">
              <controlPr defaultSize="0" autoFill="0" autoLine="0" autoPict="0">
                <anchor moveWithCells="1">
                  <from>
                    <xdr:col>2</xdr:col>
                    <xdr:colOff>0</xdr:colOff>
                    <xdr:row>76</xdr:row>
                    <xdr:rowOff>46264</xdr:rowOff>
                  </from>
                  <to>
                    <xdr:col>3</xdr:col>
                    <xdr:colOff>70757</xdr:colOff>
                    <xdr:row>78</xdr:row>
                    <xdr:rowOff>46264</xdr:rowOff>
                  </to>
                </anchor>
              </controlPr>
            </control>
          </mc:Choice>
        </mc:AlternateContent>
        <mc:AlternateContent xmlns:mc="http://schemas.openxmlformats.org/markup-compatibility/2006">
          <mc:Choice Requires="x14">
            <control shapeId="53353" r:id="rId102" name="Check Box 105">
              <controlPr defaultSize="0" autoFill="0" autoLine="0" autoPict="0">
                <anchor moveWithCells="1">
                  <from>
                    <xdr:col>3</xdr:col>
                    <xdr:colOff>10886</xdr:colOff>
                    <xdr:row>76</xdr:row>
                    <xdr:rowOff>46264</xdr:rowOff>
                  </from>
                  <to>
                    <xdr:col>4</xdr:col>
                    <xdr:colOff>81643</xdr:colOff>
                    <xdr:row>78</xdr:row>
                    <xdr:rowOff>46264</xdr:rowOff>
                  </to>
                </anchor>
              </controlPr>
            </control>
          </mc:Choice>
        </mc:AlternateContent>
        <mc:AlternateContent xmlns:mc="http://schemas.openxmlformats.org/markup-compatibility/2006">
          <mc:Choice Requires="x14">
            <control shapeId="53354" r:id="rId103" name="Check Box 106">
              <controlPr defaultSize="0" autoFill="0" autoLine="0" autoPict="0">
                <anchor moveWithCells="1">
                  <from>
                    <xdr:col>7</xdr:col>
                    <xdr:colOff>10886</xdr:colOff>
                    <xdr:row>9</xdr:row>
                    <xdr:rowOff>0</xdr:rowOff>
                  </from>
                  <to>
                    <xdr:col>8</xdr:col>
                    <xdr:colOff>59871</xdr:colOff>
                    <xdr:row>11</xdr:row>
                    <xdr:rowOff>57150</xdr:rowOff>
                  </to>
                </anchor>
              </controlPr>
            </control>
          </mc:Choice>
        </mc:AlternateContent>
        <mc:AlternateContent xmlns:mc="http://schemas.openxmlformats.org/markup-compatibility/2006">
          <mc:Choice Requires="x14">
            <control shapeId="53355" r:id="rId104" name="Check Box 107">
              <controlPr defaultSize="0" autoFill="0" autoLine="0" autoPict="0">
                <anchor moveWithCells="1">
                  <from>
                    <xdr:col>8</xdr:col>
                    <xdr:colOff>0</xdr:colOff>
                    <xdr:row>9</xdr:row>
                    <xdr:rowOff>0</xdr:rowOff>
                  </from>
                  <to>
                    <xdr:col>9</xdr:col>
                    <xdr:colOff>51707</xdr:colOff>
                    <xdr:row>11</xdr:row>
                    <xdr:rowOff>57150</xdr:rowOff>
                  </to>
                </anchor>
              </controlPr>
            </control>
          </mc:Choice>
        </mc:AlternateContent>
        <mc:AlternateContent xmlns:mc="http://schemas.openxmlformats.org/markup-compatibility/2006">
          <mc:Choice Requires="x14">
            <control shapeId="53356" r:id="rId105" name="Check Box 108">
              <controlPr defaultSize="0" autoFill="0" autoLine="0" autoPict="0">
                <anchor moveWithCells="1">
                  <from>
                    <xdr:col>9</xdr:col>
                    <xdr:colOff>0</xdr:colOff>
                    <xdr:row>9</xdr:row>
                    <xdr:rowOff>0</xdr:rowOff>
                  </from>
                  <to>
                    <xdr:col>10</xdr:col>
                    <xdr:colOff>59871</xdr:colOff>
                    <xdr:row>11</xdr:row>
                    <xdr:rowOff>57150</xdr:rowOff>
                  </to>
                </anchor>
              </controlPr>
            </control>
          </mc:Choice>
        </mc:AlternateContent>
        <mc:AlternateContent xmlns:mc="http://schemas.openxmlformats.org/markup-compatibility/2006">
          <mc:Choice Requires="x14">
            <control shapeId="53357" r:id="rId106" name="Check Box 109">
              <controlPr defaultSize="0" autoFill="0" autoLine="0" autoPict="0">
                <anchor moveWithCells="1">
                  <from>
                    <xdr:col>7</xdr:col>
                    <xdr:colOff>10886</xdr:colOff>
                    <xdr:row>11</xdr:row>
                    <xdr:rowOff>46264</xdr:rowOff>
                  </from>
                  <to>
                    <xdr:col>8</xdr:col>
                    <xdr:colOff>59871</xdr:colOff>
                    <xdr:row>13</xdr:row>
                    <xdr:rowOff>46264</xdr:rowOff>
                  </to>
                </anchor>
              </controlPr>
            </control>
          </mc:Choice>
        </mc:AlternateContent>
        <mc:AlternateContent xmlns:mc="http://schemas.openxmlformats.org/markup-compatibility/2006">
          <mc:Choice Requires="x14">
            <control shapeId="53358" r:id="rId107" name="Check Box 110">
              <controlPr defaultSize="0" autoFill="0" autoLine="0" autoPict="0">
                <anchor moveWithCells="1">
                  <from>
                    <xdr:col>8</xdr:col>
                    <xdr:colOff>0</xdr:colOff>
                    <xdr:row>11</xdr:row>
                    <xdr:rowOff>46264</xdr:rowOff>
                  </from>
                  <to>
                    <xdr:col>9</xdr:col>
                    <xdr:colOff>51707</xdr:colOff>
                    <xdr:row>13</xdr:row>
                    <xdr:rowOff>46264</xdr:rowOff>
                  </to>
                </anchor>
              </controlPr>
            </control>
          </mc:Choice>
        </mc:AlternateContent>
        <mc:AlternateContent xmlns:mc="http://schemas.openxmlformats.org/markup-compatibility/2006">
          <mc:Choice Requires="x14">
            <control shapeId="53359" r:id="rId108" name="Check Box 111">
              <controlPr defaultSize="0" autoFill="0" autoLine="0" autoPict="0">
                <anchor moveWithCells="1">
                  <from>
                    <xdr:col>9</xdr:col>
                    <xdr:colOff>10886</xdr:colOff>
                    <xdr:row>11</xdr:row>
                    <xdr:rowOff>46264</xdr:rowOff>
                  </from>
                  <to>
                    <xdr:col>10</xdr:col>
                    <xdr:colOff>70757</xdr:colOff>
                    <xdr:row>13</xdr:row>
                    <xdr:rowOff>46264</xdr:rowOff>
                  </to>
                </anchor>
              </controlPr>
            </control>
          </mc:Choice>
        </mc:AlternateContent>
        <mc:AlternateContent xmlns:mc="http://schemas.openxmlformats.org/markup-compatibility/2006">
          <mc:Choice Requires="x14">
            <control shapeId="53360" r:id="rId109" name="Check Box 112">
              <controlPr defaultSize="0" autoFill="0" autoLine="0" autoPict="0">
                <anchor moveWithCells="1">
                  <from>
                    <xdr:col>7</xdr:col>
                    <xdr:colOff>10886</xdr:colOff>
                    <xdr:row>13</xdr:row>
                    <xdr:rowOff>46264</xdr:rowOff>
                  </from>
                  <to>
                    <xdr:col>8</xdr:col>
                    <xdr:colOff>59871</xdr:colOff>
                    <xdr:row>15</xdr:row>
                    <xdr:rowOff>46264</xdr:rowOff>
                  </to>
                </anchor>
              </controlPr>
            </control>
          </mc:Choice>
        </mc:AlternateContent>
        <mc:AlternateContent xmlns:mc="http://schemas.openxmlformats.org/markup-compatibility/2006">
          <mc:Choice Requires="x14">
            <control shapeId="53361" r:id="rId110" name="Check Box 113">
              <controlPr defaultSize="0" autoFill="0" autoLine="0" autoPict="0">
                <anchor moveWithCells="1">
                  <from>
                    <xdr:col>8</xdr:col>
                    <xdr:colOff>0</xdr:colOff>
                    <xdr:row>13</xdr:row>
                    <xdr:rowOff>46264</xdr:rowOff>
                  </from>
                  <to>
                    <xdr:col>9</xdr:col>
                    <xdr:colOff>51707</xdr:colOff>
                    <xdr:row>15</xdr:row>
                    <xdr:rowOff>46264</xdr:rowOff>
                  </to>
                </anchor>
              </controlPr>
            </control>
          </mc:Choice>
        </mc:AlternateContent>
        <mc:AlternateContent xmlns:mc="http://schemas.openxmlformats.org/markup-compatibility/2006">
          <mc:Choice Requires="x14">
            <control shapeId="53362" r:id="rId111" name="Check Box 114">
              <controlPr defaultSize="0" autoFill="0" autoLine="0" autoPict="0">
                <anchor moveWithCells="1">
                  <from>
                    <xdr:col>9</xdr:col>
                    <xdr:colOff>10886</xdr:colOff>
                    <xdr:row>13</xdr:row>
                    <xdr:rowOff>46264</xdr:rowOff>
                  </from>
                  <to>
                    <xdr:col>10</xdr:col>
                    <xdr:colOff>70757</xdr:colOff>
                    <xdr:row>15</xdr:row>
                    <xdr:rowOff>46264</xdr:rowOff>
                  </to>
                </anchor>
              </controlPr>
            </control>
          </mc:Choice>
        </mc:AlternateContent>
        <mc:AlternateContent xmlns:mc="http://schemas.openxmlformats.org/markup-compatibility/2006">
          <mc:Choice Requires="x14">
            <control shapeId="53363" r:id="rId112" name="Check Box 115">
              <controlPr defaultSize="0" autoFill="0" autoLine="0" autoPict="0">
                <anchor moveWithCells="1">
                  <from>
                    <xdr:col>7</xdr:col>
                    <xdr:colOff>10886</xdr:colOff>
                    <xdr:row>15</xdr:row>
                    <xdr:rowOff>46264</xdr:rowOff>
                  </from>
                  <to>
                    <xdr:col>8</xdr:col>
                    <xdr:colOff>59871</xdr:colOff>
                    <xdr:row>17</xdr:row>
                    <xdr:rowOff>46264</xdr:rowOff>
                  </to>
                </anchor>
              </controlPr>
            </control>
          </mc:Choice>
        </mc:AlternateContent>
        <mc:AlternateContent xmlns:mc="http://schemas.openxmlformats.org/markup-compatibility/2006">
          <mc:Choice Requires="x14">
            <control shapeId="53364" r:id="rId113" name="Check Box 116">
              <controlPr defaultSize="0" autoFill="0" autoLine="0" autoPict="0">
                <anchor moveWithCells="1">
                  <from>
                    <xdr:col>8</xdr:col>
                    <xdr:colOff>0</xdr:colOff>
                    <xdr:row>15</xdr:row>
                    <xdr:rowOff>46264</xdr:rowOff>
                  </from>
                  <to>
                    <xdr:col>9</xdr:col>
                    <xdr:colOff>51707</xdr:colOff>
                    <xdr:row>17</xdr:row>
                    <xdr:rowOff>46264</xdr:rowOff>
                  </to>
                </anchor>
              </controlPr>
            </control>
          </mc:Choice>
        </mc:AlternateContent>
        <mc:AlternateContent xmlns:mc="http://schemas.openxmlformats.org/markup-compatibility/2006">
          <mc:Choice Requires="x14">
            <control shapeId="53365" r:id="rId114" name="Check Box 117">
              <controlPr defaultSize="0" autoFill="0" autoLine="0" autoPict="0">
                <anchor moveWithCells="1">
                  <from>
                    <xdr:col>9</xdr:col>
                    <xdr:colOff>10886</xdr:colOff>
                    <xdr:row>15</xdr:row>
                    <xdr:rowOff>46264</xdr:rowOff>
                  </from>
                  <to>
                    <xdr:col>10</xdr:col>
                    <xdr:colOff>70757</xdr:colOff>
                    <xdr:row>17</xdr:row>
                    <xdr:rowOff>46264</xdr:rowOff>
                  </to>
                </anchor>
              </controlPr>
            </control>
          </mc:Choice>
        </mc:AlternateContent>
        <mc:AlternateContent xmlns:mc="http://schemas.openxmlformats.org/markup-compatibility/2006">
          <mc:Choice Requires="x14">
            <control shapeId="53366" r:id="rId115" name="Check Box 118">
              <controlPr defaultSize="0" autoFill="0" autoLine="0" autoPict="0">
                <anchor moveWithCells="1">
                  <from>
                    <xdr:col>7</xdr:col>
                    <xdr:colOff>10886</xdr:colOff>
                    <xdr:row>17</xdr:row>
                    <xdr:rowOff>46264</xdr:rowOff>
                  </from>
                  <to>
                    <xdr:col>8</xdr:col>
                    <xdr:colOff>59871</xdr:colOff>
                    <xdr:row>19</xdr:row>
                    <xdr:rowOff>46264</xdr:rowOff>
                  </to>
                </anchor>
              </controlPr>
            </control>
          </mc:Choice>
        </mc:AlternateContent>
        <mc:AlternateContent xmlns:mc="http://schemas.openxmlformats.org/markup-compatibility/2006">
          <mc:Choice Requires="x14">
            <control shapeId="53367" r:id="rId116" name="Check Box 119">
              <controlPr defaultSize="0" autoFill="0" autoLine="0" autoPict="0">
                <anchor moveWithCells="1">
                  <from>
                    <xdr:col>8</xdr:col>
                    <xdr:colOff>0</xdr:colOff>
                    <xdr:row>17</xdr:row>
                    <xdr:rowOff>46264</xdr:rowOff>
                  </from>
                  <to>
                    <xdr:col>9</xdr:col>
                    <xdr:colOff>51707</xdr:colOff>
                    <xdr:row>19</xdr:row>
                    <xdr:rowOff>46264</xdr:rowOff>
                  </to>
                </anchor>
              </controlPr>
            </control>
          </mc:Choice>
        </mc:AlternateContent>
        <mc:AlternateContent xmlns:mc="http://schemas.openxmlformats.org/markup-compatibility/2006">
          <mc:Choice Requires="x14">
            <control shapeId="53368" r:id="rId117" name="Check Box 120">
              <controlPr defaultSize="0" autoFill="0" autoLine="0" autoPict="0">
                <anchor moveWithCells="1">
                  <from>
                    <xdr:col>9</xdr:col>
                    <xdr:colOff>10886</xdr:colOff>
                    <xdr:row>17</xdr:row>
                    <xdr:rowOff>46264</xdr:rowOff>
                  </from>
                  <to>
                    <xdr:col>10</xdr:col>
                    <xdr:colOff>70757</xdr:colOff>
                    <xdr:row>19</xdr:row>
                    <xdr:rowOff>46264</xdr:rowOff>
                  </to>
                </anchor>
              </controlPr>
            </control>
          </mc:Choice>
        </mc:AlternateContent>
        <mc:AlternateContent xmlns:mc="http://schemas.openxmlformats.org/markup-compatibility/2006">
          <mc:Choice Requires="x14">
            <control shapeId="53369" r:id="rId118" name="Check Box 121">
              <controlPr defaultSize="0" autoFill="0" autoLine="0" autoPict="0">
                <anchor moveWithCells="1">
                  <from>
                    <xdr:col>7</xdr:col>
                    <xdr:colOff>10886</xdr:colOff>
                    <xdr:row>20</xdr:row>
                    <xdr:rowOff>46264</xdr:rowOff>
                  </from>
                  <to>
                    <xdr:col>8</xdr:col>
                    <xdr:colOff>59871</xdr:colOff>
                    <xdr:row>22</xdr:row>
                    <xdr:rowOff>46264</xdr:rowOff>
                  </to>
                </anchor>
              </controlPr>
            </control>
          </mc:Choice>
        </mc:AlternateContent>
        <mc:AlternateContent xmlns:mc="http://schemas.openxmlformats.org/markup-compatibility/2006">
          <mc:Choice Requires="x14">
            <control shapeId="53370" r:id="rId119" name="Check Box 122">
              <controlPr defaultSize="0" autoFill="0" autoLine="0" autoPict="0">
                <anchor moveWithCells="1">
                  <from>
                    <xdr:col>8</xdr:col>
                    <xdr:colOff>0</xdr:colOff>
                    <xdr:row>20</xdr:row>
                    <xdr:rowOff>46264</xdr:rowOff>
                  </from>
                  <to>
                    <xdr:col>9</xdr:col>
                    <xdr:colOff>51707</xdr:colOff>
                    <xdr:row>22</xdr:row>
                    <xdr:rowOff>46264</xdr:rowOff>
                  </to>
                </anchor>
              </controlPr>
            </control>
          </mc:Choice>
        </mc:AlternateContent>
        <mc:AlternateContent xmlns:mc="http://schemas.openxmlformats.org/markup-compatibility/2006">
          <mc:Choice Requires="x14">
            <control shapeId="53371" r:id="rId120" name="Check Box 123">
              <controlPr defaultSize="0" autoFill="0" autoLine="0" autoPict="0">
                <anchor moveWithCells="1">
                  <from>
                    <xdr:col>9</xdr:col>
                    <xdr:colOff>10886</xdr:colOff>
                    <xdr:row>20</xdr:row>
                    <xdr:rowOff>46264</xdr:rowOff>
                  </from>
                  <to>
                    <xdr:col>10</xdr:col>
                    <xdr:colOff>70757</xdr:colOff>
                    <xdr:row>22</xdr:row>
                    <xdr:rowOff>46264</xdr:rowOff>
                  </to>
                </anchor>
              </controlPr>
            </control>
          </mc:Choice>
        </mc:AlternateContent>
        <mc:AlternateContent xmlns:mc="http://schemas.openxmlformats.org/markup-compatibility/2006">
          <mc:Choice Requires="x14">
            <control shapeId="53372" r:id="rId121" name="Check Box 124">
              <controlPr defaultSize="0" autoFill="0" autoLine="0" autoPict="0">
                <anchor moveWithCells="1">
                  <from>
                    <xdr:col>7</xdr:col>
                    <xdr:colOff>10886</xdr:colOff>
                    <xdr:row>22</xdr:row>
                    <xdr:rowOff>46264</xdr:rowOff>
                  </from>
                  <to>
                    <xdr:col>8</xdr:col>
                    <xdr:colOff>59871</xdr:colOff>
                    <xdr:row>24</xdr:row>
                    <xdr:rowOff>46264</xdr:rowOff>
                  </to>
                </anchor>
              </controlPr>
            </control>
          </mc:Choice>
        </mc:AlternateContent>
        <mc:AlternateContent xmlns:mc="http://schemas.openxmlformats.org/markup-compatibility/2006">
          <mc:Choice Requires="x14">
            <control shapeId="53373" r:id="rId122" name="Check Box 125">
              <controlPr defaultSize="0" autoFill="0" autoLine="0" autoPict="0">
                <anchor moveWithCells="1">
                  <from>
                    <xdr:col>8</xdr:col>
                    <xdr:colOff>0</xdr:colOff>
                    <xdr:row>22</xdr:row>
                    <xdr:rowOff>46264</xdr:rowOff>
                  </from>
                  <to>
                    <xdr:col>9</xdr:col>
                    <xdr:colOff>51707</xdr:colOff>
                    <xdr:row>24</xdr:row>
                    <xdr:rowOff>46264</xdr:rowOff>
                  </to>
                </anchor>
              </controlPr>
            </control>
          </mc:Choice>
        </mc:AlternateContent>
        <mc:AlternateContent xmlns:mc="http://schemas.openxmlformats.org/markup-compatibility/2006">
          <mc:Choice Requires="x14">
            <control shapeId="53374" r:id="rId123" name="Check Box 126">
              <controlPr defaultSize="0" autoFill="0" autoLine="0" autoPict="0">
                <anchor moveWithCells="1">
                  <from>
                    <xdr:col>9</xdr:col>
                    <xdr:colOff>10886</xdr:colOff>
                    <xdr:row>22</xdr:row>
                    <xdr:rowOff>46264</xdr:rowOff>
                  </from>
                  <to>
                    <xdr:col>10</xdr:col>
                    <xdr:colOff>70757</xdr:colOff>
                    <xdr:row>24</xdr:row>
                    <xdr:rowOff>46264</xdr:rowOff>
                  </to>
                </anchor>
              </controlPr>
            </control>
          </mc:Choice>
        </mc:AlternateContent>
        <mc:AlternateContent xmlns:mc="http://schemas.openxmlformats.org/markup-compatibility/2006">
          <mc:Choice Requires="x14">
            <control shapeId="53375" r:id="rId124" name="Check Box 127">
              <controlPr defaultSize="0" autoFill="0" autoLine="0" autoPict="0">
                <anchor moveWithCells="1">
                  <from>
                    <xdr:col>7</xdr:col>
                    <xdr:colOff>10886</xdr:colOff>
                    <xdr:row>24</xdr:row>
                    <xdr:rowOff>46264</xdr:rowOff>
                  </from>
                  <to>
                    <xdr:col>8</xdr:col>
                    <xdr:colOff>59871</xdr:colOff>
                    <xdr:row>26</xdr:row>
                    <xdr:rowOff>46264</xdr:rowOff>
                  </to>
                </anchor>
              </controlPr>
            </control>
          </mc:Choice>
        </mc:AlternateContent>
        <mc:AlternateContent xmlns:mc="http://schemas.openxmlformats.org/markup-compatibility/2006">
          <mc:Choice Requires="x14">
            <control shapeId="53376" r:id="rId125" name="Check Box 128">
              <controlPr defaultSize="0" autoFill="0" autoLine="0" autoPict="0">
                <anchor moveWithCells="1">
                  <from>
                    <xdr:col>8</xdr:col>
                    <xdr:colOff>0</xdr:colOff>
                    <xdr:row>24</xdr:row>
                    <xdr:rowOff>46264</xdr:rowOff>
                  </from>
                  <to>
                    <xdr:col>9</xdr:col>
                    <xdr:colOff>51707</xdr:colOff>
                    <xdr:row>26</xdr:row>
                    <xdr:rowOff>46264</xdr:rowOff>
                  </to>
                </anchor>
              </controlPr>
            </control>
          </mc:Choice>
        </mc:AlternateContent>
        <mc:AlternateContent xmlns:mc="http://schemas.openxmlformats.org/markup-compatibility/2006">
          <mc:Choice Requires="x14">
            <control shapeId="53377" r:id="rId126" name="Check Box 129">
              <controlPr defaultSize="0" autoFill="0" autoLine="0" autoPict="0">
                <anchor moveWithCells="1">
                  <from>
                    <xdr:col>9</xdr:col>
                    <xdr:colOff>10886</xdr:colOff>
                    <xdr:row>24</xdr:row>
                    <xdr:rowOff>46264</xdr:rowOff>
                  </from>
                  <to>
                    <xdr:col>10</xdr:col>
                    <xdr:colOff>70757</xdr:colOff>
                    <xdr:row>26</xdr:row>
                    <xdr:rowOff>46264</xdr:rowOff>
                  </to>
                </anchor>
              </controlPr>
            </control>
          </mc:Choice>
        </mc:AlternateContent>
        <mc:AlternateContent xmlns:mc="http://schemas.openxmlformats.org/markup-compatibility/2006">
          <mc:Choice Requires="x14">
            <control shapeId="53378" r:id="rId127" name="Check Box 130">
              <controlPr defaultSize="0" autoFill="0" autoLine="0" autoPict="0">
                <anchor moveWithCells="1">
                  <from>
                    <xdr:col>7</xdr:col>
                    <xdr:colOff>10886</xdr:colOff>
                    <xdr:row>26</xdr:row>
                    <xdr:rowOff>46264</xdr:rowOff>
                  </from>
                  <to>
                    <xdr:col>8</xdr:col>
                    <xdr:colOff>59871</xdr:colOff>
                    <xdr:row>28</xdr:row>
                    <xdr:rowOff>46264</xdr:rowOff>
                  </to>
                </anchor>
              </controlPr>
            </control>
          </mc:Choice>
        </mc:AlternateContent>
        <mc:AlternateContent xmlns:mc="http://schemas.openxmlformats.org/markup-compatibility/2006">
          <mc:Choice Requires="x14">
            <control shapeId="53379" r:id="rId128" name="Check Box 131">
              <controlPr defaultSize="0" autoFill="0" autoLine="0" autoPict="0">
                <anchor moveWithCells="1">
                  <from>
                    <xdr:col>8</xdr:col>
                    <xdr:colOff>0</xdr:colOff>
                    <xdr:row>26</xdr:row>
                    <xdr:rowOff>46264</xdr:rowOff>
                  </from>
                  <to>
                    <xdr:col>9</xdr:col>
                    <xdr:colOff>51707</xdr:colOff>
                    <xdr:row>28</xdr:row>
                    <xdr:rowOff>46264</xdr:rowOff>
                  </to>
                </anchor>
              </controlPr>
            </control>
          </mc:Choice>
        </mc:AlternateContent>
        <mc:AlternateContent xmlns:mc="http://schemas.openxmlformats.org/markup-compatibility/2006">
          <mc:Choice Requires="x14">
            <control shapeId="53380" r:id="rId129" name="Check Box 132">
              <controlPr defaultSize="0" autoFill="0" autoLine="0" autoPict="0">
                <anchor moveWithCells="1">
                  <from>
                    <xdr:col>9</xdr:col>
                    <xdr:colOff>10886</xdr:colOff>
                    <xdr:row>26</xdr:row>
                    <xdr:rowOff>46264</xdr:rowOff>
                  </from>
                  <to>
                    <xdr:col>10</xdr:col>
                    <xdr:colOff>70757</xdr:colOff>
                    <xdr:row>28</xdr:row>
                    <xdr:rowOff>46264</xdr:rowOff>
                  </to>
                </anchor>
              </controlPr>
            </control>
          </mc:Choice>
        </mc:AlternateContent>
        <mc:AlternateContent xmlns:mc="http://schemas.openxmlformats.org/markup-compatibility/2006">
          <mc:Choice Requires="x14">
            <control shapeId="53381" r:id="rId130" name="Check Box 133">
              <controlPr defaultSize="0" autoFill="0" autoLine="0" autoPict="0">
                <anchor moveWithCells="1">
                  <from>
                    <xdr:col>7</xdr:col>
                    <xdr:colOff>10886</xdr:colOff>
                    <xdr:row>28</xdr:row>
                    <xdr:rowOff>46264</xdr:rowOff>
                  </from>
                  <to>
                    <xdr:col>8</xdr:col>
                    <xdr:colOff>59871</xdr:colOff>
                    <xdr:row>30</xdr:row>
                    <xdr:rowOff>46264</xdr:rowOff>
                  </to>
                </anchor>
              </controlPr>
            </control>
          </mc:Choice>
        </mc:AlternateContent>
        <mc:AlternateContent xmlns:mc="http://schemas.openxmlformats.org/markup-compatibility/2006">
          <mc:Choice Requires="x14">
            <control shapeId="53382" r:id="rId131" name="Check Box 134">
              <controlPr defaultSize="0" autoFill="0" autoLine="0" autoPict="0">
                <anchor moveWithCells="1">
                  <from>
                    <xdr:col>8</xdr:col>
                    <xdr:colOff>0</xdr:colOff>
                    <xdr:row>28</xdr:row>
                    <xdr:rowOff>46264</xdr:rowOff>
                  </from>
                  <to>
                    <xdr:col>9</xdr:col>
                    <xdr:colOff>51707</xdr:colOff>
                    <xdr:row>30</xdr:row>
                    <xdr:rowOff>46264</xdr:rowOff>
                  </to>
                </anchor>
              </controlPr>
            </control>
          </mc:Choice>
        </mc:AlternateContent>
        <mc:AlternateContent xmlns:mc="http://schemas.openxmlformats.org/markup-compatibility/2006">
          <mc:Choice Requires="x14">
            <control shapeId="53383" r:id="rId132" name="Check Box 135">
              <controlPr defaultSize="0" autoFill="0" autoLine="0" autoPict="0">
                <anchor moveWithCells="1">
                  <from>
                    <xdr:col>9</xdr:col>
                    <xdr:colOff>10886</xdr:colOff>
                    <xdr:row>28</xdr:row>
                    <xdr:rowOff>46264</xdr:rowOff>
                  </from>
                  <to>
                    <xdr:col>10</xdr:col>
                    <xdr:colOff>70757</xdr:colOff>
                    <xdr:row>30</xdr:row>
                    <xdr:rowOff>46264</xdr:rowOff>
                  </to>
                </anchor>
              </controlPr>
            </control>
          </mc:Choice>
        </mc:AlternateContent>
        <mc:AlternateContent xmlns:mc="http://schemas.openxmlformats.org/markup-compatibility/2006">
          <mc:Choice Requires="x14">
            <control shapeId="53384" r:id="rId133" name="Check Box 136">
              <controlPr defaultSize="0" autoFill="0" autoLine="0" autoPict="0">
                <anchor moveWithCells="1">
                  <from>
                    <xdr:col>7</xdr:col>
                    <xdr:colOff>10886</xdr:colOff>
                    <xdr:row>30</xdr:row>
                    <xdr:rowOff>46264</xdr:rowOff>
                  </from>
                  <to>
                    <xdr:col>8</xdr:col>
                    <xdr:colOff>59871</xdr:colOff>
                    <xdr:row>32</xdr:row>
                    <xdr:rowOff>46264</xdr:rowOff>
                  </to>
                </anchor>
              </controlPr>
            </control>
          </mc:Choice>
        </mc:AlternateContent>
        <mc:AlternateContent xmlns:mc="http://schemas.openxmlformats.org/markup-compatibility/2006">
          <mc:Choice Requires="x14">
            <control shapeId="53385" r:id="rId134" name="Check Box 137">
              <controlPr defaultSize="0" autoFill="0" autoLine="0" autoPict="0">
                <anchor moveWithCells="1">
                  <from>
                    <xdr:col>8</xdr:col>
                    <xdr:colOff>0</xdr:colOff>
                    <xdr:row>30</xdr:row>
                    <xdr:rowOff>46264</xdr:rowOff>
                  </from>
                  <to>
                    <xdr:col>9</xdr:col>
                    <xdr:colOff>51707</xdr:colOff>
                    <xdr:row>32</xdr:row>
                    <xdr:rowOff>46264</xdr:rowOff>
                  </to>
                </anchor>
              </controlPr>
            </control>
          </mc:Choice>
        </mc:AlternateContent>
        <mc:AlternateContent xmlns:mc="http://schemas.openxmlformats.org/markup-compatibility/2006">
          <mc:Choice Requires="x14">
            <control shapeId="53386" r:id="rId135" name="Check Box 138">
              <controlPr defaultSize="0" autoFill="0" autoLine="0" autoPict="0">
                <anchor moveWithCells="1">
                  <from>
                    <xdr:col>9</xdr:col>
                    <xdr:colOff>10886</xdr:colOff>
                    <xdr:row>30</xdr:row>
                    <xdr:rowOff>46264</xdr:rowOff>
                  </from>
                  <to>
                    <xdr:col>10</xdr:col>
                    <xdr:colOff>70757</xdr:colOff>
                    <xdr:row>32</xdr:row>
                    <xdr:rowOff>46264</xdr:rowOff>
                  </to>
                </anchor>
              </controlPr>
            </control>
          </mc:Choice>
        </mc:AlternateContent>
        <mc:AlternateContent xmlns:mc="http://schemas.openxmlformats.org/markup-compatibility/2006">
          <mc:Choice Requires="x14">
            <control shapeId="53387" r:id="rId136" name="Check Box 139">
              <controlPr defaultSize="0" autoFill="0" autoLine="0" autoPict="0">
                <anchor moveWithCells="1">
                  <from>
                    <xdr:col>7</xdr:col>
                    <xdr:colOff>10886</xdr:colOff>
                    <xdr:row>32</xdr:row>
                    <xdr:rowOff>46264</xdr:rowOff>
                  </from>
                  <to>
                    <xdr:col>8</xdr:col>
                    <xdr:colOff>59871</xdr:colOff>
                    <xdr:row>34</xdr:row>
                    <xdr:rowOff>46264</xdr:rowOff>
                  </to>
                </anchor>
              </controlPr>
            </control>
          </mc:Choice>
        </mc:AlternateContent>
        <mc:AlternateContent xmlns:mc="http://schemas.openxmlformats.org/markup-compatibility/2006">
          <mc:Choice Requires="x14">
            <control shapeId="53388" r:id="rId137" name="Check Box 140">
              <controlPr defaultSize="0" autoFill="0" autoLine="0" autoPict="0">
                <anchor moveWithCells="1">
                  <from>
                    <xdr:col>8</xdr:col>
                    <xdr:colOff>0</xdr:colOff>
                    <xdr:row>32</xdr:row>
                    <xdr:rowOff>46264</xdr:rowOff>
                  </from>
                  <to>
                    <xdr:col>9</xdr:col>
                    <xdr:colOff>51707</xdr:colOff>
                    <xdr:row>34</xdr:row>
                    <xdr:rowOff>46264</xdr:rowOff>
                  </to>
                </anchor>
              </controlPr>
            </control>
          </mc:Choice>
        </mc:AlternateContent>
        <mc:AlternateContent xmlns:mc="http://schemas.openxmlformats.org/markup-compatibility/2006">
          <mc:Choice Requires="x14">
            <control shapeId="53389" r:id="rId138" name="Check Box 141">
              <controlPr defaultSize="0" autoFill="0" autoLine="0" autoPict="0">
                <anchor moveWithCells="1">
                  <from>
                    <xdr:col>9</xdr:col>
                    <xdr:colOff>10886</xdr:colOff>
                    <xdr:row>32</xdr:row>
                    <xdr:rowOff>46264</xdr:rowOff>
                  </from>
                  <to>
                    <xdr:col>10</xdr:col>
                    <xdr:colOff>70757</xdr:colOff>
                    <xdr:row>34</xdr:row>
                    <xdr:rowOff>46264</xdr:rowOff>
                  </to>
                </anchor>
              </controlPr>
            </control>
          </mc:Choice>
        </mc:AlternateContent>
        <mc:AlternateContent xmlns:mc="http://schemas.openxmlformats.org/markup-compatibility/2006">
          <mc:Choice Requires="x14">
            <control shapeId="53390" r:id="rId139" name="Check Box 142">
              <controlPr defaultSize="0" autoFill="0" autoLine="0" autoPict="0">
                <anchor moveWithCells="1">
                  <from>
                    <xdr:col>7</xdr:col>
                    <xdr:colOff>10886</xdr:colOff>
                    <xdr:row>34</xdr:row>
                    <xdr:rowOff>46264</xdr:rowOff>
                  </from>
                  <to>
                    <xdr:col>8</xdr:col>
                    <xdr:colOff>59871</xdr:colOff>
                    <xdr:row>36</xdr:row>
                    <xdr:rowOff>46264</xdr:rowOff>
                  </to>
                </anchor>
              </controlPr>
            </control>
          </mc:Choice>
        </mc:AlternateContent>
        <mc:AlternateContent xmlns:mc="http://schemas.openxmlformats.org/markup-compatibility/2006">
          <mc:Choice Requires="x14">
            <control shapeId="53391" r:id="rId140" name="Check Box 143">
              <controlPr defaultSize="0" autoFill="0" autoLine="0" autoPict="0">
                <anchor moveWithCells="1">
                  <from>
                    <xdr:col>8</xdr:col>
                    <xdr:colOff>0</xdr:colOff>
                    <xdr:row>34</xdr:row>
                    <xdr:rowOff>46264</xdr:rowOff>
                  </from>
                  <to>
                    <xdr:col>9</xdr:col>
                    <xdr:colOff>51707</xdr:colOff>
                    <xdr:row>36</xdr:row>
                    <xdr:rowOff>46264</xdr:rowOff>
                  </to>
                </anchor>
              </controlPr>
            </control>
          </mc:Choice>
        </mc:AlternateContent>
        <mc:AlternateContent xmlns:mc="http://schemas.openxmlformats.org/markup-compatibility/2006">
          <mc:Choice Requires="x14">
            <control shapeId="53392" r:id="rId141" name="Check Box 144">
              <controlPr defaultSize="0" autoFill="0" autoLine="0" autoPict="0">
                <anchor moveWithCells="1">
                  <from>
                    <xdr:col>9</xdr:col>
                    <xdr:colOff>10886</xdr:colOff>
                    <xdr:row>34</xdr:row>
                    <xdr:rowOff>46264</xdr:rowOff>
                  </from>
                  <to>
                    <xdr:col>10</xdr:col>
                    <xdr:colOff>70757</xdr:colOff>
                    <xdr:row>36</xdr:row>
                    <xdr:rowOff>46264</xdr:rowOff>
                  </to>
                </anchor>
              </controlPr>
            </control>
          </mc:Choice>
        </mc:AlternateContent>
        <mc:AlternateContent xmlns:mc="http://schemas.openxmlformats.org/markup-compatibility/2006">
          <mc:Choice Requires="x14">
            <control shapeId="53393" r:id="rId142" name="Check Box 145">
              <controlPr defaultSize="0" autoFill="0" autoLine="0" autoPict="0">
                <anchor moveWithCells="1">
                  <from>
                    <xdr:col>7</xdr:col>
                    <xdr:colOff>10886</xdr:colOff>
                    <xdr:row>36</xdr:row>
                    <xdr:rowOff>46264</xdr:rowOff>
                  </from>
                  <to>
                    <xdr:col>8</xdr:col>
                    <xdr:colOff>59871</xdr:colOff>
                    <xdr:row>38</xdr:row>
                    <xdr:rowOff>46264</xdr:rowOff>
                  </to>
                </anchor>
              </controlPr>
            </control>
          </mc:Choice>
        </mc:AlternateContent>
        <mc:AlternateContent xmlns:mc="http://schemas.openxmlformats.org/markup-compatibility/2006">
          <mc:Choice Requires="x14">
            <control shapeId="53394" r:id="rId143" name="Check Box 146">
              <controlPr defaultSize="0" autoFill="0" autoLine="0" autoPict="0">
                <anchor moveWithCells="1">
                  <from>
                    <xdr:col>8</xdr:col>
                    <xdr:colOff>0</xdr:colOff>
                    <xdr:row>36</xdr:row>
                    <xdr:rowOff>46264</xdr:rowOff>
                  </from>
                  <to>
                    <xdr:col>9</xdr:col>
                    <xdr:colOff>51707</xdr:colOff>
                    <xdr:row>38</xdr:row>
                    <xdr:rowOff>46264</xdr:rowOff>
                  </to>
                </anchor>
              </controlPr>
            </control>
          </mc:Choice>
        </mc:AlternateContent>
        <mc:AlternateContent xmlns:mc="http://schemas.openxmlformats.org/markup-compatibility/2006">
          <mc:Choice Requires="x14">
            <control shapeId="53395" r:id="rId144" name="Check Box 147">
              <controlPr defaultSize="0" autoFill="0" autoLine="0" autoPict="0">
                <anchor moveWithCells="1">
                  <from>
                    <xdr:col>9</xdr:col>
                    <xdr:colOff>10886</xdr:colOff>
                    <xdr:row>36</xdr:row>
                    <xdr:rowOff>46264</xdr:rowOff>
                  </from>
                  <to>
                    <xdr:col>10</xdr:col>
                    <xdr:colOff>70757</xdr:colOff>
                    <xdr:row>38</xdr:row>
                    <xdr:rowOff>46264</xdr:rowOff>
                  </to>
                </anchor>
              </controlPr>
            </control>
          </mc:Choice>
        </mc:AlternateContent>
        <mc:AlternateContent xmlns:mc="http://schemas.openxmlformats.org/markup-compatibility/2006">
          <mc:Choice Requires="x14">
            <control shapeId="53396" r:id="rId145" name="Check Box 148">
              <controlPr defaultSize="0" autoFill="0" autoLine="0" autoPict="0">
                <anchor moveWithCells="1">
                  <from>
                    <xdr:col>7</xdr:col>
                    <xdr:colOff>10886</xdr:colOff>
                    <xdr:row>38</xdr:row>
                    <xdr:rowOff>46264</xdr:rowOff>
                  </from>
                  <to>
                    <xdr:col>8</xdr:col>
                    <xdr:colOff>59871</xdr:colOff>
                    <xdr:row>40</xdr:row>
                    <xdr:rowOff>46264</xdr:rowOff>
                  </to>
                </anchor>
              </controlPr>
            </control>
          </mc:Choice>
        </mc:AlternateContent>
        <mc:AlternateContent xmlns:mc="http://schemas.openxmlformats.org/markup-compatibility/2006">
          <mc:Choice Requires="x14">
            <control shapeId="53397" r:id="rId146" name="Check Box 149">
              <controlPr defaultSize="0" autoFill="0" autoLine="0" autoPict="0">
                <anchor moveWithCells="1">
                  <from>
                    <xdr:col>8</xdr:col>
                    <xdr:colOff>0</xdr:colOff>
                    <xdr:row>38</xdr:row>
                    <xdr:rowOff>46264</xdr:rowOff>
                  </from>
                  <to>
                    <xdr:col>9</xdr:col>
                    <xdr:colOff>51707</xdr:colOff>
                    <xdr:row>40</xdr:row>
                    <xdr:rowOff>46264</xdr:rowOff>
                  </to>
                </anchor>
              </controlPr>
            </control>
          </mc:Choice>
        </mc:AlternateContent>
        <mc:AlternateContent xmlns:mc="http://schemas.openxmlformats.org/markup-compatibility/2006">
          <mc:Choice Requires="x14">
            <control shapeId="53398" r:id="rId147" name="Check Box 150">
              <controlPr defaultSize="0" autoFill="0" autoLine="0" autoPict="0">
                <anchor moveWithCells="1">
                  <from>
                    <xdr:col>9</xdr:col>
                    <xdr:colOff>10886</xdr:colOff>
                    <xdr:row>38</xdr:row>
                    <xdr:rowOff>46264</xdr:rowOff>
                  </from>
                  <to>
                    <xdr:col>10</xdr:col>
                    <xdr:colOff>70757</xdr:colOff>
                    <xdr:row>40</xdr:row>
                    <xdr:rowOff>46264</xdr:rowOff>
                  </to>
                </anchor>
              </controlPr>
            </control>
          </mc:Choice>
        </mc:AlternateContent>
        <mc:AlternateContent xmlns:mc="http://schemas.openxmlformats.org/markup-compatibility/2006">
          <mc:Choice Requires="x14">
            <control shapeId="53399" r:id="rId148" name="Check Box 151">
              <controlPr defaultSize="0" autoFill="0" autoLine="0" autoPict="0">
                <anchor moveWithCells="1">
                  <from>
                    <xdr:col>7</xdr:col>
                    <xdr:colOff>10886</xdr:colOff>
                    <xdr:row>40</xdr:row>
                    <xdr:rowOff>46264</xdr:rowOff>
                  </from>
                  <to>
                    <xdr:col>8</xdr:col>
                    <xdr:colOff>59871</xdr:colOff>
                    <xdr:row>42</xdr:row>
                    <xdr:rowOff>46264</xdr:rowOff>
                  </to>
                </anchor>
              </controlPr>
            </control>
          </mc:Choice>
        </mc:AlternateContent>
        <mc:AlternateContent xmlns:mc="http://schemas.openxmlformats.org/markup-compatibility/2006">
          <mc:Choice Requires="x14">
            <control shapeId="53400" r:id="rId149" name="Check Box 152">
              <controlPr defaultSize="0" autoFill="0" autoLine="0" autoPict="0">
                <anchor moveWithCells="1">
                  <from>
                    <xdr:col>8</xdr:col>
                    <xdr:colOff>0</xdr:colOff>
                    <xdr:row>40</xdr:row>
                    <xdr:rowOff>46264</xdr:rowOff>
                  </from>
                  <to>
                    <xdr:col>9</xdr:col>
                    <xdr:colOff>51707</xdr:colOff>
                    <xdr:row>42</xdr:row>
                    <xdr:rowOff>46264</xdr:rowOff>
                  </to>
                </anchor>
              </controlPr>
            </control>
          </mc:Choice>
        </mc:AlternateContent>
        <mc:AlternateContent xmlns:mc="http://schemas.openxmlformats.org/markup-compatibility/2006">
          <mc:Choice Requires="x14">
            <control shapeId="53401" r:id="rId150" name="Check Box 153">
              <controlPr defaultSize="0" autoFill="0" autoLine="0" autoPict="0">
                <anchor moveWithCells="1">
                  <from>
                    <xdr:col>9</xdr:col>
                    <xdr:colOff>10886</xdr:colOff>
                    <xdr:row>40</xdr:row>
                    <xdr:rowOff>46264</xdr:rowOff>
                  </from>
                  <to>
                    <xdr:col>10</xdr:col>
                    <xdr:colOff>70757</xdr:colOff>
                    <xdr:row>42</xdr:row>
                    <xdr:rowOff>46264</xdr:rowOff>
                  </to>
                </anchor>
              </controlPr>
            </control>
          </mc:Choice>
        </mc:AlternateContent>
        <mc:AlternateContent xmlns:mc="http://schemas.openxmlformats.org/markup-compatibility/2006">
          <mc:Choice Requires="x14">
            <control shapeId="53402" r:id="rId151" name="Check Box 154">
              <controlPr defaultSize="0" autoFill="0" autoLine="0" autoPict="0">
                <anchor moveWithCells="1">
                  <from>
                    <xdr:col>7</xdr:col>
                    <xdr:colOff>10886</xdr:colOff>
                    <xdr:row>42</xdr:row>
                    <xdr:rowOff>46264</xdr:rowOff>
                  </from>
                  <to>
                    <xdr:col>8</xdr:col>
                    <xdr:colOff>59871</xdr:colOff>
                    <xdr:row>44</xdr:row>
                    <xdr:rowOff>46264</xdr:rowOff>
                  </to>
                </anchor>
              </controlPr>
            </control>
          </mc:Choice>
        </mc:AlternateContent>
        <mc:AlternateContent xmlns:mc="http://schemas.openxmlformats.org/markup-compatibility/2006">
          <mc:Choice Requires="x14">
            <control shapeId="53403" r:id="rId152" name="Check Box 155">
              <controlPr defaultSize="0" autoFill="0" autoLine="0" autoPict="0">
                <anchor moveWithCells="1">
                  <from>
                    <xdr:col>8</xdr:col>
                    <xdr:colOff>0</xdr:colOff>
                    <xdr:row>42</xdr:row>
                    <xdr:rowOff>46264</xdr:rowOff>
                  </from>
                  <to>
                    <xdr:col>9</xdr:col>
                    <xdr:colOff>51707</xdr:colOff>
                    <xdr:row>44</xdr:row>
                    <xdr:rowOff>46264</xdr:rowOff>
                  </to>
                </anchor>
              </controlPr>
            </control>
          </mc:Choice>
        </mc:AlternateContent>
        <mc:AlternateContent xmlns:mc="http://schemas.openxmlformats.org/markup-compatibility/2006">
          <mc:Choice Requires="x14">
            <control shapeId="53404" r:id="rId153" name="Check Box 156">
              <controlPr defaultSize="0" autoFill="0" autoLine="0" autoPict="0">
                <anchor moveWithCells="1">
                  <from>
                    <xdr:col>9</xdr:col>
                    <xdr:colOff>10886</xdr:colOff>
                    <xdr:row>42</xdr:row>
                    <xdr:rowOff>46264</xdr:rowOff>
                  </from>
                  <to>
                    <xdr:col>10</xdr:col>
                    <xdr:colOff>70757</xdr:colOff>
                    <xdr:row>44</xdr:row>
                    <xdr:rowOff>46264</xdr:rowOff>
                  </to>
                </anchor>
              </controlPr>
            </control>
          </mc:Choice>
        </mc:AlternateContent>
        <mc:AlternateContent xmlns:mc="http://schemas.openxmlformats.org/markup-compatibility/2006">
          <mc:Choice Requires="x14">
            <control shapeId="53405" r:id="rId154" name="Check Box 157">
              <controlPr defaultSize="0" autoFill="0" autoLine="0" autoPict="0">
                <anchor moveWithCells="1">
                  <from>
                    <xdr:col>7</xdr:col>
                    <xdr:colOff>10886</xdr:colOff>
                    <xdr:row>44</xdr:row>
                    <xdr:rowOff>46264</xdr:rowOff>
                  </from>
                  <to>
                    <xdr:col>8</xdr:col>
                    <xdr:colOff>59871</xdr:colOff>
                    <xdr:row>46</xdr:row>
                    <xdr:rowOff>46264</xdr:rowOff>
                  </to>
                </anchor>
              </controlPr>
            </control>
          </mc:Choice>
        </mc:AlternateContent>
        <mc:AlternateContent xmlns:mc="http://schemas.openxmlformats.org/markup-compatibility/2006">
          <mc:Choice Requires="x14">
            <control shapeId="53406" r:id="rId155" name="Check Box 158">
              <controlPr defaultSize="0" autoFill="0" autoLine="0" autoPict="0">
                <anchor moveWithCells="1">
                  <from>
                    <xdr:col>8</xdr:col>
                    <xdr:colOff>0</xdr:colOff>
                    <xdr:row>44</xdr:row>
                    <xdr:rowOff>46264</xdr:rowOff>
                  </from>
                  <to>
                    <xdr:col>9</xdr:col>
                    <xdr:colOff>51707</xdr:colOff>
                    <xdr:row>46</xdr:row>
                    <xdr:rowOff>46264</xdr:rowOff>
                  </to>
                </anchor>
              </controlPr>
            </control>
          </mc:Choice>
        </mc:AlternateContent>
        <mc:AlternateContent xmlns:mc="http://schemas.openxmlformats.org/markup-compatibility/2006">
          <mc:Choice Requires="x14">
            <control shapeId="53407" r:id="rId156" name="Check Box 159">
              <controlPr defaultSize="0" autoFill="0" autoLine="0" autoPict="0">
                <anchor moveWithCells="1">
                  <from>
                    <xdr:col>9</xdr:col>
                    <xdr:colOff>10886</xdr:colOff>
                    <xdr:row>44</xdr:row>
                    <xdr:rowOff>46264</xdr:rowOff>
                  </from>
                  <to>
                    <xdr:col>10</xdr:col>
                    <xdr:colOff>70757</xdr:colOff>
                    <xdr:row>46</xdr:row>
                    <xdr:rowOff>46264</xdr:rowOff>
                  </to>
                </anchor>
              </controlPr>
            </control>
          </mc:Choice>
        </mc:AlternateContent>
        <mc:AlternateContent xmlns:mc="http://schemas.openxmlformats.org/markup-compatibility/2006">
          <mc:Choice Requires="x14">
            <control shapeId="53408" r:id="rId157" name="Check Box 160">
              <controlPr defaultSize="0" autoFill="0" autoLine="0" autoPict="0">
                <anchor moveWithCells="1">
                  <from>
                    <xdr:col>7</xdr:col>
                    <xdr:colOff>10886</xdr:colOff>
                    <xdr:row>46</xdr:row>
                    <xdr:rowOff>46264</xdr:rowOff>
                  </from>
                  <to>
                    <xdr:col>8</xdr:col>
                    <xdr:colOff>59871</xdr:colOff>
                    <xdr:row>48</xdr:row>
                    <xdr:rowOff>46264</xdr:rowOff>
                  </to>
                </anchor>
              </controlPr>
            </control>
          </mc:Choice>
        </mc:AlternateContent>
        <mc:AlternateContent xmlns:mc="http://schemas.openxmlformats.org/markup-compatibility/2006">
          <mc:Choice Requires="x14">
            <control shapeId="53409" r:id="rId158" name="Check Box 161">
              <controlPr defaultSize="0" autoFill="0" autoLine="0" autoPict="0">
                <anchor moveWithCells="1">
                  <from>
                    <xdr:col>8</xdr:col>
                    <xdr:colOff>0</xdr:colOff>
                    <xdr:row>46</xdr:row>
                    <xdr:rowOff>46264</xdr:rowOff>
                  </from>
                  <to>
                    <xdr:col>9</xdr:col>
                    <xdr:colOff>51707</xdr:colOff>
                    <xdr:row>48</xdr:row>
                    <xdr:rowOff>46264</xdr:rowOff>
                  </to>
                </anchor>
              </controlPr>
            </control>
          </mc:Choice>
        </mc:AlternateContent>
        <mc:AlternateContent xmlns:mc="http://schemas.openxmlformats.org/markup-compatibility/2006">
          <mc:Choice Requires="x14">
            <control shapeId="53410" r:id="rId159" name="Check Box 162">
              <controlPr defaultSize="0" autoFill="0" autoLine="0" autoPict="0">
                <anchor moveWithCells="1">
                  <from>
                    <xdr:col>9</xdr:col>
                    <xdr:colOff>10886</xdr:colOff>
                    <xdr:row>46</xdr:row>
                    <xdr:rowOff>46264</xdr:rowOff>
                  </from>
                  <to>
                    <xdr:col>10</xdr:col>
                    <xdr:colOff>70757</xdr:colOff>
                    <xdr:row>48</xdr:row>
                    <xdr:rowOff>46264</xdr:rowOff>
                  </to>
                </anchor>
              </controlPr>
            </control>
          </mc:Choice>
        </mc:AlternateContent>
        <mc:AlternateContent xmlns:mc="http://schemas.openxmlformats.org/markup-compatibility/2006">
          <mc:Choice Requires="x14">
            <control shapeId="53411" r:id="rId160" name="Check Box 163">
              <controlPr defaultSize="0" autoFill="0" autoLine="0" autoPict="0">
                <anchor moveWithCells="1">
                  <from>
                    <xdr:col>7</xdr:col>
                    <xdr:colOff>10886</xdr:colOff>
                    <xdr:row>48</xdr:row>
                    <xdr:rowOff>46264</xdr:rowOff>
                  </from>
                  <to>
                    <xdr:col>8</xdr:col>
                    <xdr:colOff>59871</xdr:colOff>
                    <xdr:row>50</xdr:row>
                    <xdr:rowOff>46264</xdr:rowOff>
                  </to>
                </anchor>
              </controlPr>
            </control>
          </mc:Choice>
        </mc:AlternateContent>
        <mc:AlternateContent xmlns:mc="http://schemas.openxmlformats.org/markup-compatibility/2006">
          <mc:Choice Requires="x14">
            <control shapeId="53412" r:id="rId161" name="Check Box 164">
              <controlPr defaultSize="0" autoFill="0" autoLine="0" autoPict="0">
                <anchor moveWithCells="1">
                  <from>
                    <xdr:col>8</xdr:col>
                    <xdr:colOff>0</xdr:colOff>
                    <xdr:row>48</xdr:row>
                    <xdr:rowOff>46264</xdr:rowOff>
                  </from>
                  <to>
                    <xdr:col>9</xdr:col>
                    <xdr:colOff>51707</xdr:colOff>
                    <xdr:row>50</xdr:row>
                    <xdr:rowOff>46264</xdr:rowOff>
                  </to>
                </anchor>
              </controlPr>
            </control>
          </mc:Choice>
        </mc:AlternateContent>
        <mc:AlternateContent xmlns:mc="http://schemas.openxmlformats.org/markup-compatibility/2006">
          <mc:Choice Requires="x14">
            <control shapeId="53413" r:id="rId162" name="Check Box 165">
              <controlPr defaultSize="0" autoFill="0" autoLine="0" autoPict="0">
                <anchor moveWithCells="1">
                  <from>
                    <xdr:col>9</xdr:col>
                    <xdr:colOff>10886</xdr:colOff>
                    <xdr:row>48</xdr:row>
                    <xdr:rowOff>46264</xdr:rowOff>
                  </from>
                  <to>
                    <xdr:col>10</xdr:col>
                    <xdr:colOff>70757</xdr:colOff>
                    <xdr:row>50</xdr:row>
                    <xdr:rowOff>46264</xdr:rowOff>
                  </to>
                </anchor>
              </controlPr>
            </control>
          </mc:Choice>
        </mc:AlternateContent>
        <mc:AlternateContent xmlns:mc="http://schemas.openxmlformats.org/markup-compatibility/2006">
          <mc:Choice Requires="x14">
            <control shapeId="53414" r:id="rId163" name="Check Box 166">
              <controlPr defaultSize="0" autoFill="0" autoLine="0" autoPict="0">
                <anchor moveWithCells="1">
                  <from>
                    <xdr:col>7</xdr:col>
                    <xdr:colOff>10886</xdr:colOff>
                    <xdr:row>50</xdr:row>
                    <xdr:rowOff>46264</xdr:rowOff>
                  </from>
                  <to>
                    <xdr:col>8</xdr:col>
                    <xdr:colOff>59871</xdr:colOff>
                    <xdr:row>52</xdr:row>
                    <xdr:rowOff>46264</xdr:rowOff>
                  </to>
                </anchor>
              </controlPr>
            </control>
          </mc:Choice>
        </mc:AlternateContent>
        <mc:AlternateContent xmlns:mc="http://schemas.openxmlformats.org/markup-compatibility/2006">
          <mc:Choice Requires="x14">
            <control shapeId="53415" r:id="rId164" name="Check Box 167">
              <controlPr defaultSize="0" autoFill="0" autoLine="0" autoPict="0">
                <anchor moveWithCells="1">
                  <from>
                    <xdr:col>8</xdr:col>
                    <xdr:colOff>0</xdr:colOff>
                    <xdr:row>50</xdr:row>
                    <xdr:rowOff>46264</xdr:rowOff>
                  </from>
                  <to>
                    <xdr:col>9</xdr:col>
                    <xdr:colOff>51707</xdr:colOff>
                    <xdr:row>52</xdr:row>
                    <xdr:rowOff>46264</xdr:rowOff>
                  </to>
                </anchor>
              </controlPr>
            </control>
          </mc:Choice>
        </mc:AlternateContent>
        <mc:AlternateContent xmlns:mc="http://schemas.openxmlformats.org/markup-compatibility/2006">
          <mc:Choice Requires="x14">
            <control shapeId="53416" r:id="rId165" name="Check Box 168">
              <controlPr defaultSize="0" autoFill="0" autoLine="0" autoPict="0">
                <anchor moveWithCells="1">
                  <from>
                    <xdr:col>9</xdr:col>
                    <xdr:colOff>10886</xdr:colOff>
                    <xdr:row>50</xdr:row>
                    <xdr:rowOff>46264</xdr:rowOff>
                  </from>
                  <to>
                    <xdr:col>10</xdr:col>
                    <xdr:colOff>70757</xdr:colOff>
                    <xdr:row>52</xdr:row>
                    <xdr:rowOff>46264</xdr:rowOff>
                  </to>
                </anchor>
              </controlPr>
            </control>
          </mc:Choice>
        </mc:AlternateContent>
        <mc:AlternateContent xmlns:mc="http://schemas.openxmlformats.org/markup-compatibility/2006">
          <mc:Choice Requires="x14">
            <control shapeId="53417" r:id="rId166" name="Check Box 169">
              <controlPr defaultSize="0" autoFill="0" autoLine="0" autoPict="0">
                <anchor moveWithCells="1">
                  <from>
                    <xdr:col>7</xdr:col>
                    <xdr:colOff>10886</xdr:colOff>
                    <xdr:row>52</xdr:row>
                    <xdr:rowOff>46264</xdr:rowOff>
                  </from>
                  <to>
                    <xdr:col>8</xdr:col>
                    <xdr:colOff>59871</xdr:colOff>
                    <xdr:row>54</xdr:row>
                    <xdr:rowOff>46264</xdr:rowOff>
                  </to>
                </anchor>
              </controlPr>
            </control>
          </mc:Choice>
        </mc:AlternateContent>
        <mc:AlternateContent xmlns:mc="http://schemas.openxmlformats.org/markup-compatibility/2006">
          <mc:Choice Requires="x14">
            <control shapeId="53418" r:id="rId167" name="Check Box 170">
              <controlPr defaultSize="0" autoFill="0" autoLine="0" autoPict="0">
                <anchor moveWithCells="1">
                  <from>
                    <xdr:col>8</xdr:col>
                    <xdr:colOff>0</xdr:colOff>
                    <xdr:row>52</xdr:row>
                    <xdr:rowOff>46264</xdr:rowOff>
                  </from>
                  <to>
                    <xdr:col>9</xdr:col>
                    <xdr:colOff>51707</xdr:colOff>
                    <xdr:row>54</xdr:row>
                    <xdr:rowOff>46264</xdr:rowOff>
                  </to>
                </anchor>
              </controlPr>
            </control>
          </mc:Choice>
        </mc:AlternateContent>
        <mc:AlternateContent xmlns:mc="http://schemas.openxmlformats.org/markup-compatibility/2006">
          <mc:Choice Requires="x14">
            <control shapeId="53419" r:id="rId168" name="Check Box 171">
              <controlPr defaultSize="0" autoFill="0" autoLine="0" autoPict="0">
                <anchor moveWithCells="1">
                  <from>
                    <xdr:col>9</xdr:col>
                    <xdr:colOff>10886</xdr:colOff>
                    <xdr:row>52</xdr:row>
                    <xdr:rowOff>46264</xdr:rowOff>
                  </from>
                  <to>
                    <xdr:col>10</xdr:col>
                    <xdr:colOff>70757</xdr:colOff>
                    <xdr:row>54</xdr:row>
                    <xdr:rowOff>46264</xdr:rowOff>
                  </to>
                </anchor>
              </controlPr>
            </control>
          </mc:Choice>
        </mc:AlternateContent>
        <mc:AlternateContent xmlns:mc="http://schemas.openxmlformats.org/markup-compatibility/2006">
          <mc:Choice Requires="x14">
            <control shapeId="53420" r:id="rId169" name="Check Box 172">
              <controlPr defaultSize="0" autoFill="0" autoLine="0" autoPict="0">
                <anchor moveWithCells="1">
                  <from>
                    <xdr:col>7</xdr:col>
                    <xdr:colOff>10886</xdr:colOff>
                    <xdr:row>54</xdr:row>
                    <xdr:rowOff>46264</xdr:rowOff>
                  </from>
                  <to>
                    <xdr:col>8</xdr:col>
                    <xdr:colOff>59871</xdr:colOff>
                    <xdr:row>56</xdr:row>
                    <xdr:rowOff>46264</xdr:rowOff>
                  </to>
                </anchor>
              </controlPr>
            </control>
          </mc:Choice>
        </mc:AlternateContent>
        <mc:AlternateContent xmlns:mc="http://schemas.openxmlformats.org/markup-compatibility/2006">
          <mc:Choice Requires="x14">
            <control shapeId="53421" r:id="rId170" name="Check Box 173">
              <controlPr defaultSize="0" autoFill="0" autoLine="0" autoPict="0">
                <anchor moveWithCells="1">
                  <from>
                    <xdr:col>8</xdr:col>
                    <xdr:colOff>0</xdr:colOff>
                    <xdr:row>54</xdr:row>
                    <xdr:rowOff>46264</xdr:rowOff>
                  </from>
                  <to>
                    <xdr:col>9</xdr:col>
                    <xdr:colOff>51707</xdr:colOff>
                    <xdr:row>56</xdr:row>
                    <xdr:rowOff>46264</xdr:rowOff>
                  </to>
                </anchor>
              </controlPr>
            </control>
          </mc:Choice>
        </mc:AlternateContent>
        <mc:AlternateContent xmlns:mc="http://schemas.openxmlformats.org/markup-compatibility/2006">
          <mc:Choice Requires="x14">
            <control shapeId="53422" r:id="rId171" name="Check Box 174">
              <controlPr defaultSize="0" autoFill="0" autoLine="0" autoPict="0">
                <anchor moveWithCells="1">
                  <from>
                    <xdr:col>9</xdr:col>
                    <xdr:colOff>10886</xdr:colOff>
                    <xdr:row>54</xdr:row>
                    <xdr:rowOff>46264</xdr:rowOff>
                  </from>
                  <to>
                    <xdr:col>10</xdr:col>
                    <xdr:colOff>70757</xdr:colOff>
                    <xdr:row>56</xdr:row>
                    <xdr:rowOff>46264</xdr:rowOff>
                  </to>
                </anchor>
              </controlPr>
            </control>
          </mc:Choice>
        </mc:AlternateContent>
        <mc:AlternateContent xmlns:mc="http://schemas.openxmlformats.org/markup-compatibility/2006">
          <mc:Choice Requires="x14">
            <control shapeId="53423" r:id="rId172" name="Check Box 175">
              <controlPr defaultSize="0" autoFill="0" autoLine="0" autoPict="0">
                <anchor moveWithCells="1">
                  <from>
                    <xdr:col>7</xdr:col>
                    <xdr:colOff>10886</xdr:colOff>
                    <xdr:row>56</xdr:row>
                    <xdr:rowOff>46264</xdr:rowOff>
                  </from>
                  <to>
                    <xdr:col>8</xdr:col>
                    <xdr:colOff>59871</xdr:colOff>
                    <xdr:row>58</xdr:row>
                    <xdr:rowOff>46264</xdr:rowOff>
                  </to>
                </anchor>
              </controlPr>
            </control>
          </mc:Choice>
        </mc:AlternateContent>
        <mc:AlternateContent xmlns:mc="http://schemas.openxmlformats.org/markup-compatibility/2006">
          <mc:Choice Requires="x14">
            <control shapeId="53424" r:id="rId173" name="Check Box 176">
              <controlPr defaultSize="0" autoFill="0" autoLine="0" autoPict="0">
                <anchor moveWithCells="1">
                  <from>
                    <xdr:col>8</xdr:col>
                    <xdr:colOff>0</xdr:colOff>
                    <xdr:row>56</xdr:row>
                    <xdr:rowOff>46264</xdr:rowOff>
                  </from>
                  <to>
                    <xdr:col>9</xdr:col>
                    <xdr:colOff>51707</xdr:colOff>
                    <xdr:row>58</xdr:row>
                    <xdr:rowOff>46264</xdr:rowOff>
                  </to>
                </anchor>
              </controlPr>
            </control>
          </mc:Choice>
        </mc:AlternateContent>
        <mc:AlternateContent xmlns:mc="http://schemas.openxmlformats.org/markup-compatibility/2006">
          <mc:Choice Requires="x14">
            <control shapeId="53425" r:id="rId174" name="Check Box 177">
              <controlPr defaultSize="0" autoFill="0" autoLine="0" autoPict="0">
                <anchor moveWithCells="1">
                  <from>
                    <xdr:col>9</xdr:col>
                    <xdr:colOff>10886</xdr:colOff>
                    <xdr:row>56</xdr:row>
                    <xdr:rowOff>46264</xdr:rowOff>
                  </from>
                  <to>
                    <xdr:col>10</xdr:col>
                    <xdr:colOff>70757</xdr:colOff>
                    <xdr:row>58</xdr:row>
                    <xdr:rowOff>46264</xdr:rowOff>
                  </to>
                </anchor>
              </controlPr>
            </control>
          </mc:Choice>
        </mc:AlternateContent>
        <mc:AlternateContent xmlns:mc="http://schemas.openxmlformats.org/markup-compatibility/2006">
          <mc:Choice Requires="x14">
            <control shapeId="53426" r:id="rId175" name="Check Box 178">
              <controlPr defaultSize="0" autoFill="0" autoLine="0" autoPict="0">
                <anchor moveWithCells="1">
                  <from>
                    <xdr:col>7</xdr:col>
                    <xdr:colOff>10886</xdr:colOff>
                    <xdr:row>58</xdr:row>
                    <xdr:rowOff>46264</xdr:rowOff>
                  </from>
                  <to>
                    <xdr:col>8</xdr:col>
                    <xdr:colOff>59871</xdr:colOff>
                    <xdr:row>60</xdr:row>
                    <xdr:rowOff>46264</xdr:rowOff>
                  </to>
                </anchor>
              </controlPr>
            </control>
          </mc:Choice>
        </mc:AlternateContent>
        <mc:AlternateContent xmlns:mc="http://schemas.openxmlformats.org/markup-compatibility/2006">
          <mc:Choice Requires="x14">
            <control shapeId="53427" r:id="rId176" name="Check Box 179">
              <controlPr defaultSize="0" autoFill="0" autoLine="0" autoPict="0">
                <anchor moveWithCells="1">
                  <from>
                    <xdr:col>8</xdr:col>
                    <xdr:colOff>0</xdr:colOff>
                    <xdr:row>58</xdr:row>
                    <xdr:rowOff>46264</xdr:rowOff>
                  </from>
                  <to>
                    <xdr:col>9</xdr:col>
                    <xdr:colOff>51707</xdr:colOff>
                    <xdr:row>60</xdr:row>
                    <xdr:rowOff>46264</xdr:rowOff>
                  </to>
                </anchor>
              </controlPr>
            </control>
          </mc:Choice>
        </mc:AlternateContent>
        <mc:AlternateContent xmlns:mc="http://schemas.openxmlformats.org/markup-compatibility/2006">
          <mc:Choice Requires="x14">
            <control shapeId="53428" r:id="rId177" name="Check Box 180">
              <controlPr defaultSize="0" autoFill="0" autoLine="0" autoPict="0">
                <anchor moveWithCells="1">
                  <from>
                    <xdr:col>9</xdr:col>
                    <xdr:colOff>10886</xdr:colOff>
                    <xdr:row>58</xdr:row>
                    <xdr:rowOff>46264</xdr:rowOff>
                  </from>
                  <to>
                    <xdr:col>10</xdr:col>
                    <xdr:colOff>70757</xdr:colOff>
                    <xdr:row>60</xdr:row>
                    <xdr:rowOff>46264</xdr:rowOff>
                  </to>
                </anchor>
              </controlPr>
            </control>
          </mc:Choice>
        </mc:AlternateContent>
        <mc:AlternateContent xmlns:mc="http://schemas.openxmlformats.org/markup-compatibility/2006">
          <mc:Choice Requires="x14">
            <control shapeId="53429" r:id="rId178" name="Check Box 181">
              <controlPr defaultSize="0" autoFill="0" autoLine="0" autoPict="0">
                <anchor moveWithCells="1">
                  <from>
                    <xdr:col>7</xdr:col>
                    <xdr:colOff>10886</xdr:colOff>
                    <xdr:row>60</xdr:row>
                    <xdr:rowOff>46264</xdr:rowOff>
                  </from>
                  <to>
                    <xdr:col>8</xdr:col>
                    <xdr:colOff>59871</xdr:colOff>
                    <xdr:row>62</xdr:row>
                    <xdr:rowOff>46264</xdr:rowOff>
                  </to>
                </anchor>
              </controlPr>
            </control>
          </mc:Choice>
        </mc:AlternateContent>
        <mc:AlternateContent xmlns:mc="http://schemas.openxmlformats.org/markup-compatibility/2006">
          <mc:Choice Requires="x14">
            <control shapeId="53430" r:id="rId179" name="Check Box 182">
              <controlPr defaultSize="0" autoFill="0" autoLine="0" autoPict="0">
                <anchor moveWithCells="1">
                  <from>
                    <xdr:col>8</xdr:col>
                    <xdr:colOff>0</xdr:colOff>
                    <xdr:row>60</xdr:row>
                    <xdr:rowOff>46264</xdr:rowOff>
                  </from>
                  <to>
                    <xdr:col>9</xdr:col>
                    <xdr:colOff>51707</xdr:colOff>
                    <xdr:row>62</xdr:row>
                    <xdr:rowOff>46264</xdr:rowOff>
                  </to>
                </anchor>
              </controlPr>
            </control>
          </mc:Choice>
        </mc:AlternateContent>
        <mc:AlternateContent xmlns:mc="http://schemas.openxmlformats.org/markup-compatibility/2006">
          <mc:Choice Requires="x14">
            <control shapeId="53431" r:id="rId180" name="Check Box 183">
              <controlPr defaultSize="0" autoFill="0" autoLine="0" autoPict="0">
                <anchor moveWithCells="1">
                  <from>
                    <xdr:col>9</xdr:col>
                    <xdr:colOff>10886</xdr:colOff>
                    <xdr:row>60</xdr:row>
                    <xdr:rowOff>46264</xdr:rowOff>
                  </from>
                  <to>
                    <xdr:col>10</xdr:col>
                    <xdr:colOff>70757</xdr:colOff>
                    <xdr:row>62</xdr:row>
                    <xdr:rowOff>46264</xdr:rowOff>
                  </to>
                </anchor>
              </controlPr>
            </control>
          </mc:Choice>
        </mc:AlternateContent>
        <mc:AlternateContent xmlns:mc="http://schemas.openxmlformats.org/markup-compatibility/2006">
          <mc:Choice Requires="x14">
            <control shapeId="53432" r:id="rId181" name="Check Box 184">
              <controlPr defaultSize="0" autoFill="0" autoLine="0" autoPict="0">
                <anchor moveWithCells="1">
                  <from>
                    <xdr:col>7</xdr:col>
                    <xdr:colOff>10886</xdr:colOff>
                    <xdr:row>62</xdr:row>
                    <xdr:rowOff>46264</xdr:rowOff>
                  </from>
                  <to>
                    <xdr:col>8</xdr:col>
                    <xdr:colOff>59871</xdr:colOff>
                    <xdr:row>64</xdr:row>
                    <xdr:rowOff>19050</xdr:rowOff>
                  </to>
                </anchor>
              </controlPr>
            </control>
          </mc:Choice>
        </mc:AlternateContent>
        <mc:AlternateContent xmlns:mc="http://schemas.openxmlformats.org/markup-compatibility/2006">
          <mc:Choice Requires="x14">
            <control shapeId="53433" r:id="rId182" name="Check Box 185">
              <controlPr defaultSize="0" autoFill="0" autoLine="0" autoPict="0">
                <anchor moveWithCells="1">
                  <from>
                    <xdr:col>8</xdr:col>
                    <xdr:colOff>0</xdr:colOff>
                    <xdr:row>62</xdr:row>
                    <xdr:rowOff>46264</xdr:rowOff>
                  </from>
                  <to>
                    <xdr:col>9</xdr:col>
                    <xdr:colOff>51707</xdr:colOff>
                    <xdr:row>64</xdr:row>
                    <xdr:rowOff>19050</xdr:rowOff>
                  </to>
                </anchor>
              </controlPr>
            </control>
          </mc:Choice>
        </mc:AlternateContent>
        <mc:AlternateContent xmlns:mc="http://schemas.openxmlformats.org/markup-compatibility/2006">
          <mc:Choice Requires="x14">
            <control shapeId="53434" r:id="rId183" name="Check Box 186">
              <controlPr defaultSize="0" autoFill="0" autoLine="0" autoPict="0">
                <anchor moveWithCells="1">
                  <from>
                    <xdr:col>9</xdr:col>
                    <xdr:colOff>10886</xdr:colOff>
                    <xdr:row>62</xdr:row>
                    <xdr:rowOff>46264</xdr:rowOff>
                  </from>
                  <to>
                    <xdr:col>10</xdr:col>
                    <xdr:colOff>70757</xdr:colOff>
                    <xdr:row>64</xdr:row>
                    <xdr:rowOff>19050</xdr:rowOff>
                  </to>
                </anchor>
              </controlPr>
            </control>
          </mc:Choice>
        </mc:AlternateContent>
        <mc:AlternateContent xmlns:mc="http://schemas.openxmlformats.org/markup-compatibility/2006">
          <mc:Choice Requires="x14">
            <control shapeId="53435" r:id="rId184" name="Check Box 187">
              <controlPr defaultSize="0" autoFill="0" autoLine="0" autoPict="0">
                <anchor moveWithCells="1">
                  <from>
                    <xdr:col>7</xdr:col>
                    <xdr:colOff>10886</xdr:colOff>
                    <xdr:row>64</xdr:row>
                    <xdr:rowOff>46264</xdr:rowOff>
                  </from>
                  <to>
                    <xdr:col>8</xdr:col>
                    <xdr:colOff>59871</xdr:colOff>
                    <xdr:row>66</xdr:row>
                    <xdr:rowOff>46264</xdr:rowOff>
                  </to>
                </anchor>
              </controlPr>
            </control>
          </mc:Choice>
        </mc:AlternateContent>
        <mc:AlternateContent xmlns:mc="http://schemas.openxmlformats.org/markup-compatibility/2006">
          <mc:Choice Requires="x14">
            <control shapeId="53436" r:id="rId185" name="Check Box 188">
              <controlPr defaultSize="0" autoFill="0" autoLine="0" autoPict="0">
                <anchor moveWithCells="1">
                  <from>
                    <xdr:col>8</xdr:col>
                    <xdr:colOff>0</xdr:colOff>
                    <xdr:row>64</xdr:row>
                    <xdr:rowOff>46264</xdr:rowOff>
                  </from>
                  <to>
                    <xdr:col>9</xdr:col>
                    <xdr:colOff>51707</xdr:colOff>
                    <xdr:row>66</xdr:row>
                    <xdr:rowOff>46264</xdr:rowOff>
                  </to>
                </anchor>
              </controlPr>
            </control>
          </mc:Choice>
        </mc:AlternateContent>
        <mc:AlternateContent xmlns:mc="http://schemas.openxmlformats.org/markup-compatibility/2006">
          <mc:Choice Requires="x14">
            <control shapeId="53437" r:id="rId186" name="Check Box 189">
              <controlPr defaultSize="0" autoFill="0" autoLine="0" autoPict="0">
                <anchor moveWithCells="1">
                  <from>
                    <xdr:col>9</xdr:col>
                    <xdr:colOff>10886</xdr:colOff>
                    <xdr:row>64</xdr:row>
                    <xdr:rowOff>46264</xdr:rowOff>
                  </from>
                  <to>
                    <xdr:col>10</xdr:col>
                    <xdr:colOff>70757</xdr:colOff>
                    <xdr:row>66</xdr:row>
                    <xdr:rowOff>46264</xdr:rowOff>
                  </to>
                </anchor>
              </controlPr>
            </control>
          </mc:Choice>
        </mc:AlternateContent>
        <mc:AlternateContent xmlns:mc="http://schemas.openxmlformats.org/markup-compatibility/2006">
          <mc:Choice Requires="x14">
            <control shapeId="53438" r:id="rId187" name="Check Box 190">
              <controlPr defaultSize="0" autoFill="0" autoLine="0" autoPict="0">
                <anchor moveWithCells="1">
                  <from>
                    <xdr:col>7</xdr:col>
                    <xdr:colOff>10886</xdr:colOff>
                    <xdr:row>66</xdr:row>
                    <xdr:rowOff>46264</xdr:rowOff>
                  </from>
                  <to>
                    <xdr:col>8</xdr:col>
                    <xdr:colOff>59871</xdr:colOff>
                    <xdr:row>68</xdr:row>
                    <xdr:rowOff>46264</xdr:rowOff>
                  </to>
                </anchor>
              </controlPr>
            </control>
          </mc:Choice>
        </mc:AlternateContent>
        <mc:AlternateContent xmlns:mc="http://schemas.openxmlformats.org/markup-compatibility/2006">
          <mc:Choice Requires="x14">
            <control shapeId="53439" r:id="rId188" name="Check Box 191">
              <controlPr defaultSize="0" autoFill="0" autoLine="0" autoPict="0">
                <anchor moveWithCells="1">
                  <from>
                    <xdr:col>8</xdr:col>
                    <xdr:colOff>0</xdr:colOff>
                    <xdr:row>66</xdr:row>
                    <xdr:rowOff>46264</xdr:rowOff>
                  </from>
                  <to>
                    <xdr:col>9</xdr:col>
                    <xdr:colOff>51707</xdr:colOff>
                    <xdr:row>68</xdr:row>
                    <xdr:rowOff>46264</xdr:rowOff>
                  </to>
                </anchor>
              </controlPr>
            </control>
          </mc:Choice>
        </mc:AlternateContent>
        <mc:AlternateContent xmlns:mc="http://schemas.openxmlformats.org/markup-compatibility/2006">
          <mc:Choice Requires="x14">
            <control shapeId="53440" r:id="rId189" name="Check Box 192">
              <controlPr defaultSize="0" autoFill="0" autoLine="0" autoPict="0">
                <anchor moveWithCells="1">
                  <from>
                    <xdr:col>9</xdr:col>
                    <xdr:colOff>10886</xdr:colOff>
                    <xdr:row>66</xdr:row>
                    <xdr:rowOff>46264</xdr:rowOff>
                  </from>
                  <to>
                    <xdr:col>10</xdr:col>
                    <xdr:colOff>70757</xdr:colOff>
                    <xdr:row>68</xdr:row>
                    <xdr:rowOff>46264</xdr:rowOff>
                  </to>
                </anchor>
              </controlPr>
            </control>
          </mc:Choice>
        </mc:AlternateContent>
        <mc:AlternateContent xmlns:mc="http://schemas.openxmlformats.org/markup-compatibility/2006">
          <mc:Choice Requires="x14">
            <control shapeId="53441" r:id="rId190" name="Check Box 193">
              <controlPr defaultSize="0" autoFill="0" autoLine="0" autoPict="0">
                <anchor moveWithCells="1">
                  <from>
                    <xdr:col>7</xdr:col>
                    <xdr:colOff>10886</xdr:colOff>
                    <xdr:row>68</xdr:row>
                    <xdr:rowOff>46264</xdr:rowOff>
                  </from>
                  <to>
                    <xdr:col>8</xdr:col>
                    <xdr:colOff>59871</xdr:colOff>
                    <xdr:row>70</xdr:row>
                    <xdr:rowOff>46264</xdr:rowOff>
                  </to>
                </anchor>
              </controlPr>
            </control>
          </mc:Choice>
        </mc:AlternateContent>
        <mc:AlternateContent xmlns:mc="http://schemas.openxmlformats.org/markup-compatibility/2006">
          <mc:Choice Requires="x14">
            <control shapeId="53442" r:id="rId191" name="Check Box 194">
              <controlPr defaultSize="0" autoFill="0" autoLine="0" autoPict="0">
                <anchor moveWithCells="1">
                  <from>
                    <xdr:col>8</xdr:col>
                    <xdr:colOff>0</xdr:colOff>
                    <xdr:row>68</xdr:row>
                    <xdr:rowOff>46264</xdr:rowOff>
                  </from>
                  <to>
                    <xdr:col>9</xdr:col>
                    <xdr:colOff>51707</xdr:colOff>
                    <xdr:row>70</xdr:row>
                    <xdr:rowOff>46264</xdr:rowOff>
                  </to>
                </anchor>
              </controlPr>
            </control>
          </mc:Choice>
        </mc:AlternateContent>
        <mc:AlternateContent xmlns:mc="http://schemas.openxmlformats.org/markup-compatibility/2006">
          <mc:Choice Requires="x14">
            <control shapeId="53443" r:id="rId192" name="Check Box 195">
              <controlPr defaultSize="0" autoFill="0" autoLine="0" autoPict="0">
                <anchor moveWithCells="1">
                  <from>
                    <xdr:col>9</xdr:col>
                    <xdr:colOff>10886</xdr:colOff>
                    <xdr:row>68</xdr:row>
                    <xdr:rowOff>46264</xdr:rowOff>
                  </from>
                  <to>
                    <xdr:col>10</xdr:col>
                    <xdr:colOff>70757</xdr:colOff>
                    <xdr:row>70</xdr:row>
                    <xdr:rowOff>46264</xdr:rowOff>
                  </to>
                </anchor>
              </controlPr>
            </control>
          </mc:Choice>
        </mc:AlternateContent>
        <mc:AlternateContent xmlns:mc="http://schemas.openxmlformats.org/markup-compatibility/2006">
          <mc:Choice Requires="x14">
            <control shapeId="53444" r:id="rId193" name="Check Box 196">
              <controlPr defaultSize="0" autoFill="0" autoLine="0" autoPict="0">
                <anchor moveWithCells="1">
                  <from>
                    <xdr:col>7</xdr:col>
                    <xdr:colOff>10886</xdr:colOff>
                    <xdr:row>70</xdr:row>
                    <xdr:rowOff>46264</xdr:rowOff>
                  </from>
                  <to>
                    <xdr:col>8</xdr:col>
                    <xdr:colOff>59871</xdr:colOff>
                    <xdr:row>72</xdr:row>
                    <xdr:rowOff>46264</xdr:rowOff>
                  </to>
                </anchor>
              </controlPr>
            </control>
          </mc:Choice>
        </mc:AlternateContent>
        <mc:AlternateContent xmlns:mc="http://schemas.openxmlformats.org/markup-compatibility/2006">
          <mc:Choice Requires="x14">
            <control shapeId="53445" r:id="rId194" name="Check Box 197">
              <controlPr defaultSize="0" autoFill="0" autoLine="0" autoPict="0">
                <anchor moveWithCells="1">
                  <from>
                    <xdr:col>8</xdr:col>
                    <xdr:colOff>0</xdr:colOff>
                    <xdr:row>70</xdr:row>
                    <xdr:rowOff>46264</xdr:rowOff>
                  </from>
                  <to>
                    <xdr:col>9</xdr:col>
                    <xdr:colOff>51707</xdr:colOff>
                    <xdr:row>72</xdr:row>
                    <xdr:rowOff>46264</xdr:rowOff>
                  </to>
                </anchor>
              </controlPr>
            </control>
          </mc:Choice>
        </mc:AlternateContent>
        <mc:AlternateContent xmlns:mc="http://schemas.openxmlformats.org/markup-compatibility/2006">
          <mc:Choice Requires="x14">
            <control shapeId="53446" r:id="rId195" name="Check Box 198">
              <controlPr defaultSize="0" autoFill="0" autoLine="0" autoPict="0">
                <anchor moveWithCells="1">
                  <from>
                    <xdr:col>9</xdr:col>
                    <xdr:colOff>10886</xdr:colOff>
                    <xdr:row>70</xdr:row>
                    <xdr:rowOff>46264</xdr:rowOff>
                  </from>
                  <to>
                    <xdr:col>10</xdr:col>
                    <xdr:colOff>70757</xdr:colOff>
                    <xdr:row>72</xdr:row>
                    <xdr:rowOff>46264</xdr:rowOff>
                  </to>
                </anchor>
              </controlPr>
            </control>
          </mc:Choice>
        </mc:AlternateContent>
        <mc:AlternateContent xmlns:mc="http://schemas.openxmlformats.org/markup-compatibility/2006">
          <mc:Choice Requires="x14">
            <control shapeId="53447" r:id="rId196" name="Check Box 199">
              <controlPr defaultSize="0" autoFill="0" autoLine="0" autoPict="0">
                <anchor moveWithCells="1">
                  <from>
                    <xdr:col>7</xdr:col>
                    <xdr:colOff>10886</xdr:colOff>
                    <xdr:row>72</xdr:row>
                    <xdr:rowOff>46264</xdr:rowOff>
                  </from>
                  <to>
                    <xdr:col>8</xdr:col>
                    <xdr:colOff>59871</xdr:colOff>
                    <xdr:row>74</xdr:row>
                    <xdr:rowOff>46264</xdr:rowOff>
                  </to>
                </anchor>
              </controlPr>
            </control>
          </mc:Choice>
        </mc:AlternateContent>
        <mc:AlternateContent xmlns:mc="http://schemas.openxmlformats.org/markup-compatibility/2006">
          <mc:Choice Requires="x14">
            <control shapeId="53448" r:id="rId197" name="Check Box 200">
              <controlPr defaultSize="0" autoFill="0" autoLine="0" autoPict="0">
                <anchor moveWithCells="1">
                  <from>
                    <xdr:col>8</xdr:col>
                    <xdr:colOff>0</xdr:colOff>
                    <xdr:row>72</xdr:row>
                    <xdr:rowOff>46264</xdr:rowOff>
                  </from>
                  <to>
                    <xdr:col>9</xdr:col>
                    <xdr:colOff>51707</xdr:colOff>
                    <xdr:row>74</xdr:row>
                    <xdr:rowOff>46264</xdr:rowOff>
                  </to>
                </anchor>
              </controlPr>
            </control>
          </mc:Choice>
        </mc:AlternateContent>
        <mc:AlternateContent xmlns:mc="http://schemas.openxmlformats.org/markup-compatibility/2006">
          <mc:Choice Requires="x14">
            <control shapeId="53449" r:id="rId198" name="Check Box 201">
              <controlPr defaultSize="0" autoFill="0" autoLine="0" autoPict="0">
                <anchor moveWithCells="1">
                  <from>
                    <xdr:col>9</xdr:col>
                    <xdr:colOff>10886</xdr:colOff>
                    <xdr:row>72</xdr:row>
                    <xdr:rowOff>46264</xdr:rowOff>
                  </from>
                  <to>
                    <xdr:col>10</xdr:col>
                    <xdr:colOff>70757</xdr:colOff>
                    <xdr:row>74</xdr:row>
                    <xdr:rowOff>46264</xdr:rowOff>
                  </to>
                </anchor>
              </controlPr>
            </control>
          </mc:Choice>
        </mc:AlternateContent>
        <mc:AlternateContent xmlns:mc="http://schemas.openxmlformats.org/markup-compatibility/2006">
          <mc:Choice Requires="x14">
            <control shapeId="53450" r:id="rId199" name="Check Box 202">
              <controlPr defaultSize="0" autoFill="0" autoLine="0" autoPict="0">
                <anchor moveWithCells="1">
                  <from>
                    <xdr:col>7</xdr:col>
                    <xdr:colOff>10886</xdr:colOff>
                    <xdr:row>74</xdr:row>
                    <xdr:rowOff>46264</xdr:rowOff>
                  </from>
                  <to>
                    <xdr:col>8</xdr:col>
                    <xdr:colOff>59871</xdr:colOff>
                    <xdr:row>76</xdr:row>
                    <xdr:rowOff>46264</xdr:rowOff>
                  </to>
                </anchor>
              </controlPr>
            </control>
          </mc:Choice>
        </mc:AlternateContent>
        <mc:AlternateContent xmlns:mc="http://schemas.openxmlformats.org/markup-compatibility/2006">
          <mc:Choice Requires="x14">
            <control shapeId="53451" r:id="rId200" name="Check Box 203">
              <controlPr defaultSize="0" autoFill="0" autoLine="0" autoPict="0">
                <anchor moveWithCells="1">
                  <from>
                    <xdr:col>8</xdr:col>
                    <xdr:colOff>0</xdr:colOff>
                    <xdr:row>74</xdr:row>
                    <xdr:rowOff>46264</xdr:rowOff>
                  </from>
                  <to>
                    <xdr:col>9</xdr:col>
                    <xdr:colOff>51707</xdr:colOff>
                    <xdr:row>76</xdr:row>
                    <xdr:rowOff>46264</xdr:rowOff>
                  </to>
                </anchor>
              </controlPr>
            </control>
          </mc:Choice>
        </mc:AlternateContent>
        <mc:AlternateContent xmlns:mc="http://schemas.openxmlformats.org/markup-compatibility/2006">
          <mc:Choice Requires="x14">
            <control shapeId="53452" r:id="rId201" name="Check Box 204">
              <controlPr defaultSize="0" autoFill="0" autoLine="0" autoPict="0">
                <anchor moveWithCells="1">
                  <from>
                    <xdr:col>9</xdr:col>
                    <xdr:colOff>10886</xdr:colOff>
                    <xdr:row>74</xdr:row>
                    <xdr:rowOff>46264</xdr:rowOff>
                  </from>
                  <to>
                    <xdr:col>10</xdr:col>
                    <xdr:colOff>70757</xdr:colOff>
                    <xdr:row>76</xdr:row>
                    <xdr:rowOff>46264</xdr:rowOff>
                  </to>
                </anchor>
              </controlPr>
            </control>
          </mc:Choice>
        </mc:AlternateContent>
        <mc:AlternateContent xmlns:mc="http://schemas.openxmlformats.org/markup-compatibility/2006">
          <mc:Choice Requires="x14">
            <control shapeId="53454" r:id="rId202" name="Check Box 206">
              <controlPr defaultSize="0" autoFill="0" autoLine="0" autoPict="0">
                <anchor moveWithCells="1">
                  <from>
                    <xdr:col>1</xdr:col>
                    <xdr:colOff>10886</xdr:colOff>
                    <xdr:row>80</xdr:row>
                    <xdr:rowOff>46264</xdr:rowOff>
                  </from>
                  <to>
                    <xdr:col>2</xdr:col>
                    <xdr:colOff>81643</xdr:colOff>
                    <xdr:row>82</xdr:row>
                    <xdr:rowOff>46264</xdr:rowOff>
                  </to>
                </anchor>
              </controlPr>
            </control>
          </mc:Choice>
        </mc:AlternateContent>
        <mc:AlternateContent xmlns:mc="http://schemas.openxmlformats.org/markup-compatibility/2006">
          <mc:Choice Requires="x14">
            <control shapeId="53455" r:id="rId203" name="Check Box 207">
              <controlPr defaultSize="0" autoFill="0" autoLine="0" autoPict="0">
                <anchor moveWithCells="1">
                  <from>
                    <xdr:col>2</xdr:col>
                    <xdr:colOff>0</xdr:colOff>
                    <xdr:row>80</xdr:row>
                    <xdr:rowOff>46264</xdr:rowOff>
                  </from>
                  <to>
                    <xdr:col>3</xdr:col>
                    <xdr:colOff>70757</xdr:colOff>
                    <xdr:row>82</xdr:row>
                    <xdr:rowOff>46264</xdr:rowOff>
                  </to>
                </anchor>
              </controlPr>
            </control>
          </mc:Choice>
        </mc:AlternateContent>
        <mc:AlternateContent xmlns:mc="http://schemas.openxmlformats.org/markup-compatibility/2006">
          <mc:Choice Requires="x14">
            <control shapeId="53456" r:id="rId204" name="Check Box 208">
              <controlPr defaultSize="0" autoFill="0" autoLine="0" autoPict="0">
                <anchor moveWithCells="1">
                  <from>
                    <xdr:col>3</xdr:col>
                    <xdr:colOff>10886</xdr:colOff>
                    <xdr:row>80</xdr:row>
                    <xdr:rowOff>46264</xdr:rowOff>
                  </from>
                  <to>
                    <xdr:col>4</xdr:col>
                    <xdr:colOff>81643</xdr:colOff>
                    <xdr:row>82</xdr:row>
                    <xdr:rowOff>46264</xdr:rowOff>
                  </to>
                </anchor>
              </controlPr>
            </control>
          </mc:Choice>
        </mc:AlternateContent>
        <mc:AlternateContent xmlns:mc="http://schemas.openxmlformats.org/markup-compatibility/2006">
          <mc:Choice Requires="x14">
            <control shapeId="53457" r:id="rId205" name="Check Box 209">
              <controlPr defaultSize="0" autoFill="0" autoLine="0" autoPict="0">
                <anchor moveWithCells="1">
                  <from>
                    <xdr:col>1</xdr:col>
                    <xdr:colOff>10886</xdr:colOff>
                    <xdr:row>82</xdr:row>
                    <xdr:rowOff>46264</xdr:rowOff>
                  </from>
                  <to>
                    <xdr:col>2</xdr:col>
                    <xdr:colOff>81643</xdr:colOff>
                    <xdr:row>84</xdr:row>
                    <xdr:rowOff>46264</xdr:rowOff>
                  </to>
                </anchor>
              </controlPr>
            </control>
          </mc:Choice>
        </mc:AlternateContent>
        <mc:AlternateContent xmlns:mc="http://schemas.openxmlformats.org/markup-compatibility/2006">
          <mc:Choice Requires="x14">
            <control shapeId="53458" r:id="rId206" name="Check Box 210">
              <controlPr defaultSize="0" autoFill="0" autoLine="0" autoPict="0">
                <anchor moveWithCells="1">
                  <from>
                    <xdr:col>2</xdr:col>
                    <xdr:colOff>0</xdr:colOff>
                    <xdr:row>82</xdr:row>
                    <xdr:rowOff>46264</xdr:rowOff>
                  </from>
                  <to>
                    <xdr:col>3</xdr:col>
                    <xdr:colOff>70757</xdr:colOff>
                    <xdr:row>84</xdr:row>
                    <xdr:rowOff>46264</xdr:rowOff>
                  </to>
                </anchor>
              </controlPr>
            </control>
          </mc:Choice>
        </mc:AlternateContent>
        <mc:AlternateContent xmlns:mc="http://schemas.openxmlformats.org/markup-compatibility/2006">
          <mc:Choice Requires="x14">
            <control shapeId="53459" r:id="rId207" name="Check Box 211">
              <controlPr defaultSize="0" autoFill="0" autoLine="0" autoPict="0">
                <anchor moveWithCells="1">
                  <from>
                    <xdr:col>3</xdr:col>
                    <xdr:colOff>10886</xdr:colOff>
                    <xdr:row>82</xdr:row>
                    <xdr:rowOff>46264</xdr:rowOff>
                  </from>
                  <to>
                    <xdr:col>4</xdr:col>
                    <xdr:colOff>81643</xdr:colOff>
                    <xdr:row>84</xdr:row>
                    <xdr:rowOff>46264</xdr:rowOff>
                  </to>
                </anchor>
              </controlPr>
            </control>
          </mc:Choice>
        </mc:AlternateContent>
        <mc:AlternateContent xmlns:mc="http://schemas.openxmlformats.org/markup-compatibility/2006">
          <mc:Choice Requires="x14">
            <control shapeId="53461" r:id="rId208" name="Check Box 213">
              <controlPr defaultSize="0" autoFill="0" autoLine="0" autoPict="0">
                <anchor moveWithCells="1">
                  <from>
                    <xdr:col>7</xdr:col>
                    <xdr:colOff>10886</xdr:colOff>
                    <xdr:row>80</xdr:row>
                    <xdr:rowOff>46264</xdr:rowOff>
                  </from>
                  <to>
                    <xdr:col>8</xdr:col>
                    <xdr:colOff>59871</xdr:colOff>
                    <xdr:row>82</xdr:row>
                    <xdr:rowOff>46264</xdr:rowOff>
                  </to>
                </anchor>
              </controlPr>
            </control>
          </mc:Choice>
        </mc:AlternateContent>
        <mc:AlternateContent xmlns:mc="http://schemas.openxmlformats.org/markup-compatibility/2006">
          <mc:Choice Requires="x14">
            <control shapeId="53462" r:id="rId209" name="Check Box 214">
              <controlPr defaultSize="0" autoFill="0" autoLine="0" autoPict="0">
                <anchor moveWithCells="1">
                  <from>
                    <xdr:col>8</xdr:col>
                    <xdr:colOff>0</xdr:colOff>
                    <xdr:row>80</xdr:row>
                    <xdr:rowOff>46264</xdr:rowOff>
                  </from>
                  <to>
                    <xdr:col>9</xdr:col>
                    <xdr:colOff>51707</xdr:colOff>
                    <xdr:row>82</xdr:row>
                    <xdr:rowOff>46264</xdr:rowOff>
                  </to>
                </anchor>
              </controlPr>
            </control>
          </mc:Choice>
        </mc:AlternateContent>
        <mc:AlternateContent xmlns:mc="http://schemas.openxmlformats.org/markup-compatibility/2006">
          <mc:Choice Requires="x14">
            <control shapeId="53463" r:id="rId210" name="Check Box 215">
              <controlPr defaultSize="0" autoFill="0" autoLine="0" autoPict="0">
                <anchor moveWithCells="1">
                  <from>
                    <xdr:col>9</xdr:col>
                    <xdr:colOff>10886</xdr:colOff>
                    <xdr:row>80</xdr:row>
                    <xdr:rowOff>46264</xdr:rowOff>
                  </from>
                  <to>
                    <xdr:col>10</xdr:col>
                    <xdr:colOff>70757</xdr:colOff>
                    <xdr:row>82</xdr:row>
                    <xdr:rowOff>46264</xdr:rowOff>
                  </to>
                </anchor>
              </controlPr>
            </control>
          </mc:Choice>
        </mc:AlternateContent>
        <mc:AlternateContent xmlns:mc="http://schemas.openxmlformats.org/markup-compatibility/2006">
          <mc:Choice Requires="x14">
            <control shapeId="53467" r:id="rId211" name="Check Box 219">
              <controlPr defaultSize="0" autoFill="0" autoLine="0" autoPict="0">
                <anchor moveWithCells="1">
                  <from>
                    <xdr:col>7</xdr:col>
                    <xdr:colOff>10886</xdr:colOff>
                    <xdr:row>83</xdr:row>
                    <xdr:rowOff>46264</xdr:rowOff>
                  </from>
                  <to>
                    <xdr:col>8</xdr:col>
                    <xdr:colOff>48986</xdr:colOff>
                    <xdr:row>85</xdr:row>
                    <xdr:rowOff>46264</xdr:rowOff>
                  </to>
                </anchor>
              </controlPr>
            </control>
          </mc:Choice>
        </mc:AlternateContent>
        <mc:AlternateContent xmlns:mc="http://schemas.openxmlformats.org/markup-compatibility/2006">
          <mc:Choice Requires="x14">
            <control shapeId="53468" r:id="rId212" name="Check Box 220">
              <controlPr defaultSize="0" autoFill="0" autoLine="0" autoPict="0">
                <anchor moveWithCells="1">
                  <from>
                    <xdr:col>8</xdr:col>
                    <xdr:colOff>0</xdr:colOff>
                    <xdr:row>83</xdr:row>
                    <xdr:rowOff>46264</xdr:rowOff>
                  </from>
                  <to>
                    <xdr:col>9</xdr:col>
                    <xdr:colOff>51707</xdr:colOff>
                    <xdr:row>85</xdr:row>
                    <xdr:rowOff>46264</xdr:rowOff>
                  </to>
                </anchor>
              </controlPr>
            </control>
          </mc:Choice>
        </mc:AlternateContent>
        <mc:AlternateContent xmlns:mc="http://schemas.openxmlformats.org/markup-compatibility/2006">
          <mc:Choice Requires="x14">
            <control shapeId="53469" r:id="rId213" name="Check Box 221">
              <controlPr defaultSize="0" autoFill="0" autoLine="0" autoPict="0">
                <anchor moveWithCells="1">
                  <from>
                    <xdr:col>9</xdr:col>
                    <xdr:colOff>10886</xdr:colOff>
                    <xdr:row>83</xdr:row>
                    <xdr:rowOff>46264</xdr:rowOff>
                  </from>
                  <to>
                    <xdr:col>10</xdr:col>
                    <xdr:colOff>70757</xdr:colOff>
                    <xdr:row>85</xdr:row>
                    <xdr:rowOff>46264</xdr:rowOff>
                  </to>
                </anchor>
              </controlPr>
            </control>
          </mc:Choice>
        </mc:AlternateContent>
        <mc:AlternateContent xmlns:mc="http://schemas.openxmlformats.org/markup-compatibility/2006">
          <mc:Choice Requires="x14">
            <control shapeId="53470" r:id="rId214" name="Check Box 222">
              <controlPr defaultSize="0" autoFill="0" autoLine="0" autoPict="0">
                <anchor moveWithCells="1">
                  <from>
                    <xdr:col>7</xdr:col>
                    <xdr:colOff>10886</xdr:colOff>
                    <xdr:row>85</xdr:row>
                    <xdr:rowOff>46264</xdr:rowOff>
                  </from>
                  <to>
                    <xdr:col>8</xdr:col>
                    <xdr:colOff>48986</xdr:colOff>
                    <xdr:row>87</xdr:row>
                    <xdr:rowOff>46264</xdr:rowOff>
                  </to>
                </anchor>
              </controlPr>
            </control>
          </mc:Choice>
        </mc:AlternateContent>
        <mc:AlternateContent xmlns:mc="http://schemas.openxmlformats.org/markup-compatibility/2006">
          <mc:Choice Requires="x14">
            <control shapeId="53471" r:id="rId215" name="Check Box 223">
              <controlPr defaultSize="0" autoFill="0" autoLine="0" autoPict="0">
                <anchor moveWithCells="1">
                  <from>
                    <xdr:col>8</xdr:col>
                    <xdr:colOff>0</xdr:colOff>
                    <xdr:row>85</xdr:row>
                    <xdr:rowOff>46264</xdr:rowOff>
                  </from>
                  <to>
                    <xdr:col>9</xdr:col>
                    <xdr:colOff>51707</xdr:colOff>
                    <xdr:row>87</xdr:row>
                    <xdr:rowOff>46264</xdr:rowOff>
                  </to>
                </anchor>
              </controlPr>
            </control>
          </mc:Choice>
        </mc:AlternateContent>
        <mc:AlternateContent xmlns:mc="http://schemas.openxmlformats.org/markup-compatibility/2006">
          <mc:Choice Requires="x14">
            <control shapeId="53472" r:id="rId216" name="Check Box 224">
              <controlPr defaultSize="0" autoFill="0" autoLine="0" autoPict="0">
                <anchor moveWithCells="1">
                  <from>
                    <xdr:col>9</xdr:col>
                    <xdr:colOff>10886</xdr:colOff>
                    <xdr:row>85</xdr:row>
                    <xdr:rowOff>46264</xdr:rowOff>
                  </from>
                  <to>
                    <xdr:col>10</xdr:col>
                    <xdr:colOff>70757</xdr:colOff>
                    <xdr:row>87</xdr:row>
                    <xdr:rowOff>46264</xdr:rowOff>
                  </to>
                </anchor>
              </controlPr>
            </control>
          </mc:Choice>
        </mc:AlternateContent>
        <mc:AlternateContent xmlns:mc="http://schemas.openxmlformats.org/markup-compatibility/2006">
          <mc:Choice Requires="x14">
            <control shapeId="53473" r:id="rId217" name="Check Box 225">
              <controlPr defaultSize="0" autoFill="0" autoLine="0" autoPict="0">
                <anchor moveWithCells="1">
                  <from>
                    <xdr:col>7</xdr:col>
                    <xdr:colOff>10886</xdr:colOff>
                    <xdr:row>89</xdr:row>
                    <xdr:rowOff>46264</xdr:rowOff>
                  </from>
                  <to>
                    <xdr:col>8</xdr:col>
                    <xdr:colOff>48986</xdr:colOff>
                    <xdr:row>91</xdr:row>
                    <xdr:rowOff>46264</xdr:rowOff>
                  </to>
                </anchor>
              </controlPr>
            </control>
          </mc:Choice>
        </mc:AlternateContent>
        <mc:AlternateContent xmlns:mc="http://schemas.openxmlformats.org/markup-compatibility/2006">
          <mc:Choice Requires="x14">
            <control shapeId="53474" r:id="rId218" name="Check Box 226">
              <controlPr defaultSize="0" autoFill="0" autoLine="0" autoPict="0">
                <anchor moveWithCells="1">
                  <from>
                    <xdr:col>8</xdr:col>
                    <xdr:colOff>0</xdr:colOff>
                    <xdr:row>89</xdr:row>
                    <xdr:rowOff>46264</xdr:rowOff>
                  </from>
                  <to>
                    <xdr:col>9</xdr:col>
                    <xdr:colOff>51707</xdr:colOff>
                    <xdr:row>91</xdr:row>
                    <xdr:rowOff>46264</xdr:rowOff>
                  </to>
                </anchor>
              </controlPr>
            </control>
          </mc:Choice>
        </mc:AlternateContent>
        <mc:AlternateContent xmlns:mc="http://schemas.openxmlformats.org/markup-compatibility/2006">
          <mc:Choice Requires="x14">
            <control shapeId="53475" r:id="rId219" name="Check Box 227">
              <controlPr defaultSize="0" autoFill="0" autoLine="0" autoPict="0">
                <anchor moveWithCells="1">
                  <from>
                    <xdr:col>9</xdr:col>
                    <xdr:colOff>10886</xdr:colOff>
                    <xdr:row>89</xdr:row>
                    <xdr:rowOff>46264</xdr:rowOff>
                  </from>
                  <to>
                    <xdr:col>10</xdr:col>
                    <xdr:colOff>70757</xdr:colOff>
                    <xdr:row>91</xdr:row>
                    <xdr:rowOff>46264</xdr:rowOff>
                  </to>
                </anchor>
              </controlPr>
            </control>
          </mc:Choice>
        </mc:AlternateContent>
        <mc:AlternateContent xmlns:mc="http://schemas.openxmlformats.org/markup-compatibility/2006">
          <mc:Choice Requires="x14">
            <control shapeId="53476" r:id="rId220" name="Check Box 228">
              <controlPr defaultSize="0" autoFill="0" autoLine="0" autoPict="0">
                <anchor moveWithCells="1">
                  <from>
                    <xdr:col>7</xdr:col>
                    <xdr:colOff>10886</xdr:colOff>
                    <xdr:row>91</xdr:row>
                    <xdr:rowOff>46264</xdr:rowOff>
                  </from>
                  <to>
                    <xdr:col>8</xdr:col>
                    <xdr:colOff>48986</xdr:colOff>
                    <xdr:row>93</xdr:row>
                    <xdr:rowOff>46264</xdr:rowOff>
                  </to>
                </anchor>
              </controlPr>
            </control>
          </mc:Choice>
        </mc:AlternateContent>
        <mc:AlternateContent xmlns:mc="http://schemas.openxmlformats.org/markup-compatibility/2006">
          <mc:Choice Requires="x14">
            <control shapeId="53477" r:id="rId221" name="Check Box 229">
              <controlPr defaultSize="0" autoFill="0" autoLine="0" autoPict="0">
                <anchor moveWithCells="1">
                  <from>
                    <xdr:col>8</xdr:col>
                    <xdr:colOff>0</xdr:colOff>
                    <xdr:row>91</xdr:row>
                    <xdr:rowOff>46264</xdr:rowOff>
                  </from>
                  <to>
                    <xdr:col>9</xdr:col>
                    <xdr:colOff>51707</xdr:colOff>
                    <xdr:row>93</xdr:row>
                    <xdr:rowOff>46264</xdr:rowOff>
                  </to>
                </anchor>
              </controlPr>
            </control>
          </mc:Choice>
        </mc:AlternateContent>
        <mc:AlternateContent xmlns:mc="http://schemas.openxmlformats.org/markup-compatibility/2006">
          <mc:Choice Requires="x14">
            <control shapeId="53478" r:id="rId222" name="Check Box 230">
              <controlPr defaultSize="0" autoFill="0" autoLine="0" autoPict="0">
                <anchor moveWithCells="1">
                  <from>
                    <xdr:col>9</xdr:col>
                    <xdr:colOff>10886</xdr:colOff>
                    <xdr:row>91</xdr:row>
                    <xdr:rowOff>46264</xdr:rowOff>
                  </from>
                  <to>
                    <xdr:col>10</xdr:col>
                    <xdr:colOff>70757</xdr:colOff>
                    <xdr:row>93</xdr:row>
                    <xdr:rowOff>46264</xdr:rowOff>
                  </to>
                </anchor>
              </controlPr>
            </control>
          </mc:Choice>
        </mc:AlternateContent>
        <mc:AlternateContent xmlns:mc="http://schemas.openxmlformats.org/markup-compatibility/2006">
          <mc:Choice Requires="x14">
            <control shapeId="53479" r:id="rId223" name="Check Box 231">
              <controlPr defaultSize="0" autoFill="0" autoLine="0" autoPict="0">
                <anchor moveWithCells="1">
                  <from>
                    <xdr:col>7</xdr:col>
                    <xdr:colOff>10886</xdr:colOff>
                    <xdr:row>93</xdr:row>
                    <xdr:rowOff>46264</xdr:rowOff>
                  </from>
                  <to>
                    <xdr:col>8</xdr:col>
                    <xdr:colOff>48986</xdr:colOff>
                    <xdr:row>95</xdr:row>
                    <xdr:rowOff>46264</xdr:rowOff>
                  </to>
                </anchor>
              </controlPr>
            </control>
          </mc:Choice>
        </mc:AlternateContent>
        <mc:AlternateContent xmlns:mc="http://schemas.openxmlformats.org/markup-compatibility/2006">
          <mc:Choice Requires="x14">
            <control shapeId="53480" r:id="rId224" name="Check Box 232">
              <controlPr defaultSize="0" autoFill="0" autoLine="0" autoPict="0">
                <anchor moveWithCells="1">
                  <from>
                    <xdr:col>8</xdr:col>
                    <xdr:colOff>0</xdr:colOff>
                    <xdr:row>93</xdr:row>
                    <xdr:rowOff>46264</xdr:rowOff>
                  </from>
                  <to>
                    <xdr:col>9</xdr:col>
                    <xdr:colOff>51707</xdr:colOff>
                    <xdr:row>95</xdr:row>
                    <xdr:rowOff>46264</xdr:rowOff>
                  </to>
                </anchor>
              </controlPr>
            </control>
          </mc:Choice>
        </mc:AlternateContent>
        <mc:AlternateContent xmlns:mc="http://schemas.openxmlformats.org/markup-compatibility/2006">
          <mc:Choice Requires="x14">
            <control shapeId="53481" r:id="rId225" name="Check Box 233">
              <controlPr defaultSize="0" autoFill="0" autoLine="0" autoPict="0">
                <anchor moveWithCells="1">
                  <from>
                    <xdr:col>9</xdr:col>
                    <xdr:colOff>10886</xdr:colOff>
                    <xdr:row>93</xdr:row>
                    <xdr:rowOff>46264</xdr:rowOff>
                  </from>
                  <to>
                    <xdr:col>10</xdr:col>
                    <xdr:colOff>70757</xdr:colOff>
                    <xdr:row>95</xdr:row>
                    <xdr:rowOff>46264</xdr:rowOff>
                  </to>
                </anchor>
              </controlPr>
            </control>
          </mc:Choice>
        </mc:AlternateContent>
        <mc:AlternateContent xmlns:mc="http://schemas.openxmlformats.org/markup-compatibility/2006">
          <mc:Choice Requires="x14">
            <control shapeId="53482" r:id="rId226" name="Check Box 234">
              <controlPr defaultSize="0" autoFill="0" autoLine="0" autoPict="0">
                <anchor moveWithCells="1">
                  <from>
                    <xdr:col>7</xdr:col>
                    <xdr:colOff>10886</xdr:colOff>
                    <xdr:row>95</xdr:row>
                    <xdr:rowOff>46264</xdr:rowOff>
                  </from>
                  <to>
                    <xdr:col>8</xdr:col>
                    <xdr:colOff>48986</xdr:colOff>
                    <xdr:row>97</xdr:row>
                    <xdr:rowOff>46264</xdr:rowOff>
                  </to>
                </anchor>
              </controlPr>
            </control>
          </mc:Choice>
        </mc:AlternateContent>
        <mc:AlternateContent xmlns:mc="http://schemas.openxmlformats.org/markup-compatibility/2006">
          <mc:Choice Requires="x14">
            <control shapeId="53483" r:id="rId227" name="Check Box 235">
              <controlPr defaultSize="0" autoFill="0" autoLine="0" autoPict="0">
                <anchor moveWithCells="1">
                  <from>
                    <xdr:col>8</xdr:col>
                    <xdr:colOff>0</xdr:colOff>
                    <xdr:row>95</xdr:row>
                    <xdr:rowOff>46264</xdr:rowOff>
                  </from>
                  <to>
                    <xdr:col>9</xdr:col>
                    <xdr:colOff>51707</xdr:colOff>
                    <xdr:row>97</xdr:row>
                    <xdr:rowOff>46264</xdr:rowOff>
                  </to>
                </anchor>
              </controlPr>
            </control>
          </mc:Choice>
        </mc:AlternateContent>
        <mc:AlternateContent xmlns:mc="http://schemas.openxmlformats.org/markup-compatibility/2006">
          <mc:Choice Requires="x14">
            <control shapeId="53484" r:id="rId228" name="Check Box 236">
              <controlPr defaultSize="0" autoFill="0" autoLine="0" autoPict="0">
                <anchor moveWithCells="1">
                  <from>
                    <xdr:col>9</xdr:col>
                    <xdr:colOff>10886</xdr:colOff>
                    <xdr:row>95</xdr:row>
                    <xdr:rowOff>46264</xdr:rowOff>
                  </from>
                  <to>
                    <xdr:col>10</xdr:col>
                    <xdr:colOff>70757</xdr:colOff>
                    <xdr:row>97</xdr:row>
                    <xdr:rowOff>46264</xdr:rowOff>
                  </to>
                </anchor>
              </controlPr>
            </control>
          </mc:Choice>
        </mc:AlternateContent>
        <mc:AlternateContent xmlns:mc="http://schemas.openxmlformats.org/markup-compatibility/2006">
          <mc:Choice Requires="x14">
            <control shapeId="53485" r:id="rId229" name="Check Box 237">
              <controlPr defaultSize="0" autoFill="0" autoLine="0" autoPict="0">
                <anchor moveWithCells="1">
                  <from>
                    <xdr:col>7</xdr:col>
                    <xdr:colOff>10886</xdr:colOff>
                    <xdr:row>98</xdr:row>
                    <xdr:rowOff>46264</xdr:rowOff>
                  </from>
                  <to>
                    <xdr:col>8</xdr:col>
                    <xdr:colOff>48986</xdr:colOff>
                    <xdr:row>100</xdr:row>
                    <xdr:rowOff>46264</xdr:rowOff>
                  </to>
                </anchor>
              </controlPr>
            </control>
          </mc:Choice>
        </mc:AlternateContent>
        <mc:AlternateContent xmlns:mc="http://schemas.openxmlformats.org/markup-compatibility/2006">
          <mc:Choice Requires="x14">
            <control shapeId="53486" r:id="rId230" name="Check Box 238">
              <controlPr defaultSize="0" autoFill="0" autoLine="0" autoPict="0">
                <anchor moveWithCells="1">
                  <from>
                    <xdr:col>8</xdr:col>
                    <xdr:colOff>0</xdr:colOff>
                    <xdr:row>98</xdr:row>
                    <xdr:rowOff>46264</xdr:rowOff>
                  </from>
                  <to>
                    <xdr:col>9</xdr:col>
                    <xdr:colOff>51707</xdr:colOff>
                    <xdr:row>100</xdr:row>
                    <xdr:rowOff>46264</xdr:rowOff>
                  </to>
                </anchor>
              </controlPr>
            </control>
          </mc:Choice>
        </mc:AlternateContent>
        <mc:AlternateContent xmlns:mc="http://schemas.openxmlformats.org/markup-compatibility/2006">
          <mc:Choice Requires="x14">
            <control shapeId="53487" r:id="rId231" name="Check Box 239">
              <controlPr defaultSize="0" autoFill="0" autoLine="0" autoPict="0">
                <anchor moveWithCells="1">
                  <from>
                    <xdr:col>9</xdr:col>
                    <xdr:colOff>10886</xdr:colOff>
                    <xdr:row>98</xdr:row>
                    <xdr:rowOff>46264</xdr:rowOff>
                  </from>
                  <to>
                    <xdr:col>10</xdr:col>
                    <xdr:colOff>70757</xdr:colOff>
                    <xdr:row>100</xdr:row>
                    <xdr:rowOff>46264</xdr:rowOff>
                  </to>
                </anchor>
              </controlPr>
            </control>
          </mc:Choice>
        </mc:AlternateContent>
        <mc:AlternateContent xmlns:mc="http://schemas.openxmlformats.org/markup-compatibility/2006">
          <mc:Choice Requires="x14">
            <control shapeId="53491" r:id="rId232" name="Check Box 243">
              <controlPr defaultSize="0" autoFill="0" autoLine="0" autoPict="0">
                <anchor moveWithCells="1">
                  <from>
                    <xdr:col>7</xdr:col>
                    <xdr:colOff>10886</xdr:colOff>
                    <xdr:row>100</xdr:row>
                    <xdr:rowOff>46264</xdr:rowOff>
                  </from>
                  <to>
                    <xdr:col>8</xdr:col>
                    <xdr:colOff>48986</xdr:colOff>
                    <xdr:row>102</xdr:row>
                    <xdr:rowOff>46264</xdr:rowOff>
                  </to>
                </anchor>
              </controlPr>
            </control>
          </mc:Choice>
        </mc:AlternateContent>
        <mc:AlternateContent xmlns:mc="http://schemas.openxmlformats.org/markup-compatibility/2006">
          <mc:Choice Requires="x14">
            <control shapeId="53492" r:id="rId233" name="Check Box 244">
              <controlPr defaultSize="0" autoFill="0" autoLine="0" autoPict="0">
                <anchor moveWithCells="1">
                  <from>
                    <xdr:col>8</xdr:col>
                    <xdr:colOff>0</xdr:colOff>
                    <xdr:row>100</xdr:row>
                    <xdr:rowOff>46264</xdr:rowOff>
                  </from>
                  <to>
                    <xdr:col>9</xdr:col>
                    <xdr:colOff>51707</xdr:colOff>
                    <xdr:row>102</xdr:row>
                    <xdr:rowOff>46264</xdr:rowOff>
                  </to>
                </anchor>
              </controlPr>
            </control>
          </mc:Choice>
        </mc:AlternateContent>
        <mc:AlternateContent xmlns:mc="http://schemas.openxmlformats.org/markup-compatibility/2006">
          <mc:Choice Requires="x14">
            <control shapeId="53493" r:id="rId234" name="Check Box 245">
              <controlPr defaultSize="0" autoFill="0" autoLine="0" autoPict="0">
                <anchor moveWithCells="1">
                  <from>
                    <xdr:col>9</xdr:col>
                    <xdr:colOff>10886</xdr:colOff>
                    <xdr:row>100</xdr:row>
                    <xdr:rowOff>46264</xdr:rowOff>
                  </from>
                  <to>
                    <xdr:col>10</xdr:col>
                    <xdr:colOff>70757</xdr:colOff>
                    <xdr:row>102</xdr:row>
                    <xdr:rowOff>46264</xdr:rowOff>
                  </to>
                </anchor>
              </controlPr>
            </control>
          </mc:Choice>
        </mc:AlternateContent>
        <mc:AlternateContent xmlns:mc="http://schemas.openxmlformats.org/markup-compatibility/2006">
          <mc:Choice Requires="x14">
            <control shapeId="53494" r:id="rId235" name="Check Box 246">
              <controlPr defaultSize="0" autoFill="0" autoLine="0" autoPict="0">
                <anchor moveWithCells="1">
                  <from>
                    <xdr:col>7</xdr:col>
                    <xdr:colOff>10886</xdr:colOff>
                    <xdr:row>104</xdr:row>
                    <xdr:rowOff>46264</xdr:rowOff>
                  </from>
                  <to>
                    <xdr:col>8</xdr:col>
                    <xdr:colOff>48986</xdr:colOff>
                    <xdr:row>106</xdr:row>
                    <xdr:rowOff>46264</xdr:rowOff>
                  </to>
                </anchor>
              </controlPr>
            </control>
          </mc:Choice>
        </mc:AlternateContent>
        <mc:AlternateContent xmlns:mc="http://schemas.openxmlformats.org/markup-compatibility/2006">
          <mc:Choice Requires="x14">
            <control shapeId="53495" r:id="rId236" name="Check Box 247">
              <controlPr defaultSize="0" autoFill="0" autoLine="0" autoPict="0">
                <anchor moveWithCells="1">
                  <from>
                    <xdr:col>8</xdr:col>
                    <xdr:colOff>0</xdr:colOff>
                    <xdr:row>104</xdr:row>
                    <xdr:rowOff>46264</xdr:rowOff>
                  </from>
                  <to>
                    <xdr:col>9</xdr:col>
                    <xdr:colOff>51707</xdr:colOff>
                    <xdr:row>106</xdr:row>
                    <xdr:rowOff>46264</xdr:rowOff>
                  </to>
                </anchor>
              </controlPr>
            </control>
          </mc:Choice>
        </mc:AlternateContent>
        <mc:AlternateContent xmlns:mc="http://schemas.openxmlformats.org/markup-compatibility/2006">
          <mc:Choice Requires="x14">
            <control shapeId="53496" r:id="rId237" name="Check Box 248">
              <controlPr defaultSize="0" autoFill="0" autoLine="0" autoPict="0">
                <anchor moveWithCells="1">
                  <from>
                    <xdr:col>9</xdr:col>
                    <xdr:colOff>10886</xdr:colOff>
                    <xdr:row>104</xdr:row>
                    <xdr:rowOff>46264</xdr:rowOff>
                  </from>
                  <to>
                    <xdr:col>10</xdr:col>
                    <xdr:colOff>70757</xdr:colOff>
                    <xdr:row>106</xdr:row>
                    <xdr:rowOff>46264</xdr:rowOff>
                  </to>
                </anchor>
              </controlPr>
            </control>
          </mc:Choice>
        </mc:AlternateContent>
        <mc:AlternateContent xmlns:mc="http://schemas.openxmlformats.org/markup-compatibility/2006">
          <mc:Choice Requires="x14">
            <control shapeId="53497" r:id="rId238" name="Check Box 249">
              <controlPr defaultSize="0" autoFill="0" autoLine="0" autoPict="0">
                <anchor moveWithCells="1">
                  <from>
                    <xdr:col>7</xdr:col>
                    <xdr:colOff>10886</xdr:colOff>
                    <xdr:row>106</xdr:row>
                    <xdr:rowOff>46264</xdr:rowOff>
                  </from>
                  <to>
                    <xdr:col>8</xdr:col>
                    <xdr:colOff>48986</xdr:colOff>
                    <xdr:row>108</xdr:row>
                    <xdr:rowOff>46264</xdr:rowOff>
                  </to>
                </anchor>
              </controlPr>
            </control>
          </mc:Choice>
        </mc:AlternateContent>
        <mc:AlternateContent xmlns:mc="http://schemas.openxmlformats.org/markup-compatibility/2006">
          <mc:Choice Requires="x14">
            <control shapeId="53498" r:id="rId239" name="Check Box 250">
              <controlPr defaultSize="0" autoFill="0" autoLine="0" autoPict="0">
                <anchor moveWithCells="1">
                  <from>
                    <xdr:col>8</xdr:col>
                    <xdr:colOff>0</xdr:colOff>
                    <xdr:row>106</xdr:row>
                    <xdr:rowOff>46264</xdr:rowOff>
                  </from>
                  <to>
                    <xdr:col>9</xdr:col>
                    <xdr:colOff>51707</xdr:colOff>
                    <xdr:row>108</xdr:row>
                    <xdr:rowOff>46264</xdr:rowOff>
                  </to>
                </anchor>
              </controlPr>
            </control>
          </mc:Choice>
        </mc:AlternateContent>
        <mc:AlternateContent xmlns:mc="http://schemas.openxmlformats.org/markup-compatibility/2006">
          <mc:Choice Requires="x14">
            <control shapeId="53499" r:id="rId240" name="Check Box 251">
              <controlPr defaultSize="0" autoFill="0" autoLine="0" autoPict="0">
                <anchor moveWithCells="1">
                  <from>
                    <xdr:col>9</xdr:col>
                    <xdr:colOff>10886</xdr:colOff>
                    <xdr:row>106</xdr:row>
                    <xdr:rowOff>46264</xdr:rowOff>
                  </from>
                  <to>
                    <xdr:col>10</xdr:col>
                    <xdr:colOff>70757</xdr:colOff>
                    <xdr:row>108</xdr:row>
                    <xdr:rowOff>46264</xdr:rowOff>
                  </to>
                </anchor>
              </controlPr>
            </control>
          </mc:Choice>
        </mc:AlternateContent>
        <mc:AlternateContent xmlns:mc="http://schemas.openxmlformats.org/markup-compatibility/2006">
          <mc:Choice Requires="x14">
            <control shapeId="53500" r:id="rId241" name="Check Box 252">
              <controlPr defaultSize="0" autoFill="0" autoLine="0" autoPict="0">
                <anchor moveWithCells="1">
                  <from>
                    <xdr:col>7</xdr:col>
                    <xdr:colOff>10886</xdr:colOff>
                    <xdr:row>111</xdr:row>
                    <xdr:rowOff>46264</xdr:rowOff>
                  </from>
                  <to>
                    <xdr:col>8</xdr:col>
                    <xdr:colOff>48986</xdr:colOff>
                    <xdr:row>113</xdr:row>
                    <xdr:rowOff>46264</xdr:rowOff>
                  </to>
                </anchor>
              </controlPr>
            </control>
          </mc:Choice>
        </mc:AlternateContent>
        <mc:AlternateContent xmlns:mc="http://schemas.openxmlformats.org/markup-compatibility/2006">
          <mc:Choice Requires="x14">
            <control shapeId="53501" r:id="rId242" name="Check Box 253">
              <controlPr defaultSize="0" autoFill="0" autoLine="0" autoPict="0">
                <anchor moveWithCells="1">
                  <from>
                    <xdr:col>8</xdr:col>
                    <xdr:colOff>0</xdr:colOff>
                    <xdr:row>111</xdr:row>
                    <xdr:rowOff>46264</xdr:rowOff>
                  </from>
                  <to>
                    <xdr:col>9</xdr:col>
                    <xdr:colOff>51707</xdr:colOff>
                    <xdr:row>113</xdr:row>
                    <xdr:rowOff>46264</xdr:rowOff>
                  </to>
                </anchor>
              </controlPr>
            </control>
          </mc:Choice>
        </mc:AlternateContent>
        <mc:AlternateContent xmlns:mc="http://schemas.openxmlformats.org/markup-compatibility/2006">
          <mc:Choice Requires="x14">
            <control shapeId="53502" r:id="rId243" name="Check Box 254">
              <controlPr defaultSize="0" autoFill="0" autoLine="0" autoPict="0">
                <anchor moveWithCells="1">
                  <from>
                    <xdr:col>9</xdr:col>
                    <xdr:colOff>10886</xdr:colOff>
                    <xdr:row>111</xdr:row>
                    <xdr:rowOff>46264</xdr:rowOff>
                  </from>
                  <to>
                    <xdr:col>10</xdr:col>
                    <xdr:colOff>70757</xdr:colOff>
                    <xdr:row>113</xdr:row>
                    <xdr:rowOff>46264</xdr:rowOff>
                  </to>
                </anchor>
              </controlPr>
            </control>
          </mc:Choice>
        </mc:AlternateContent>
        <mc:AlternateContent xmlns:mc="http://schemas.openxmlformats.org/markup-compatibility/2006">
          <mc:Choice Requires="x14">
            <control shapeId="53503" r:id="rId244" name="Check Box 255">
              <controlPr defaultSize="0" autoFill="0" autoLine="0" autoPict="0">
                <anchor moveWithCells="1">
                  <from>
                    <xdr:col>7</xdr:col>
                    <xdr:colOff>10886</xdr:colOff>
                    <xdr:row>114</xdr:row>
                    <xdr:rowOff>46264</xdr:rowOff>
                  </from>
                  <to>
                    <xdr:col>8</xdr:col>
                    <xdr:colOff>48986</xdr:colOff>
                    <xdr:row>116</xdr:row>
                    <xdr:rowOff>46264</xdr:rowOff>
                  </to>
                </anchor>
              </controlPr>
            </control>
          </mc:Choice>
        </mc:AlternateContent>
        <mc:AlternateContent xmlns:mc="http://schemas.openxmlformats.org/markup-compatibility/2006">
          <mc:Choice Requires="x14">
            <control shapeId="53504" r:id="rId245" name="Check Box 256">
              <controlPr defaultSize="0" autoFill="0" autoLine="0" autoPict="0">
                <anchor moveWithCells="1">
                  <from>
                    <xdr:col>8</xdr:col>
                    <xdr:colOff>0</xdr:colOff>
                    <xdr:row>114</xdr:row>
                    <xdr:rowOff>46264</xdr:rowOff>
                  </from>
                  <to>
                    <xdr:col>9</xdr:col>
                    <xdr:colOff>51707</xdr:colOff>
                    <xdr:row>116</xdr:row>
                    <xdr:rowOff>46264</xdr:rowOff>
                  </to>
                </anchor>
              </controlPr>
            </control>
          </mc:Choice>
        </mc:AlternateContent>
        <mc:AlternateContent xmlns:mc="http://schemas.openxmlformats.org/markup-compatibility/2006">
          <mc:Choice Requires="x14">
            <control shapeId="53505" r:id="rId246" name="Check Box 257">
              <controlPr defaultSize="0" autoFill="0" autoLine="0" autoPict="0">
                <anchor moveWithCells="1">
                  <from>
                    <xdr:col>9</xdr:col>
                    <xdr:colOff>10886</xdr:colOff>
                    <xdr:row>114</xdr:row>
                    <xdr:rowOff>46264</xdr:rowOff>
                  </from>
                  <to>
                    <xdr:col>10</xdr:col>
                    <xdr:colOff>70757</xdr:colOff>
                    <xdr:row>116</xdr:row>
                    <xdr:rowOff>46264</xdr:rowOff>
                  </to>
                </anchor>
              </controlPr>
            </control>
          </mc:Choice>
        </mc:AlternateContent>
        <mc:AlternateContent xmlns:mc="http://schemas.openxmlformats.org/markup-compatibility/2006">
          <mc:Choice Requires="x14">
            <control shapeId="53506" r:id="rId247" name="Check Box 258">
              <controlPr defaultSize="0" autoFill="0" autoLine="0" autoPict="0">
                <anchor moveWithCells="1">
                  <from>
                    <xdr:col>7</xdr:col>
                    <xdr:colOff>10886</xdr:colOff>
                    <xdr:row>116</xdr:row>
                    <xdr:rowOff>46264</xdr:rowOff>
                  </from>
                  <to>
                    <xdr:col>8</xdr:col>
                    <xdr:colOff>48986</xdr:colOff>
                    <xdr:row>118</xdr:row>
                    <xdr:rowOff>46264</xdr:rowOff>
                  </to>
                </anchor>
              </controlPr>
            </control>
          </mc:Choice>
        </mc:AlternateContent>
        <mc:AlternateContent xmlns:mc="http://schemas.openxmlformats.org/markup-compatibility/2006">
          <mc:Choice Requires="x14">
            <control shapeId="53507" r:id="rId248" name="Check Box 259">
              <controlPr defaultSize="0" autoFill="0" autoLine="0" autoPict="0">
                <anchor moveWithCells="1">
                  <from>
                    <xdr:col>8</xdr:col>
                    <xdr:colOff>0</xdr:colOff>
                    <xdr:row>116</xdr:row>
                    <xdr:rowOff>46264</xdr:rowOff>
                  </from>
                  <to>
                    <xdr:col>9</xdr:col>
                    <xdr:colOff>51707</xdr:colOff>
                    <xdr:row>118</xdr:row>
                    <xdr:rowOff>46264</xdr:rowOff>
                  </to>
                </anchor>
              </controlPr>
            </control>
          </mc:Choice>
        </mc:AlternateContent>
        <mc:AlternateContent xmlns:mc="http://schemas.openxmlformats.org/markup-compatibility/2006">
          <mc:Choice Requires="x14">
            <control shapeId="53508" r:id="rId249" name="Check Box 260">
              <controlPr defaultSize="0" autoFill="0" autoLine="0" autoPict="0">
                <anchor moveWithCells="1">
                  <from>
                    <xdr:col>9</xdr:col>
                    <xdr:colOff>10886</xdr:colOff>
                    <xdr:row>116</xdr:row>
                    <xdr:rowOff>46264</xdr:rowOff>
                  </from>
                  <to>
                    <xdr:col>10</xdr:col>
                    <xdr:colOff>70757</xdr:colOff>
                    <xdr:row>118</xdr:row>
                    <xdr:rowOff>46264</xdr:rowOff>
                  </to>
                </anchor>
              </controlPr>
            </control>
          </mc:Choice>
        </mc:AlternateContent>
        <mc:AlternateContent xmlns:mc="http://schemas.openxmlformats.org/markup-compatibility/2006">
          <mc:Choice Requires="x14">
            <control shapeId="53509" r:id="rId250" name="Check Box 261">
              <controlPr defaultSize="0" autoFill="0" autoLine="0" autoPict="0">
                <anchor moveWithCells="1">
                  <from>
                    <xdr:col>7</xdr:col>
                    <xdr:colOff>10886</xdr:colOff>
                    <xdr:row>118</xdr:row>
                    <xdr:rowOff>46264</xdr:rowOff>
                  </from>
                  <to>
                    <xdr:col>8</xdr:col>
                    <xdr:colOff>48986</xdr:colOff>
                    <xdr:row>120</xdr:row>
                    <xdr:rowOff>46264</xdr:rowOff>
                  </to>
                </anchor>
              </controlPr>
            </control>
          </mc:Choice>
        </mc:AlternateContent>
        <mc:AlternateContent xmlns:mc="http://schemas.openxmlformats.org/markup-compatibility/2006">
          <mc:Choice Requires="x14">
            <control shapeId="53510" r:id="rId251" name="Check Box 262">
              <controlPr defaultSize="0" autoFill="0" autoLine="0" autoPict="0">
                <anchor moveWithCells="1">
                  <from>
                    <xdr:col>8</xdr:col>
                    <xdr:colOff>0</xdr:colOff>
                    <xdr:row>118</xdr:row>
                    <xdr:rowOff>46264</xdr:rowOff>
                  </from>
                  <to>
                    <xdr:col>9</xdr:col>
                    <xdr:colOff>51707</xdr:colOff>
                    <xdr:row>120</xdr:row>
                    <xdr:rowOff>46264</xdr:rowOff>
                  </to>
                </anchor>
              </controlPr>
            </control>
          </mc:Choice>
        </mc:AlternateContent>
        <mc:AlternateContent xmlns:mc="http://schemas.openxmlformats.org/markup-compatibility/2006">
          <mc:Choice Requires="x14">
            <control shapeId="53511" r:id="rId252" name="Check Box 263">
              <controlPr defaultSize="0" autoFill="0" autoLine="0" autoPict="0">
                <anchor moveWithCells="1">
                  <from>
                    <xdr:col>9</xdr:col>
                    <xdr:colOff>10886</xdr:colOff>
                    <xdr:row>118</xdr:row>
                    <xdr:rowOff>46264</xdr:rowOff>
                  </from>
                  <to>
                    <xdr:col>10</xdr:col>
                    <xdr:colOff>70757</xdr:colOff>
                    <xdr:row>120</xdr:row>
                    <xdr:rowOff>46264</xdr:rowOff>
                  </to>
                </anchor>
              </controlPr>
            </control>
          </mc:Choice>
        </mc:AlternateContent>
        <mc:AlternateContent xmlns:mc="http://schemas.openxmlformats.org/markup-compatibility/2006">
          <mc:Choice Requires="x14">
            <control shapeId="53512" r:id="rId253" name="Check Box 264">
              <controlPr defaultSize="0" autoFill="0" autoLine="0" autoPict="0">
                <anchor moveWithCells="1">
                  <from>
                    <xdr:col>7</xdr:col>
                    <xdr:colOff>10886</xdr:colOff>
                    <xdr:row>120</xdr:row>
                    <xdr:rowOff>46264</xdr:rowOff>
                  </from>
                  <to>
                    <xdr:col>8</xdr:col>
                    <xdr:colOff>48986</xdr:colOff>
                    <xdr:row>122</xdr:row>
                    <xdr:rowOff>46264</xdr:rowOff>
                  </to>
                </anchor>
              </controlPr>
            </control>
          </mc:Choice>
        </mc:AlternateContent>
        <mc:AlternateContent xmlns:mc="http://schemas.openxmlformats.org/markup-compatibility/2006">
          <mc:Choice Requires="x14">
            <control shapeId="53513" r:id="rId254" name="Check Box 265">
              <controlPr defaultSize="0" autoFill="0" autoLine="0" autoPict="0">
                <anchor moveWithCells="1">
                  <from>
                    <xdr:col>8</xdr:col>
                    <xdr:colOff>0</xdr:colOff>
                    <xdr:row>120</xdr:row>
                    <xdr:rowOff>46264</xdr:rowOff>
                  </from>
                  <to>
                    <xdr:col>9</xdr:col>
                    <xdr:colOff>51707</xdr:colOff>
                    <xdr:row>122</xdr:row>
                    <xdr:rowOff>46264</xdr:rowOff>
                  </to>
                </anchor>
              </controlPr>
            </control>
          </mc:Choice>
        </mc:AlternateContent>
        <mc:AlternateContent xmlns:mc="http://schemas.openxmlformats.org/markup-compatibility/2006">
          <mc:Choice Requires="x14">
            <control shapeId="53514" r:id="rId255" name="Check Box 266">
              <controlPr defaultSize="0" autoFill="0" autoLine="0" autoPict="0">
                <anchor moveWithCells="1">
                  <from>
                    <xdr:col>9</xdr:col>
                    <xdr:colOff>10886</xdr:colOff>
                    <xdr:row>120</xdr:row>
                    <xdr:rowOff>46264</xdr:rowOff>
                  </from>
                  <to>
                    <xdr:col>10</xdr:col>
                    <xdr:colOff>70757</xdr:colOff>
                    <xdr:row>122</xdr:row>
                    <xdr:rowOff>46264</xdr:rowOff>
                  </to>
                </anchor>
              </controlPr>
            </control>
          </mc:Choice>
        </mc:AlternateContent>
        <mc:AlternateContent xmlns:mc="http://schemas.openxmlformats.org/markup-compatibility/2006">
          <mc:Choice Requires="x14">
            <control shapeId="53515" r:id="rId256" name="Check Box 267">
              <controlPr defaultSize="0" autoFill="0" autoLine="0" autoPict="0">
                <anchor moveWithCells="1">
                  <from>
                    <xdr:col>7</xdr:col>
                    <xdr:colOff>10886</xdr:colOff>
                    <xdr:row>122</xdr:row>
                    <xdr:rowOff>46264</xdr:rowOff>
                  </from>
                  <to>
                    <xdr:col>8</xdr:col>
                    <xdr:colOff>48986</xdr:colOff>
                    <xdr:row>124</xdr:row>
                    <xdr:rowOff>46264</xdr:rowOff>
                  </to>
                </anchor>
              </controlPr>
            </control>
          </mc:Choice>
        </mc:AlternateContent>
        <mc:AlternateContent xmlns:mc="http://schemas.openxmlformats.org/markup-compatibility/2006">
          <mc:Choice Requires="x14">
            <control shapeId="53516" r:id="rId257" name="Check Box 268">
              <controlPr defaultSize="0" autoFill="0" autoLine="0" autoPict="0">
                <anchor moveWithCells="1">
                  <from>
                    <xdr:col>8</xdr:col>
                    <xdr:colOff>0</xdr:colOff>
                    <xdr:row>122</xdr:row>
                    <xdr:rowOff>46264</xdr:rowOff>
                  </from>
                  <to>
                    <xdr:col>9</xdr:col>
                    <xdr:colOff>51707</xdr:colOff>
                    <xdr:row>124</xdr:row>
                    <xdr:rowOff>46264</xdr:rowOff>
                  </to>
                </anchor>
              </controlPr>
            </control>
          </mc:Choice>
        </mc:AlternateContent>
        <mc:AlternateContent xmlns:mc="http://schemas.openxmlformats.org/markup-compatibility/2006">
          <mc:Choice Requires="x14">
            <control shapeId="53517" r:id="rId258" name="Check Box 269">
              <controlPr defaultSize="0" autoFill="0" autoLine="0" autoPict="0">
                <anchor moveWithCells="1">
                  <from>
                    <xdr:col>9</xdr:col>
                    <xdr:colOff>10886</xdr:colOff>
                    <xdr:row>122</xdr:row>
                    <xdr:rowOff>46264</xdr:rowOff>
                  </from>
                  <to>
                    <xdr:col>10</xdr:col>
                    <xdr:colOff>70757</xdr:colOff>
                    <xdr:row>124</xdr:row>
                    <xdr:rowOff>46264</xdr:rowOff>
                  </to>
                </anchor>
              </controlPr>
            </control>
          </mc:Choice>
        </mc:AlternateContent>
        <mc:AlternateContent xmlns:mc="http://schemas.openxmlformats.org/markup-compatibility/2006">
          <mc:Choice Requires="x14">
            <control shapeId="53518" r:id="rId259" name="Check Box 270">
              <controlPr defaultSize="0" autoFill="0" autoLine="0" autoPict="0">
                <anchor moveWithCells="1">
                  <from>
                    <xdr:col>7</xdr:col>
                    <xdr:colOff>10886</xdr:colOff>
                    <xdr:row>124</xdr:row>
                    <xdr:rowOff>46264</xdr:rowOff>
                  </from>
                  <to>
                    <xdr:col>8</xdr:col>
                    <xdr:colOff>48986</xdr:colOff>
                    <xdr:row>126</xdr:row>
                    <xdr:rowOff>46264</xdr:rowOff>
                  </to>
                </anchor>
              </controlPr>
            </control>
          </mc:Choice>
        </mc:AlternateContent>
        <mc:AlternateContent xmlns:mc="http://schemas.openxmlformats.org/markup-compatibility/2006">
          <mc:Choice Requires="x14">
            <control shapeId="53519" r:id="rId260" name="Check Box 271">
              <controlPr defaultSize="0" autoFill="0" autoLine="0" autoPict="0">
                <anchor moveWithCells="1">
                  <from>
                    <xdr:col>8</xdr:col>
                    <xdr:colOff>0</xdr:colOff>
                    <xdr:row>124</xdr:row>
                    <xdr:rowOff>46264</xdr:rowOff>
                  </from>
                  <to>
                    <xdr:col>9</xdr:col>
                    <xdr:colOff>51707</xdr:colOff>
                    <xdr:row>126</xdr:row>
                    <xdr:rowOff>46264</xdr:rowOff>
                  </to>
                </anchor>
              </controlPr>
            </control>
          </mc:Choice>
        </mc:AlternateContent>
        <mc:AlternateContent xmlns:mc="http://schemas.openxmlformats.org/markup-compatibility/2006">
          <mc:Choice Requires="x14">
            <control shapeId="53520" r:id="rId261" name="Check Box 272">
              <controlPr defaultSize="0" autoFill="0" autoLine="0" autoPict="0">
                <anchor moveWithCells="1">
                  <from>
                    <xdr:col>9</xdr:col>
                    <xdr:colOff>10886</xdr:colOff>
                    <xdr:row>124</xdr:row>
                    <xdr:rowOff>46264</xdr:rowOff>
                  </from>
                  <to>
                    <xdr:col>10</xdr:col>
                    <xdr:colOff>70757</xdr:colOff>
                    <xdr:row>126</xdr:row>
                    <xdr:rowOff>46264</xdr:rowOff>
                  </to>
                </anchor>
              </controlPr>
            </control>
          </mc:Choice>
        </mc:AlternateContent>
        <mc:AlternateContent xmlns:mc="http://schemas.openxmlformats.org/markup-compatibility/2006">
          <mc:Choice Requires="x14">
            <control shapeId="53521" r:id="rId262" name="Check Box 273">
              <controlPr defaultSize="0" autoFill="0" autoLine="0" autoPict="0">
                <anchor moveWithCells="1">
                  <from>
                    <xdr:col>7</xdr:col>
                    <xdr:colOff>10886</xdr:colOff>
                    <xdr:row>126</xdr:row>
                    <xdr:rowOff>46264</xdr:rowOff>
                  </from>
                  <to>
                    <xdr:col>8</xdr:col>
                    <xdr:colOff>48986</xdr:colOff>
                    <xdr:row>128</xdr:row>
                    <xdr:rowOff>46264</xdr:rowOff>
                  </to>
                </anchor>
              </controlPr>
            </control>
          </mc:Choice>
        </mc:AlternateContent>
        <mc:AlternateContent xmlns:mc="http://schemas.openxmlformats.org/markup-compatibility/2006">
          <mc:Choice Requires="x14">
            <control shapeId="53522" r:id="rId263" name="Check Box 274">
              <controlPr defaultSize="0" autoFill="0" autoLine="0" autoPict="0">
                <anchor moveWithCells="1">
                  <from>
                    <xdr:col>8</xdr:col>
                    <xdr:colOff>0</xdr:colOff>
                    <xdr:row>126</xdr:row>
                    <xdr:rowOff>46264</xdr:rowOff>
                  </from>
                  <to>
                    <xdr:col>9</xdr:col>
                    <xdr:colOff>51707</xdr:colOff>
                    <xdr:row>128</xdr:row>
                    <xdr:rowOff>46264</xdr:rowOff>
                  </to>
                </anchor>
              </controlPr>
            </control>
          </mc:Choice>
        </mc:AlternateContent>
        <mc:AlternateContent xmlns:mc="http://schemas.openxmlformats.org/markup-compatibility/2006">
          <mc:Choice Requires="x14">
            <control shapeId="53523" r:id="rId264" name="Check Box 275">
              <controlPr defaultSize="0" autoFill="0" autoLine="0" autoPict="0">
                <anchor moveWithCells="1">
                  <from>
                    <xdr:col>9</xdr:col>
                    <xdr:colOff>10886</xdr:colOff>
                    <xdr:row>126</xdr:row>
                    <xdr:rowOff>46264</xdr:rowOff>
                  </from>
                  <to>
                    <xdr:col>10</xdr:col>
                    <xdr:colOff>70757</xdr:colOff>
                    <xdr:row>128</xdr:row>
                    <xdr:rowOff>46264</xdr:rowOff>
                  </to>
                </anchor>
              </controlPr>
            </control>
          </mc:Choice>
        </mc:AlternateContent>
        <mc:AlternateContent xmlns:mc="http://schemas.openxmlformats.org/markup-compatibility/2006">
          <mc:Choice Requires="x14">
            <control shapeId="53524" r:id="rId265" name="Check Box 276">
              <controlPr defaultSize="0" autoFill="0" autoLine="0" autoPict="0">
                <anchor moveWithCells="1">
                  <from>
                    <xdr:col>7</xdr:col>
                    <xdr:colOff>10886</xdr:colOff>
                    <xdr:row>128</xdr:row>
                    <xdr:rowOff>46264</xdr:rowOff>
                  </from>
                  <to>
                    <xdr:col>8</xdr:col>
                    <xdr:colOff>48986</xdr:colOff>
                    <xdr:row>130</xdr:row>
                    <xdr:rowOff>46264</xdr:rowOff>
                  </to>
                </anchor>
              </controlPr>
            </control>
          </mc:Choice>
        </mc:AlternateContent>
        <mc:AlternateContent xmlns:mc="http://schemas.openxmlformats.org/markup-compatibility/2006">
          <mc:Choice Requires="x14">
            <control shapeId="53525" r:id="rId266" name="Check Box 277">
              <controlPr defaultSize="0" autoFill="0" autoLine="0" autoPict="0">
                <anchor moveWithCells="1">
                  <from>
                    <xdr:col>8</xdr:col>
                    <xdr:colOff>0</xdr:colOff>
                    <xdr:row>128</xdr:row>
                    <xdr:rowOff>46264</xdr:rowOff>
                  </from>
                  <to>
                    <xdr:col>9</xdr:col>
                    <xdr:colOff>51707</xdr:colOff>
                    <xdr:row>130</xdr:row>
                    <xdr:rowOff>46264</xdr:rowOff>
                  </to>
                </anchor>
              </controlPr>
            </control>
          </mc:Choice>
        </mc:AlternateContent>
        <mc:AlternateContent xmlns:mc="http://schemas.openxmlformats.org/markup-compatibility/2006">
          <mc:Choice Requires="x14">
            <control shapeId="53526" r:id="rId267" name="Check Box 278">
              <controlPr defaultSize="0" autoFill="0" autoLine="0" autoPict="0">
                <anchor moveWithCells="1">
                  <from>
                    <xdr:col>9</xdr:col>
                    <xdr:colOff>10886</xdr:colOff>
                    <xdr:row>128</xdr:row>
                    <xdr:rowOff>46264</xdr:rowOff>
                  </from>
                  <to>
                    <xdr:col>10</xdr:col>
                    <xdr:colOff>70757</xdr:colOff>
                    <xdr:row>130</xdr:row>
                    <xdr:rowOff>46264</xdr:rowOff>
                  </to>
                </anchor>
              </controlPr>
            </control>
          </mc:Choice>
        </mc:AlternateContent>
        <mc:AlternateContent xmlns:mc="http://schemas.openxmlformats.org/markup-compatibility/2006">
          <mc:Choice Requires="x14">
            <control shapeId="53527" r:id="rId268" name="Check Box 279">
              <controlPr defaultSize="0" autoFill="0" autoLine="0" autoPict="0">
                <anchor moveWithCells="1">
                  <from>
                    <xdr:col>7</xdr:col>
                    <xdr:colOff>10886</xdr:colOff>
                    <xdr:row>130</xdr:row>
                    <xdr:rowOff>46264</xdr:rowOff>
                  </from>
                  <to>
                    <xdr:col>8</xdr:col>
                    <xdr:colOff>48986</xdr:colOff>
                    <xdr:row>132</xdr:row>
                    <xdr:rowOff>46264</xdr:rowOff>
                  </to>
                </anchor>
              </controlPr>
            </control>
          </mc:Choice>
        </mc:AlternateContent>
        <mc:AlternateContent xmlns:mc="http://schemas.openxmlformats.org/markup-compatibility/2006">
          <mc:Choice Requires="x14">
            <control shapeId="53528" r:id="rId269" name="Check Box 280">
              <controlPr defaultSize="0" autoFill="0" autoLine="0" autoPict="0">
                <anchor moveWithCells="1">
                  <from>
                    <xdr:col>8</xdr:col>
                    <xdr:colOff>0</xdr:colOff>
                    <xdr:row>130</xdr:row>
                    <xdr:rowOff>46264</xdr:rowOff>
                  </from>
                  <to>
                    <xdr:col>9</xdr:col>
                    <xdr:colOff>51707</xdr:colOff>
                    <xdr:row>132</xdr:row>
                    <xdr:rowOff>46264</xdr:rowOff>
                  </to>
                </anchor>
              </controlPr>
            </control>
          </mc:Choice>
        </mc:AlternateContent>
        <mc:AlternateContent xmlns:mc="http://schemas.openxmlformats.org/markup-compatibility/2006">
          <mc:Choice Requires="x14">
            <control shapeId="53529" r:id="rId270" name="Check Box 281">
              <controlPr defaultSize="0" autoFill="0" autoLine="0" autoPict="0">
                <anchor moveWithCells="1">
                  <from>
                    <xdr:col>9</xdr:col>
                    <xdr:colOff>10886</xdr:colOff>
                    <xdr:row>130</xdr:row>
                    <xdr:rowOff>46264</xdr:rowOff>
                  </from>
                  <to>
                    <xdr:col>10</xdr:col>
                    <xdr:colOff>70757</xdr:colOff>
                    <xdr:row>132</xdr:row>
                    <xdr:rowOff>46264</xdr:rowOff>
                  </to>
                </anchor>
              </controlPr>
            </control>
          </mc:Choice>
        </mc:AlternateContent>
        <mc:AlternateContent xmlns:mc="http://schemas.openxmlformats.org/markup-compatibility/2006">
          <mc:Choice Requires="x14">
            <control shapeId="53530" r:id="rId271" name="Check Box 282">
              <controlPr defaultSize="0" autoFill="0" autoLine="0" autoPict="0">
                <anchor moveWithCells="1">
                  <from>
                    <xdr:col>7</xdr:col>
                    <xdr:colOff>10886</xdr:colOff>
                    <xdr:row>132</xdr:row>
                    <xdr:rowOff>46264</xdr:rowOff>
                  </from>
                  <to>
                    <xdr:col>8</xdr:col>
                    <xdr:colOff>48986</xdr:colOff>
                    <xdr:row>134</xdr:row>
                    <xdr:rowOff>46264</xdr:rowOff>
                  </to>
                </anchor>
              </controlPr>
            </control>
          </mc:Choice>
        </mc:AlternateContent>
        <mc:AlternateContent xmlns:mc="http://schemas.openxmlformats.org/markup-compatibility/2006">
          <mc:Choice Requires="x14">
            <control shapeId="53531" r:id="rId272" name="Check Box 283">
              <controlPr defaultSize="0" autoFill="0" autoLine="0" autoPict="0">
                <anchor moveWithCells="1">
                  <from>
                    <xdr:col>8</xdr:col>
                    <xdr:colOff>0</xdr:colOff>
                    <xdr:row>132</xdr:row>
                    <xdr:rowOff>46264</xdr:rowOff>
                  </from>
                  <to>
                    <xdr:col>9</xdr:col>
                    <xdr:colOff>51707</xdr:colOff>
                    <xdr:row>134</xdr:row>
                    <xdr:rowOff>46264</xdr:rowOff>
                  </to>
                </anchor>
              </controlPr>
            </control>
          </mc:Choice>
        </mc:AlternateContent>
        <mc:AlternateContent xmlns:mc="http://schemas.openxmlformats.org/markup-compatibility/2006">
          <mc:Choice Requires="x14">
            <control shapeId="53532" r:id="rId273" name="Check Box 284">
              <controlPr defaultSize="0" autoFill="0" autoLine="0" autoPict="0">
                <anchor moveWithCells="1">
                  <from>
                    <xdr:col>9</xdr:col>
                    <xdr:colOff>10886</xdr:colOff>
                    <xdr:row>132</xdr:row>
                    <xdr:rowOff>46264</xdr:rowOff>
                  </from>
                  <to>
                    <xdr:col>10</xdr:col>
                    <xdr:colOff>70757</xdr:colOff>
                    <xdr:row>134</xdr:row>
                    <xdr:rowOff>46264</xdr:rowOff>
                  </to>
                </anchor>
              </controlPr>
            </control>
          </mc:Choice>
        </mc:AlternateContent>
        <mc:AlternateContent xmlns:mc="http://schemas.openxmlformats.org/markup-compatibility/2006">
          <mc:Choice Requires="x14">
            <control shapeId="53533" r:id="rId274" name="Check Box 285">
              <controlPr defaultSize="0" autoFill="0" autoLine="0" autoPict="0">
                <anchor moveWithCells="1">
                  <from>
                    <xdr:col>7</xdr:col>
                    <xdr:colOff>10886</xdr:colOff>
                    <xdr:row>135</xdr:row>
                    <xdr:rowOff>46264</xdr:rowOff>
                  </from>
                  <to>
                    <xdr:col>8</xdr:col>
                    <xdr:colOff>48986</xdr:colOff>
                    <xdr:row>137</xdr:row>
                    <xdr:rowOff>46264</xdr:rowOff>
                  </to>
                </anchor>
              </controlPr>
            </control>
          </mc:Choice>
        </mc:AlternateContent>
        <mc:AlternateContent xmlns:mc="http://schemas.openxmlformats.org/markup-compatibility/2006">
          <mc:Choice Requires="x14">
            <control shapeId="53534" r:id="rId275" name="Check Box 286">
              <controlPr defaultSize="0" autoFill="0" autoLine="0" autoPict="0">
                <anchor moveWithCells="1">
                  <from>
                    <xdr:col>8</xdr:col>
                    <xdr:colOff>0</xdr:colOff>
                    <xdr:row>135</xdr:row>
                    <xdr:rowOff>46264</xdr:rowOff>
                  </from>
                  <to>
                    <xdr:col>9</xdr:col>
                    <xdr:colOff>51707</xdr:colOff>
                    <xdr:row>137</xdr:row>
                    <xdr:rowOff>46264</xdr:rowOff>
                  </to>
                </anchor>
              </controlPr>
            </control>
          </mc:Choice>
        </mc:AlternateContent>
        <mc:AlternateContent xmlns:mc="http://schemas.openxmlformats.org/markup-compatibility/2006">
          <mc:Choice Requires="x14">
            <control shapeId="53535" r:id="rId276" name="Check Box 287">
              <controlPr defaultSize="0" autoFill="0" autoLine="0" autoPict="0">
                <anchor moveWithCells="1">
                  <from>
                    <xdr:col>9</xdr:col>
                    <xdr:colOff>10886</xdr:colOff>
                    <xdr:row>135</xdr:row>
                    <xdr:rowOff>46264</xdr:rowOff>
                  </from>
                  <to>
                    <xdr:col>10</xdr:col>
                    <xdr:colOff>70757</xdr:colOff>
                    <xdr:row>137</xdr:row>
                    <xdr:rowOff>46264</xdr:rowOff>
                  </to>
                </anchor>
              </controlPr>
            </control>
          </mc:Choice>
        </mc:AlternateContent>
        <mc:AlternateContent xmlns:mc="http://schemas.openxmlformats.org/markup-compatibility/2006">
          <mc:Choice Requires="x14">
            <control shapeId="53536" r:id="rId277" name="Check Box 288">
              <controlPr defaultSize="0" autoFill="0" autoLine="0" autoPict="0">
                <anchor moveWithCells="1">
                  <from>
                    <xdr:col>7</xdr:col>
                    <xdr:colOff>10886</xdr:colOff>
                    <xdr:row>137</xdr:row>
                    <xdr:rowOff>46264</xdr:rowOff>
                  </from>
                  <to>
                    <xdr:col>8</xdr:col>
                    <xdr:colOff>48986</xdr:colOff>
                    <xdr:row>139</xdr:row>
                    <xdr:rowOff>46264</xdr:rowOff>
                  </to>
                </anchor>
              </controlPr>
            </control>
          </mc:Choice>
        </mc:AlternateContent>
        <mc:AlternateContent xmlns:mc="http://schemas.openxmlformats.org/markup-compatibility/2006">
          <mc:Choice Requires="x14">
            <control shapeId="53537" r:id="rId278" name="Check Box 289">
              <controlPr defaultSize="0" autoFill="0" autoLine="0" autoPict="0">
                <anchor moveWithCells="1">
                  <from>
                    <xdr:col>8</xdr:col>
                    <xdr:colOff>0</xdr:colOff>
                    <xdr:row>137</xdr:row>
                    <xdr:rowOff>46264</xdr:rowOff>
                  </from>
                  <to>
                    <xdr:col>9</xdr:col>
                    <xdr:colOff>51707</xdr:colOff>
                    <xdr:row>139</xdr:row>
                    <xdr:rowOff>46264</xdr:rowOff>
                  </to>
                </anchor>
              </controlPr>
            </control>
          </mc:Choice>
        </mc:AlternateContent>
        <mc:AlternateContent xmlns:mc="http://schemas.openxmlformats.org/markup-compatibility/2006">
          <mc:Choice Requires="x14">
            <control shapeId="53538" r:id="rId279" name="Check Box 290">
              <controlPr defaultSize="0" autoFill="0" autoLine="0" autoPict="0">
                <anchor moveWithCells="1">
                  <from>
                    <xdr:col>9</xdr:col>
                    <xdr:colOff>10886</xdr:colOff>
                    <xdr:row>137</xdr:row>
                    <xdr:rowOff>46264</xdr:rowOff>
                  </from>
                  <to>
                    <xdr:col>10</xdr:col>
                    <xdr:colOff>70757</xdr:colOff>
                    <xdr:row>139</xdr:row>
                    <xdr:rowOff>46264</xdr:rowOff>
                  </to>
                </anchor>
              </controlPr>
            </control>
          </mc:Choice>
        </mc:AlternateContent>
        <mc:AlternateContent xmlns:mc="http://schemas.openxmlformats.org/markup-compatibility/2006">
          <mc:Choice Requires="x14">
            <control shapeId="53539" r:id="rId280" name="Check Box 291">
              <controlPr defaultSize="0" autoFill="0" autoLine="0" autoPict="0">
                <anchor moveWithCells="1">
                  <from>
                    <xdr:col>7</xdr:col>
                    <xdr:colOff>10886</xdr:colOff>
                    <xdr:row>139</xdr:row>
                    <xdr:rowOff>46264</xdr:rowOff>
                  </from>
                  <to>
                    <xdr:col>8</xdr:col>
                    <xdr:colOff>48986</xdr:colOff>
                    <xdr:row>141</xdr:row>
                    <xdr:rowOff>46264</xdr:rowOff>
                  </to>
                </anchor>
              </controlPr>
            </control>
          </mc:Choice>
        </mc:AlternateContent>
        <mc:AlternateContent xmlns:mc="http://schemas.openxmlformats.org/markup-compatibility/2006">
          <mc:Choice Requires="x14">
            <control shapeId="53540" r:id="rId281" name="Check Box 292">
              <controlPr defaultSize="0" autoFill="0" autoLine="0" autoPict="0">
                <anchor moveWithCells="1">
                  <from>
                    <xdr:col>8</xdr:col>
                    <xdr:colOff>0</xdr:colOff>
                    <xdr:row>139</xdr:row>
                    <xdr:rowOff>46264</xdr:rowOff>
                  </from>
                  <to>
                    <xdr:col>9</xdr:col>
                    <xdr:colOff>51707</xdr:colOff>
                    <xdr:row>141</xdr:row>
                    <xdr:rowOff>46264</xdr:rowOff>
                  </to>
                </anchor>
              </controlPr>
            </control>
          </mc:Choice>
        </mc:AlternateContent>
        <mc:AlternateContent xmlns:mc="http://schemas.openxmlformats.org/markup-compatibility/2006">
          <mc:Choice Requires="x14">
            <control shapeId="53541" r:id="rId282" name="Check Box 293">
              <controlPr defaultSize="0" autoFill="0" autoLine="0" autoPict="0">
                <anchor moveWithCells="1">
                  <from>
                    <xdr:col>9</xdr:col>
                    <xdr:colOff>10886</xdr:colOff>
                    <xdr:row>139</xdr:row>
                    <xdr:rowOff>46264</xdr:rowOff>
                  </from>
                  <to>
                    <xdr:col>10</xdr:col>
                    <xdr:colOff>70757</xdr:colOff>
                    <xdr:row>141</xdr:row>
                    <xdr:rowOff>46264</xdr:rowOff>
                  </to>
                </anchor>
              </controlPr>
            </control>
          </mc:Choice>
        </mc:AlternateContent>
        <mc:AlternateContent xmlns:mc="http://schemas.openxmlformats.org/markup-compatibility/2006">
          <mc:Choice Requires="x14">
            <control shapeId="53545" r:id="rId283" name="Check Box 297">
              <controlPr defaultSize="0" autoFill="0" autoLine="0" autoPict="0">
                <anchor moveWithCells="1">
                  <from>
                    <xdr:col>1</xdr:col>
                    <xdr:colOff>10886</xdr:colOff>
                    <xdr:row>86</xdr:row>
                    <xdr:rowOff>46264</xdr:rowOff>
                  </from>
                  <to>
                    <xdr:col>2</xdr:col>
                    <xdr:colOff>59871</xdr:colOff>
                    <xdr:row>88</xdr:row>
                    <xdr:rowOff>46264</xdr:rowOff>
                  </to>
                </anchor>
              </controlPr>
            </control>
          </mc:Choice>
        </mc:AlternateContent>
        <mc:AlternateContent xmlns:mc="http://schemas.openxmlformats.org/markup-compatibility/2006">
          <mc:Choice Requires="x14">
            <control shapeId="53546" r:id="rId284" name="Check Box 298">
              <controlPr defaultSize="0" autoFill="0" autoLine="0" autoPict="0">
                <anchor moveWithCells="1">
                  <from>
                    <xdr:col>2</xdr:col>
                    <xdr:colOff>0</xdr:colOff>
                    <xdr:row>86</xdr:row>
                    <xdr:rowOff>46264</xdr:rowOff>
                  </from>
                  <to>
                    <xdr:col>3</xdr:col>
                    <xdr:colOff>59871</xdr:colOff>
                    <xdr:row>88</xdr:row>
                    <xdr:rowOff>46264</xdr:rowOff>
                  </to>
                </anchor>
              </controlPr>
            </control>
          </mc:Choice>
        </mc:AlternateContent>
        <mc:AlternateContent xmlns:mc="http://schemas.openxmlformats.org/markup-compatibility/2006">
          <mc:Choice Requires="x14">
            <control shapeId="53547" r:id="rId285" name="Check Box 299">
              <controlPr defaultSize="0" autoFill="0" autoLine="0" autoPict="0">
                <anchor moveWithCells="1">
                  <from>
                    <xdr:col>3</xdr:col>
                    <xdr:colOff>10886</xdr:colOff>
                    <xdr:row>86</xdr:row>
                    <xdr:rowOff>46264</xdr:rowOff>
                  </from>
                  <to>
                    <xdr:col>4</xdr:col>
                    <xdr:colOff>81643</xdr:colOff>
                    <xdr:row>88</xdr:row>
                    <xdr:rowOff>46264</xdr:rowOff>
                  </to>
                </anchor>
              </controlPr>
            </control>
          </mc:Choice>
        </mc:AlternateContent>
        <mc:AlternateContent xmlns:mc="http://schemas.openxmlformats.org/markup-compatibility/2006">
          <mc:Choice Requires="x14">
            <control shapeId="53548" r:id="rId286" name="Check Box 300">
              <controlPr defaultSize="0" autoFill="0" autoLine="0" autoPict="0">
                <anchor moveWithCells="1">
                  <from>
                    <xdr:col>1</xdr:col>
                    <xdr:colOff>10886</xdr:colOff>
                    <xdr:row>88</xdr:row>
                    <xdr:rowOff>46264</xdr:rowOff>
                  </from>
                  <to>
                    <xdr:col>2</xdr:col>
                    <xdr:colOff>59871</xdr:colOff>
                    <xdr:row>90</xdr:row>
                    <xdr:rowOff>46264</xdr:rowOff>
                  </to>
                </anchor>
              </controlPr>
            </control>
          </mc:Choice>
        </mc:AlternateContent>
        <mc:AlternateContent xmlns:mc="http://schemas.openxmlformats.org/markup-compatibility/2006">
          <mc:Choice Requires="x14">
            <control shapeId="53549" r:id="rId287" name="Check Box 301">
              <controlPr defaultSize="0" autoFill="0" autoLine="0" autoPict="0">
                <anchor moveWithCells="1">
                  <from>
                    <xdr:col>2</xdr:col>
                    <xdr:colOff>0</xdr:colOff>
                    <xdr:row>88</xdr:row>
                    <xdr:rowOff>46264</xdr:rowOff>
                  </from>
                  <to>
                    <xdr:col>3</xdr:col>
                    <xdr:colOff>59871</xdr:colOff>
                    <xdr:row>90</xdr:row>
                    <xdr:rowOff>46264</xdr:rowOff>
                  </to>
                </anchor>
              </controlPr>
            </control>
          </mc:Choice>
        </mc:AlternateContent>
        <mc:AlternateContent xmlns:mc="http://schemas.openxmlformats.org/markup-compatibility/2006">
          <mc:Choice Requires="x14">
            <control shapeId="53550" r:id="rId288" name="Check Box 302">
              <controlPr defaultSize="0" autoFill="0" autoLine="0" autoPict="0">
                <anchor moveWithCells="1">
                  <from>
                    <xdr:col>3</xdr:col>
                    <xdr:colOff>10886</xdr:colOff>
                    <xdr:row>88</xdr:row>
                    <xdr:rowOff>46264</xdr:rowOff>
                  </from>
                  <to>
                    <xdr:col>4</xdr:col>
                    <xdr:colOff>81643</xdr:colOff>
                    <xdr:row>90</xdr:row>
                    <xdr:rowOff>46264</xdr:rowOff>
                  </to>
                </anchor>
              </controlPr>
            </control>
          </mc:Choice>
        </mc:AlternateContent>
        <mc:AlternateContent xmlns:mc="http://schemas.openxmlformats.org/markup-compatibility/2006">
          <mc:Choice Requires="x14">
            <control shapeId="53551" r:id="rId289" name="Check Box 303">
              <controlPr defaultSize="0" autoFill="0" autoLine="0" autoPict="0">
                <anchor moveWithCells="1">
                  <from>
                    <xdr:col>1</xdr:col>
                    <xdr:colOff>10886</xdr:colOff>
                    <xdr:row>90</xdr:row>
                    <xdr:rowOff>46264</xdr:rowOff>
                  </from>
                  <to>
                    <xdr:col>2</xdr:col>
                    <xdr:colOff>59871</xdr:colOff>
                    <xdr:row>92</xdr:row>
                    <xdr:rowOff>46264</xdr:rowOff>
                  </to>
                </anchor>
              </controlPr>
            </control>
          </mc:Choice>
        </mc:AlternateContent>
        <mc:AlternateContent xmlns:mc="http://schemas.openxmlformats.org/markup-compatibility/2006">
          <mc:Choice Requires="x14">
            <control shapeId="53552" r:id="rId290" name="Check Box 304">
              <controlPr defaultSize="0" autoFill="0" autoLine="0" autoPict="0">
                <anchor moveWithCells="1">
                  <from>
                    <xdr:col>2</xdr:col>
                    <xdr:colOff>0</xdr:colOff>
                    <xdr:row>90</xdr:row>
                    <xdr:rowOff>46264</xdr:rowOff>
                  </from>
                  <to>
                    <xdr:col>3</xdr:col>
                    <xdr:colOff>59871</xdr:colOff>
                    <xdr:row>92</xdr:row>
                    <xdr:rowOff>46264</xdr:rowOff>
                  </to>
                </anchor>
              </controlPr>
            </control>
          </mc:Choice>
        </mc:AlternateContent>
        <mc:AlternateContent xmlns:mc="http://schemas.openxmlformats.org/markup-compatibility/2006">
          <mc:Choice Requires="x14">
            <control shapeId="53553" r:id="rId291" name="Check Box 305">
              <controlPr defaultSize="0" autoFill="0" autoLine="0" autoPict="0">
                <anchor moveWithCells="1">
                  <from>
                    <xdr:col>3</xdr:col>
                    <xdr:colOff>10886</xdr:colOff>
                    <xdr:row>90</xdr:row>
                    <xdr:rowOff>46264</xdr:rowOff>
                  </from>
                  <to>
                    <xdr:col>4</xdr:col>
                    <xdr:colOff>81643</xdr:colOff>
                    <xdr:row>92</xdr:row>
                    <xdr:rowOff>46264</xdr:rowOff>
                  </to>
                </anchor>
              </controlPr>
            </control>
          </mc:Choice>
        </mc:AlternateContent>
        <mc:AlternateContent xmlns:mc="http://schemas.openxmlformats.org/markup-compatibility/2006">
          <mc:Choice Requires="x14">
            <control shapeId="53554" r:id="rId292" name="Check Box 306">
              <controlPr defaultSize="0" autoFill="0" autoLine="0" autoPict="0">
                <anchor moveWithCells="1">
                  <from>
                    <xdr:col>1</xdr:col>
                    <xdr:colOff>10886</xdr:colOff>
                    <xdr:row>93</xdr:row>
                    <xdr:rowOff>46264</xdr:rowOff>
                  </from>
                  <to>
                    <xdr:col>2</xdr:col>
                    <xdr:colOff>59871</xdr:colOff>
                    <xdr:row>95</xdr:row>
                    <xdr:rowOff>46264</xdr:rowOff>
                  </to>
                </anchor>
              </controlPr>
            </control>
          </mc:Choice>
        </mc:AlternateContent>
        <mc:AlternateContent xmlns:mc="http://schemas.openxmlformats.org/markup-compatibility/2006">
          <mc:Choice Requires="x14">
            <control shapeId="53555" r:id="rId293" name="Check Box 307">
              <controlPr defaultSize="0" autoFill="0" autoLine="0" autoPict="0">
                <anchor moveWithCells="1">
                  <from>
                    <xdr:col>2</xdr:col>
                    <xdr:colOff>0</xdr:colOff>
                    <xdr:row>93</xdr:row>
                    <xdr:rowOff>46264</xdr:rowOff>
                  </from>
                  <to>
                    <xdr:col>3</xdr:col>
                    <xdr:colOff>59871</xdr:colOff>
                    <xdr:row>95</xdr:row>
                    <xdr:rowOff>46264</xdr:rowOff>
                  </to>
                </anchor>
              </controlPr>
            </control>
          </mc:Choice>
        </mc:AlternateContent>
        <mc:AlternateContent xmlns:mc="http://schemas.openxmlformats.org/markup-compatibility/2006">
          <mc:Choice Requires="x14">
            <control shapeId="53556" r:id="rId294" name="Check Box 308">
              <controlPr defaultSize="0" autoFill="0" autoLine="0" autoPict="0">
                <anchor moveWithCells="1">
                  <from>
                    <xdr:col>3</xdr:col>
                    <xdr:colOff>10886</xdr:colOff>
                    <xdr:row>93</xdr:row>
                    <xdr:rowOff>46264</xdr:rowOff>
                  </from>
                  <to>
                    <xdr:col>4</xdr:col>
                    <xdr:colOff>81643</xdr:colOff>
                    <xdr:row>95</xdr:row>
                    <xdr:rowOff>46264</xdr:rowOff>
                  </to>
                </anchor>
              </controlPr>
            </control>
          </mc:Choice>
        </mc:AlternateContent>
        <mc:AlternateContent xmlns:mc="http://schemas.openxmlformats.org/markup-compatibility/2006">
          <mc:Choice Requires="x14">
            <control shapeId="53557" r:id="rId295" name="Check Box 309">
              <controlPr defaultSize="0" autoFill="0" autoLine="0" autoPict="0">
                <anchor moveWithCells="1">
                  <from>
                    <xdr:col>1</xdr:col>
                    <xdr:colOff>10886</xdr:colOff>
                    <xdr:row>95</xdr:row>
                    <xdr:rowOff>46264</xdr:rowOff>
                  </from>
                  <to>
                    <xdr:col>2</xdr:col>
                    <xdr:colOff>59871</xdr:colOff>
                    <xdr:row>97</xdr:row>
                    <xdr:rowOff>46264</xdr:rowOff>
                  </to>
                </anchor>
              </controlPr>
            </control>
          </mc:Choice>
        </mc:AlternateContent>
        <mc:AlternateContent xmlns:mc="http://schemas.openxmlformats.org/markup-compatibility/2006">
          <mc:Choice Requires="x14">
            <control shapeId="53558" r:id="rId296" name="Check Box 310">
              <controlPr defaultSize="0" autoFill="0" autoLine="0" autoPict="0">
                <anchor moveWithCells="1">
                  <from>
                    <xdr:col>2</xdr:col>
                    <xdr:colOff>0</xdr:colOff>
                    <xdr:row>95</xdr:row>
                    <xdr:rowOff>46264</xdr:rowOff>
                  </from>
                  <to>
                    <xdr:col>3</xdr:col>
                    <xdr:colOff>59871</xdr:colOff>
                    <xdr:row>97</xdr:row>
                    <xdr:rowOff>46264</xdr:rowOff>
                  </to>
                </anchor>
              </controlPr>
            </control>
          </mc:Choice>
        </mc:AlternateContent>
        <mc:AlternateContent xmlns:mc="http://schemas.openxmlformats.org/markup-compatibility/2006">
          <mc:Choice Requires="x14">
            <control shapeId="53559" r:id="rId297" name="Check Box 311">
              <controlPr defaultSize="0" autoFill="0" autoLine="0" autoPict="0">
                <anchor moveWithCells="1">
                  <from>
                    <xdr:col>3</xdr:col>
                    <xdr:colOff>10886</xdr:colOff>
                    <xdr:row>95</xdr:row>
                    <xdr:rowOff>46264</xdr:rowOff>
                  </from>
                  <to>
                    <xdr:col>4</xdr:col>
                    <xdr:colOff>81643</xdr:colOff>
                    <xdr:row>97</xdr:row>
                    <xdr:rowOff>46264</xdr:rowOff>
                  </to>
                </anchor>
              </controlPr>
            </control>
          </mc:Choice>
        </mc:AlternateContent>
        <mc:AlternateContent xmlns:mc="http://schemas.openxmlformats.org/markup-compatibility/2006">
          <mc:Choice Requires="x14">
            <control shapeId="53560" r:id="rId298" name="Check Box 312">
              <controlPr defaultSize="0" autoFill="0" autoLine="0" autoPict="0">
                <anchor moveWithCells="1">
                  <from>
                    <xdr:col>1</xdr:col>
                    <xdr:colOff>10886</xdr:colOff>
                    <xdr:row>97</xdr:row>
                    <xdr:rowOff>46264</xdr:rowOff>
                  </from>
                  <to>
                    <xdr:col>2</xdr:col>
                    <xdr:colOff>59871</xdr:colOff>
                    <xdr:row>99</xdr:row>
                    <xdr:rowOff>46264</xdr:rowOff>
                  </to>
                </anchor>
              </controlPr>
            </control>
          </mc:Choice>
        </mc:AlternateContent>
        <mc:AlternateContent xmlns:mc="http://schemas.openxmlformats.org/markup-compatibility/2006">
          <mc:Choice Requires="x14">
            <control shapeId="53561" r:id="rId299" name="Check Box 313">
              <controlPr defaultSize="0" autoFill="0" autoLine="0" autoPict="0">
                <anchor moveWithCells="1">
                  <from>
                    <xdr:col>2</xdr:col>
                    <xdr:colOff>0</xdr:colOff>
                    <xdr:row>97</xdr:row>
                    <xdr:rowOff>46264</xdr:rowOff>
                  </from>
                  <to>
                    <xdr:col>3</xdr:col>
                    <xdr:colOff>59871</xdr:colOff>
                    <xdr:row>99</xdr:row>
                    <xdr:rowOff>46264</xdr:rowOff>
                  </to>
                </anchor>
              </controlPr>
            </control>
          </mc:Choice>
        </mc:AlternateContent>
        <mc:AlternateContent xmlns:mc="http://schemas.openxmlformats.org/markup-compatibility/2006">
          <mc:Choice Requires="x14">
            <control shapeId="53562" r:id="rId300" name="Check Box 314">
              <controlPr defaultSize="0" autoFill="0" autoLine="0" autoPict="0">
                <anchor moveWithCells="1">
                  <from>
                    <xdr:col>3</xdr:col>
                    <xdr:colOff>10886</xdr:colOff>
                    <xdr:row>97</xdr:row>
                    <xdr:rowOff>46264</xdr:rowOff>
                  </from>
                  <to>
                    <xdr:col>4</xdr:col>
                    <xdr:colOff>81643</xdr:colOff>
                    <xdr:row>99</xdr:row>
                    <xdr:rowOff>46264</xdr:rowOff>
                  </to>
                </anchor>
              </controlPr>
            </control>
          </mc:Choice>
        </mc:AlternateContent>
        <mc:AlternateContent xmlns:mc="http://schemas.openxmlformats.org/markup-compatibility/2006">
          <mc:Choice Requires="x14">
            <control shapeId="53563" r:id="rId301" name="Check Box 315">
              <controlPr defaultSize="0" autoFill="0" autoLine="0" autoPict="0">
                <anchor moveWithCells="1">
                  <from>
                    <xdr:col>1</xdr:col>
                    <xdr:colOff>10886</xdr:colOff>
                    <xdr:row>100</xdr:row>
                    <xdr:rowOff>46264</xdr:rowOff>
                  </from>
                  <to>
                    <xdr:col>2</xdr:col>
                    <xdr:colOff>59871</xdr:colOff>
                    <xdr:row>102</xdr:row>
                    <xdr:rowOff>46264</xdr:rowOff>
                  </to>
                </anchor>
              </controlPr>
            </control>
          </mc:Choice>
        </mc:AlternateContent>
        <mc:AlternateContent xmlns:mc="http://schemas.openxmlformats.org/markup-compatibility/2006">
          <mc:Choice Requires="x14">
            <control shapeId="53564" r:id="rId302" name="Check Box 316">
              <controlPr defaultSize="0" autoFill="0" autoLine="0" autoPict="0">
                <anchor moveWithCells="1">
                  <from>
                    <xdr:col>2</xdr:col>
                    <xdr:colOff>0</xdr:colOff>
                    <xdr:row>100</xdr:row>
                    <xdr:rowOff>46264</xdr:rowOff>
                  </from>
                  <to>
                    <xdr:col>3</xdr:col>
                    <xdr:colOff>59871</xdr:colOff>
                    <xdr:row>102</xdr:row>
                    <xdr:rowOff>46264</xdr:rowOff>
                  </to>
                </anchor>
              </controlPr>
            </control>
          </mc:Choice>
        </mc:AlternateContent>
        <mc:AlternateContent xmlns:mc="http://schemas.openxmlformats.org/markup-compatibility/2006">
          <mc:Choice Requires="x14">
            <control shapeId="53565" r:id="rId303" name="Check Box 317">
              <controlPr defaultSize="0" autoFill="0" autoLine="0" autoPict="0">
                <anchor moveWithCells="1">
                  <from>
                    <xdr:col>3</xdr:col>
                    <xdr:colOff>10886</xdr:colOff>
                    <xdr:row>100</xdr:row>
                    <xdr:rowOff>46264</xdr:rowOff>
                  </from>
                  <to>
                    <xdr:col>4</xdr:col>
                    <xdr:colOff>81643</xdr:colOff>
                    <xdr:row>102</xdr:row>
                    <xdr:rowOff>46264</xdr:rowOff>
                  </to>
                </anchor>
              </controlPr>
            </control>
          </mc:Choice>
        </mc:AlternateContent>
        <mc:AlternateContent xmlns:mc="http://schemas.openxmlformats.org/markup-compatibility/2006">
          <mc:Choice Requires="x14">
            <control shapeId="53570" r:id="rId304" name="Check Box 322">
              <controlPr defaultSize="0" autoFill="0" autoLine="0" autoPict="0">
                <anchor moveWithCells="1">
                  <from>
                    <xdr:col>1</xdr:col>
                    <xdr:colOff>10886</xdr:colOff>
                    <xdr:row>103</xdr:row>
                    <xdr:rowOff>46264</xdr:rowOff>
                  </from>
                  <to>
                    <xdr:col>2</xdr:col>
                    <xdr:colOff>59871</xdr:colOff>
                    <xdr:row>105</xdr:row>
                    <xdr:rowOff>46264</xdr:rowOff>
                  </to>
                </anchor>
              </controlPr>
            </control>
          </mc:Choice>
        </mc:AlternateContent>
        <mc:AlternateContent xmlns:mc="http://schemas.openxmlformats.org/markup-compatibility/2006">
          <mc:Choice Requires="x14">
            <control shapeId="53571" r:id="rId305" name="Check Box 323">
              <controlPr defaultSize="0" autoFill="0" autoLine="0" autoPict="0">
                <anchor moveWithCells="1">
                  <from>
                    <xdr:col>2</xdr:col>
                    <xdr:colOff>0</xdr:colOff>
                    <xdr:row>103</xdr:row>
                    <xdr:rowOff>46264</xdr:rowOff>
                  </from>
                  <to>
                    <xdr:col>3</xdr:col>
                    <xdr:colOff>59871</xdr:colOff>
                    <xdr:row>105</xdr:row>
                    <xdr:rowOff>46264</xdr:rowOff>
                  </to>
                </anchor>
              </controlPr>
            </control>
          </mc:Choice>
        </mc:AlternateContent>
        <mc:AlternateContent xmlns:mc="http://schemas.openxmlformats.org/markup-compatibility/2006">
          <mc:Choice Requires="x14">
            <control shapeId="53572" r:id="rId306" name="Check Box 324">
              <controlPr defaultSize="0" autoFill="0" autoLine="0" autoPict="0">
                <anchor moveWithCells="1">
                  <from>
                    <xdr:col>3</xdr:col>
                    <xdr:colOff>10886</xdr:colOff>
                    <xdr:row>103</xdr:row>
                    <xdr:rowOff>46264</xdr:rowOff>
                  </from>
                  <to>
                    <xdr:col>4</xdr:col>
                    <xdr:colOff>81643</xdr:colOff>
                    <xdr:row>105</xdr:row>
                    <xdr:rowOff>46264</xdr:rowOff>
                  </to>
                </anchor>
              </controlPr>
            </control>
          </mc:Choice>
        </mc:AlternateContent>
        <mc:AlternateContent xmlns:mc="http://schemas.openxmlformats.org/markup-compatibility/2006">
          <mc:Choice Requires="x14">
            <control shapeId="53573" r:id="rId307" name="Check Box 325">
              <controlPr defaultSize="0" autoFill="0" autoLine="0" autoPict="0">
                <anchor moveWithCells="1">
                  <from>
                    <xdr:col>1</xdr:col>
                    <xdr:colOff>10886</xdr:colOff>
                    <xdr:row>108</xdr:row>
                    <xdr:rowOff>46264</xdr:rowOff>
                  </from>
                  <to>
                    <xdr:col>2</xdr:col>
                    <xdr:colOff>59871</xdr:colOff>
                    <xdr:row>110</xdr:row>
                    <xdr:rowOff>46264</xdr:rowOff>
                  </to>
                </anchor>
              </controlPr>
            </control>
          </mc:Choice>
        </mc:AlternateContent>
        <mc:AlternateContent xmlns:mc="http://schemas.openxmlformats.org/markup-compatibility/2006">
          <mc:Choice Requires="x14">
            <control shapeId="53574" r:id="rId308" name="Check Box 326">
              <controlPr defaultSize="0" autoFill="0" autoLine="0" autoPict="0">
                <anchor moveWithCells="1">
                  <from>
                    <xdr:col>2</xdr:col>
                    <xdr:colOff>0</xdr:colOff>
                    <xdr:row>108</xdr:row>
                    <xdr:rowOff>46264</xdr:rowOff>
                  </from>
                  <to>
                    <xdr:col>3</xdr:col>
                    <xdr:colOff>59871</xdr:colOff>
                    <xdr:row>110</xdr:row>
                    <xdr:rowOff>46264</xdr:rowOff>
                  </to>
                </anchor>
              </controlPr>
            </control>
          </mc:Choice>
        </mc:AlternateContent>
        <mc:AlternateContent xmlns:mc="http://schemas.openxmlformats.org/markup-compatibility/2006">
          <mc:Choice Requires="x14">
            <control shapeId="53575" r:id="rId309" name="Check Box 327">
              <controlPr defaultSize="0" autoFill="0" autoLine="0" autoPict="0">
                <anchor moveWithCells="1">
                  <from>
                    <xdr:col>3</xdr:col>
                    <xdr:colOff>10886</xdr:colOff>
                    <xdr:row>108</xdr:row>
                    <xdr:rowOff>46264</xdr:rowOff>
                  </from>
                  <to>
                    <xdr:col>4</xdr:col>
                    <xdr:colOff>81643</xdr:colOff>
                    <xdr:row>110</xdr:row>
                    <xdr:rowOff>46264</xdr:rowOff>
                  </to>
                </anchor>
              </controlPr>
            </control>
          </mc:Choice>
        </mc:AlternateContent>
        <mc:AlternateContent xmlns:mc="http://schemas.openxmlformats.org/markup-compatibility/2006">
          <mc:Choice Requires="x14">
            <control shapeId="53576" r:id="rId310" name="Check Box 328">
              <controlPr defaultSize="0" autoFill="0" autoLine="0" autoPict="0">
                <anchor moveWithCells="1">
                  <from>
                    <xdr:col>1</xdr:col>
                    <xdr:colOff>10886</xdr:colOff>
                    <xdr:row>111</xdr:row>
                    <xdr:rowOff>46264</xdr:rowOff>
                  </from>
                  <to>
                    <xdr:col>2</xdr:col>
                    <xdr:colOff>59871</xdr:colOff>
                    <xdr:row>113</xdr:row>
                    <xdr:rowOff>46264</xdr:rowOff>
                  </to>
                </anchor>
              </controlPr>
            </control>
          </mc:Choice>
        </mc:AlternateContent>
        <mc:AlternateContent xmlns:mc="http://schemas.openxmlformats.org/markup-compatibility/2006">
          <mc:Choice Requires="x14">
            <control shapeId="53577" r:id="rId311" name="Check Box 329">
              <controlPr defaultSize="0" autoFill="0" autoLine="0" autoPict="0">
                <anchor moveWithCells="1">
                  <from>
                    <xdr:col>2</xdr:col>
                    <xdr:colOff>0</xdr:colOff>
                    <xdr:row>111</xdr:row>
                    <xdr:rowOff>46264</xdr:rowOff>
                  </from>
                  <to>
                    <xdr:col>3</xdr:col>
                    <xdr:colOff>59871</xdr:colOff>
                    <xdr:row>113</xdr:row>
                    <xdr:rowOff>46264</xdr:rowOff>
                  </to>
                </anchor>
              </controlPr>
            </control>
          </mc:Choice>
        </mc:AlternateContent>
        <mc:AlternateContent xmlns:mc="http://schemas.openxmlformats.org/markup-compatibility/2006">
          <mc:Choice Requires="x14">
            <control shapeId="53578" r:id="rId312" name="Check Box 330">
              <controlPr defaultSize="0" autoFill="0" autoLine="0" autoPict="0">
                <anchor moveWithCells="1">
                  <from>
                    <xdr:col>3</xdr:col>
                    <xdr:colOff>10886</xdr:colOff>
                    <xdr:row>111</xdr:row>
                    <xdr:rowOff>46264</xdr:rowOff>
                  </from>
                  <to>
                    <xdr:col>4</xdr:col>
                    <xdr:colOff>81643</xdr:colOff>
                    <xdr:row>113</xdr:row>
                    <xdr:rowOff>46264</xdr:rowOff>
                  </to>
                </anchor>
              </controlPr>
            </control>
          </mc:Choice>
        </mc:AlternateContent>
        <mc:AlternateContent xmlns:mc="http://schemas.openxmlformats.org/markup-compatibility/2006">
          <mc:Choice Requires="x14">
            <control shapeId="53579" r:id="rId313" name="Check Box 331">
              <controlPr defaultSize="0" autoFill="0" autoLine="0" autoPict="0">
                <anchor moveWithCells="1">
                  <from>
                    <xdr:col>1</xdr:col>
                    <xdr:colOff>10886</xdr:colOff>
                    <xdr:row>113</xdr:row>
                    <xdr:rowOff>46264</xdr:rowOff>
                  </from>
                  <to>
                    <xdr:col>2</xdr:col>
                    <xdr:colOff>59871</xdr:colOff>
                    <xdr:row>115</xdr:row>
                    <xdr:rowOff>46264</xdr:rowOff>
                  </to>
                </anchor>
              </controlPr>
            </control>
          </mc:Choice>
        </mc:AlternateContent>
        <mc:AlternateContent xmlns:mc="http://schemas.openxmlformats.org/markup-compatibility/2006">
          <mc:Choice Requires="x14">
            <control shapeId="53580" r:id="rId314" name="Check Box 332">
              <controlPr defaultSize="0" autoFill="0" autoLine="0" autoPict="0">
                <anchor moveWithCells="1">
                  <from>
                    <xdr:col>2</xdr:col>
                    <xdr:colOff>0</xdr:colOff>
                    <xdr:row>113</xdr:row>
                    <xdr:rowOff>46264</xdr:rowOff>
                  </from>
                  <to>
                    <xdr:col>3</xdr:col>
                    <xdr:colOff>59871</xdr:colOff>
                    <xdr:row>115</xdr:row>
                    <xdr:rowOff>46264</xdr:rowOff>
                  </to>
                </anchor>
              </controlPr>
            </control>
          </mc:Choice>
        </mc:AlternateContent>
        <mc:AlternateContent xmlns:mc="http://schemas.openxmlformats.org/markup-compatibility/2006">
          <mc:Choice Requires="x14">
            <control shapeId="53581" r:id="rId315" name="Check Box 333">
              <controlPr defaultSize="0" autoFill="0" autoLine="0" autoPict="0">
                <anchor moveWithCells="1">
                  <from>
                    <xdr:col>3</xdr:col>
                    <xdr:colOff>10886</xdr:colOff>
                    <xdr:row>113</xdr:row>
                    <xdr:rowOff>46264</xdr:rowOff>
                  </from>
                  <to>
                    <xdr:col>4</xdr:col>
                    <xdr:colOff>81643</xdr:colOff>
                    <xdr:row>115</xdr:row>
                    <xdr:rowOff>46264</xdr:rowOff>
                  </to>
                </anchor>
              </controlPr>
            </control>
          </mc:Choice>
        </mc:AlternateContent>
        <mc:AlternateContent xmlns:mc="http://schemas.openxmlformats.org/markup-compatibility/2006">
          <mc:Choice Requires="x14">
            <control shapeId="53582" r:id="rId316" name="Check Box 334">
              <controlPr defaultSize="0" autoFill="0" autoLine="0" autoPict="0">
                <anchor moveWithCells="1">
                  <from>
                    <xdr:col>1</xdr:col>
                    <xdr:colOff>10886</xdr:colOff>
                    <xdr:row>115</xdr:row>
                    <xdr:rowOff>46264</xdr:rowOff>
                  </from>
                  <to>
                    <xdr:col>2</xdr:col>
                    <xdr:colOff>59871</xdr:colOff>
                    <xdr:row>117</xdr:row>
                    <xdr:rowOff>46264</xdr:rowOff>
                  </to>
                </anchor>
              </controlPr>
            </control>
          </mc:Choice>
        </mc:AlternateContent>
        <mc:AlternateContent xmlns:mc="http://schemas.openxmlformats.org/markup-compatibility/2006">
          <mc:Choice Requires="x14">
            <control shapeId="53583" r:id="rId317" name="Check Box 335">
              <controlPr defaultSize="0" autoFill="0" autoLine="0" autoPict="0">
                <anchor moveWithCells="1">
                  <from>
                    <xdr:col>2</xdr:col>
                    <xdr:colOff>0</xdr:colOff>
                    <xdr:row>115</xdr:row>
                    <xdr:rowOff>46264</xdr:rowOff>
                  </from>
                  <to>
                    <xdr:col>3</xdr:col>
                    <xdr:colOff>59871</xdr:colOff>
                    <xdr:row>117</xdr:row>
                    <xdr:rowOff>46264</xdr:rowOff>
                  </to>
                </anchor>
              </controlPr>
            </control>
          </mc:Choice>
        </mc:AlternateContent>
        <mc:AlternateContent xmlns:mc="http://schemas.openxmlformats.org/markup-compatibility/2006">
          <mc:Choice Requires="x14">
            <control shapeId="53584" r:id="rId318" name="Check Box 336">
              <controlPr defaultSize="0" autoFill="0" autoLine="0" autoPict="0">
                <anchor moveWithCells="1">
                  <from>
                    <xdr:col>3</xdr:col>
                    <xdr:colOff>10886</xdr:colOff>
                    <xdr:row>115</xdr:row>
                    <xdr:rowOff>46264</xdr:rowOff>
                  </from>
                  <to>
                    <xdr:col>4</xdr:col>
                    <xdr:colOff>81643</xdr:colOff>
                    <xdr:row>117</xdr:row>
                    <xdr:rowOff>46264</xdr:rowOff>
                  </to>
                </anchor>
              </controlPr>
            </control>
          </mc:Choice>
        </mc:AlternateContent>
        <mc:AlternateContent xmlns:mc="http://schemas.openxmlformats.org/markup-compatibility/2006">
          <mc:Choice Requires="x14">
            <control shapeId="53585" r:id="rId319" name="Check Box 337">
              <controlPr defaultSize="0" autoFill="0" autoLine="0" autoPict="0">
                <anchor moveWithCells="1">
                  <from>
                    <xdr:col>1</xdr:col>
                    <xdr:colOff>10886</xdr:colOff>
                    <xdr:row>117</xdr:row>
                    <xdr:rowOff>46264</xdr:rowOff>
                  </from>
                  <to>
                    <xdr:col>2</xdr:col>
                    <xdr:colOff>59871</xdr:colOff>
                    <xdr:row>119</xdr:row>
                    <xdr:rowOff>46264</xdr:rowOff>
                  </to>
                </anchor>
              </controlPr>
            </control>
          </mc:Choice>
        </mc:AlternateContent>
        <mc:AlternateContent xmlns:mc="http://schemas.openxmlformats.org/markup-compatibility/2006">
          <mc:Choice Requires="x14">
            <control shapeId="53586" r:id="rId320" name="Check Box 338">
              <controlPr defaultSize="0" autoFill="0" autoLine="0" autoPict="0">
                <anchor moveWithCells="1">
                  <from>
                    <xdr:col>2</xdr:col>
                    <xdr:colOff>0</xdr:colOff>
                    <xdr:row>117</xdr:row>
                    <xdr:rowOff>46264</xdr:rowOff>
                  </from>
                  <to>
                    <xdr:col>3</xdr:col>
                    <xdr:colOff>59871</xdr:colOff>
                    <xdr:row>119</xdr:row>
                    <xdr:rowOff>46264</xdr:rowOff>
                  </to>
                </anchor>
              </controlPr>
            </control>
          </mc:Choice>
        </mc:AlternateContent>
        <mc:AlternateContent xmlns:mc="http://schemas.openxmlformats.org/markup-compatibility/2006">
          <mc:Choice Requires="x14">
            <control shapeId="53587" r:id="rId321" name="Check Box 339">
              <controlPr defaultSize="0" autoFill="0" autoLine="0" autoPict="0">
                <anchor moveWithCells="1">
                  <from>
                    <xdr:col>3</xdr:col>
                    <xdr:colOff>10886</xdr:colOff>
                    <xdr:row>117</xdr:row>
                    <xdr:rowOff>46264</xdr:rowOff>
                  </from>
                  <to>
                    <xdr:col>4</xdr:col>
                    <xdr:colOff>81643</xdr:colOff>
                    <xdr:row>119</xdr:row>
                    <xdr:rowOff>46264</xdr:rowOff>
                  </to>
                </anchor>
              </controlPr>
            </control>
          </mc:Choice>
        </mc:AlternateContent>
        <mc:AlternateContent xmlns:mc="http://schemas.openxmlformats.org/markup-compatibility/2006">
          <mc:Choice Requires="x14">
            <control shapeId="53588" r:id="rId322" name="Check Box 340">
              <controlPr defaultSize="0" autoFill="0" autoLine="0" autoPict="0">
                <anchor moveWithCells="1">
                  <from>
                    <xdr:col>1</xdr:col>
                    <xdr:colOff>10886</xdr:colOff>
                    <xdr:row>119</xdr:row>
                    <xdr:rowOff>46264</xdr:rowOff>
                  </from>
                  <to>
                    <xdr:col>2</xdr:col>
                    <xdr:colOff>59871</xdr:colOff>
                    <xdr:row>121</xdr:row>
                    <xdr:rowOff>46264</xdr:rowOff>
                  </to>
                </anchor>
              </controlPr>
            </control>
          </mc:Choice>
        </mc:AlternateContent>
        <mc:AlternateContent xmlns:mc="http://schemas.openxmlformats.org/markup-compatibility/2006">
          <mc:Choice Requires="x14">
            <control shapeId="53589" r:id="rId323" name="Check Box 341">
              <controlPr defaultSize="0" autoFill="0" autoLine="0" autoPict="0">
                <anchor moveWithCells="1">
                  <from>
                    <xdr:col>2</xdr:col>
                    <xdr:colOff>0</xdr:colOff>
                    <xdr:row>119</xdr:row>
                    <xdr:rowOff>46264</xdr:rowOff>
                  </from>
                  <to>
                    <xdr:col>3</xdr:col>
                    <xdr:colOff>59871</xdr:colOff>
                    <xdr:row>121</xdr:row>
                    <xdr:rowOff>46264</xdr:rowOff>
                  </to>
                </anchor>
              </controlPr>
            </control>
          </mc:Choice>
        </mc:AlternateContent>
        <mc:AlternateContent xmlns:mc="http://schemas.openxmlformats.org/markup-compatibility/2006">
          <mc:Choice Requires="x14">
            <control shapeId="53590" r:id="rId324" name="Check Box 342">
              <controlPr defaultSize="0" autoFill="0" autoLine="0" autoPict="0">
                <anchor moveWithCells="1">
                  <from>
                    <xdr:col>3</xdr:col>
                    <xdr:colOff>10886</xdr:colOff>
                    <xdr:row>119</xdr:row>
                    <xdr:rowOff>46264</xdr:rowOff>
                  </from>
                  <to>
                    <xdr:col>4</xdr:col>
                    <xdr:colOff>81643</xdr:colOff>
                    <xdr:row>121</xdr:row>
                    <xdr:rowOff>46264</xdr:rowOff>
                  </to>
                </anchor>
              </controlPr>
            </control>
          </mc:Choice>
        </mc:AlternateContent>
        <mc:AlternateContent xmlns:mc="http://schemas.openxmlformats.org/markup-compatibility/2006">
          <mc:Choice Requires="x14">
            <control shapeId="53591" r:id="rId325" name="Check Box 343">
              <controlPr defaultSize="0" autoFill="0" autoLine="0" autoPict="0">
                <anchor moveWithCells="1">
                  <from>
                    <xdr:col>1</xdr:col>
                    <xdr:colOff>10886</xdr:colOff>
                    <xdr:row>121</xdr:row>
                    <xdr:rowOff>46264</xdr:rowOff>
                  </from>
                  <to>
                    <xdr:col>2</xdr:col>
                    <xdr:colOff>59871</xdr:colOff>
                    <xdr:row>123</xdr:row>
                    <xdr:rowOff>46264</xdr:rowOff>
                  </to>
                </anchor>
              </controlPr>
            </control>
          </mc:Choice>
        </mc:AlternateContent>
        <mc:AlternateContent xmlns:mc="http://schemas.openxmlformats.org/markup-compatibility/2006">
          <mc:Choice Requires="x14">
            <control shapeId="53592" r:id="rId326" name="Check Box 344">
              <controlPr defaultSize="0" autoFill="0" autoLine="0" autoPict="0">
                <anchor moveWithCells="1">
                  <from>
                    <xdr:col>2</xdr:col>
                    <xdr:colOff>0</xdr:colOff>
                    <xdr:row>121</xdr:row>
                    <xdr:rowOff>46264</xdr:rowOff>
                  </from>
                  <to>
                    <xdr:col>3</xdr:col>
                    <xdr:colOff>59871</xdr:colOff>
                    <xdr:row>123</xdr:row>
                    <xdr:rowOff>46264</xdr:rowOff>
                  </to>
                </anchor>
              </controlPr>
            </control>
          </mc:Choice>
        </mc:AlternateContent>
        <mc:AlternateContent xmlns:mc="http://schemas.openxmlformats.org/markup-compatibility/2006">
          <mc:Choice Requires="x14">
            <control shapeId="53593" r:id="rId327" name="Check Box 345">
              <controlPr defaultSize="0" autoFill="0" autoLine="0" autoPict="0">
                <anchor moveWithCells="1">
                  <from>
                    <xdr:col>3</xdr:col>
                    <xdr:colOff>10886</xdr:colOff>
                    <xdr:row>121</xdr:row>
                    <xdr:rowOff>46264</xdr:rowOff>
                  </from>
                  <to>
                    <xdr:col>4</xdr:col>
                    <xdr:colOff>81643</xdr:colOff>
                    <xdr:row>123</xdr:row>
                    <xdr:rowOff>46264</xdr:rowOff>
                  </to>
                </anchor>
              </controlPr>
            </control>
          </mc:Choice>
        </mc:AlternateContent>
        <mc:AlternateContent xmlns:mc="http://schemas.openxmlformats.org/markup-compatibility/2006">
          <mc:Choice Requires="x14">
            <control shapeId="53596" r:id="rId328" name="Check Box 348">
              <controlPr defaultSize="0" autoFill="0" autoLine="0" autoPict="0">
                <anchor moveWithCells="1">
                  <from>
                    <xdr:col>1</xdr:col>
                    <xdr:colOff>10886</xdr:colOff>
                    <xdr:row>124</xdr:row>
                    <xdr:rowOff>46264</xdr:rowOff>
                  </from>
                  <to>
                    <xdr:col>2</xdr:col>
                    <xdr:colOff>59871</xdr:colOff>
                    <xdr:row>126</xdr:row>
                    <xdr:rowOff>46264</xdr:rowOff>
                  </to>
                </anchor>
              </controlPr>
            </control>
          </mc:Choice>
        </mc:AlternateContent>
        <mc:AlternateContent xmlns:mc="http://schemas.openxmlformats.org/markup-compatibility/2006">
          <mc:Choice Requires="x14">
            <control shapeId="53597" r:id="rId329" name="Check Box 349">
              <controlPr defaultSize="0" autoFill="0" autoLine="0" autoPict="0">
                <anchor moveWithCells="1">
                  <from>
                    <xdr:col>2</xdr:col>
                    <xdr:colOff>0</xdr:colOff>
                    <xdr:row>124</xdr:row>
                    <xdr:rowOff>46264</xdr:rowOff>
                  </from>
                  <to>
                    <xdr:col>3</xdr:col>
                    <xdr:colOff>59871</xdr:colOff>
                    <xdr:row>126</xdr:row>
                    <xdr:rowOff>46264</xdr:rowOff>
                  </to>
                </anchor>
              </controlPr>
            </control>
          </mc:Choice>
        </mc:AlternateContent>
        <mc:AlternateContent xmlns:mc="http://schemas.openxmlformats.org/markup-compatibility/2006">
          <mc:Choice Requires="x14">
            <control shapeId="53598" r:id="rId330" name="Check Box 350">
              <controlPr defaultSize="0" autoFill="0" autoLine="0" autoPict="0">
                <anchor moveWithCells="1">
                  <from>
                    <xdr:col>3</xdr:col>
                    <xdr:colOff>10886</xdr:colOff>
                    <xdr:row>124</xdr:row>
                    <xdr:rowOff>46264</xdr:rowOff>
                  </from>
                  <to>
                    <xdr:col>4</xdr:col>
                    <xdr:colOff>81643</xdr:colOff>
                    <xdr:row>126</xdr:row>
                    <xdr:rowOff>46264</xdr:rowOff>
                  </to>
                </anchor>
              </controlPr>
            </control>
          </mc:Choice>
        </mc:AlternateContent>
        <mc:AlternateContent xmlns:mc="http://schemas.openxmlformats.org/markup-compatibility/2006">
          <mc:Choice Requires="x14">
            <control shapeId="53599" r:id="rId331" name="Check Box 351">
              <controlPr defaultSize="0" autoFill="0" autoLine="0" autoPict="0">
                <anchor moveWithCells="1">
                  <from>
                    <xdr:col>1</xdr:col>
                    <xdr:colOff>10886</xdr:colOff>
                    <xdr:row>128</xdr:row>
                    <xdr:rowOff>46264</xdr:rowOff>
                  </from>
                  <to>
                    <xdr:col>2</xdr:col>
                    <xdr:colOff>59871</xdr:colOff>
                    <xdr:row>130</xdr:row>
                    <xdr:rowOff>46264</xdr:rowOff>
                  </to>
                </anchor>
              </controlPr>
            </control>
          </mc:Choice>
        </mc:AlternateContent>
        <mc:AlternateContent xmlns:mc="http://schemas.openxmlformats.org/markup-compatibility/2006">
          <mc:Choice Requires="x14">
            <control shapeId="53600" r:id="rId332" name="Check Box 352">
              <controlPr defaultSize="0" autoFill="0" autoLine="0" autoPict="0">
                <anchor moveWithCells="1">
                  <from>
                    <xdr:col>2</xdr:col>
                    <xdr:colOff>0</xdr:colOff>
                    <xdr:row>128</xdr:row>
                    <xdr:rowOff>46264</xdr:rowOff>
                  </from>
                  <to>
                    <xdr:col>3</xdr:col>
                    <xdr:colOff>59871</xdr:colOff>
                    <xdr:row>130</xdr:row>
                    <xdr:rowOff>46264</xdr:rowOff>
                  </to>
                </anchor>
              </controlPr>
            </control>
          </mc:Choice>
        </mc:AlternateContent>
        <mc:AlternateContent xmlns:mc="http://schemas.openxmlformats.org/markup-compatibility/2006">
          <mc:Choice Requires="x14">
            <control shapeId="53601" r:id="rId333" name="Check Box 353">
              <controlPr defaultSize="0" autoFill="0" autoLine="0" autoPict="0">
                <anchor moveWithCells="1">
                  <from>
                    <xdr:col>3</xdr:col>
                    <xdr:colOff>10886</xdr:colOff>
                    <xdr:row>128</xdr:row>
                    <xdr:rowOff>46264</xdr:rowOff>
                  </from>
                  <to>
                    <xdr:col>4</xdr:col>
                    <xdr:colOff>81643</xdr:colOff>
                    <xdr:row>130</xdr:row>
                    <xdr:rowOff>46264</xdr:rowOff>
                  </to>
                </anchor>
              </controlPr>
            </control>
          </mc:Choice>
        </mc:AlternateContent>
        <mc:AlternateContent xmlns:mc="http://schemas.openxmlformats.org/markup-compatibility/2006">
          <mc:Choice Requires="x14">
            <control shapeId="53602" r:id="rId334" name="Check Box 354">
              <controlPr defaultSize="0" autoFill="0" autoLine="0" autoPict="0">
                <anchor moveWithCells="1">
                  <from>
                    <xdr:col>1</xdr:col>
                    <xdr:colOff>10886</xdr:colOff>
                    <xdr:row>130</xdr:row>
                    <xdr:rowOff>46264</xdr:rowOff>
                  </from>
                  <to>
                    <xdr:col>2</xdr:col>
                    <xdr:colOff>59871</xdr:colOff>
                    <xdr:row>132</xdr:row>
                    <xdr:rowOff>46264</xdr:rowOff>
                  </to>
                </anchor>
              </controlPr>
            </control>
          </mc:Choice>
        </mc:AlternateContent>
        <mc:AlternateContent xmlns:mc="http://schemas.openxmlformats.org/markup-compatibility/2006">
          <mc:Choice Requires="x14">
            <control shapeId="53603" r:id="rId335" name="Check Box 355">
              <controlPr defaultSize="0" autoFill="0" autoLine="0" autoPict="0">
                <anchor moveWithCells="1">
                  <from>
                    <xdr:col>2</xdr:col>
                    <xdr:colOff>0</xdr:colOff>
                    <xdr:row>130</xdr:row>
                    <xdr:rowOff>46264</xdr:rowOff>
                  </from>
                  <to>
                    <xdr:col>3</xdr:col>
                    <xdr:colOff>59871</xdr:colOff>
                    <xdr:row>132</xdr:row>
                    <xdr:rowOff>46264</xdr:rowOff>
                  </to>
                </anchor>
              </controlPr>
            </control>
          </mc:Choice>
        </mc:AlternateContent>
        <mc:AlternateContent xmlns:mc="http://schemas.openxmlformats.org/markup-compatibility/2006">
          <mc:Choice Requires="x14">
            <control shapeId="53604" r:id="rId336" name="Check Box 356">
              <controlPr defaultSize="0" autoFill="0" autoLine="0" autoPict="0">
                <anchor moveWithCells="1">
                  <from>
                    <xdr:col>3</xdr:col>
                    <xdr:colOff>10886</xdr:colOff>
                    <xdr:row>130</xdr:row>
                    <xdr:rowOff>46264</xdr:rowOff>
                  </from>
                  <to>
                    <xdr:col>4</xdr:col>
                    <xdr:colOff>81643</xdr:colOff>
                    <xdr:row>132</xdr:row>
                    <xdr:rowOff>46264</xdr:rowOff>
                  </to>
                </anchor>
              </controlPr>
            </control>
          </mc:Choice>
        </mc:AlternateContent>
        <mc:AlternateContent xmlns:mc="http://schemas.openxmlformats.org/markup-compatibility/2006">
          <mc:Choice Requires="x14">
            <control shapeId="53605" r:id="rId337" name="Check Box 357">
              <controlPr defaultSize="0" autoFill="0" autoLine="0" autoPict="0">
                <anchor moveWithCells="1">
                  <from>
                    <xdr:col>1</xdr:col>
                    <xdr:colOff>10886</xdr:colOff>
                    <xdr:row>132</xdr:row>
                    <xdr:rowOff>46264</xdr:rowOff>
                  </from>
                  <to>
                    <xdr:col>2</xdr:col>
                    <xdr:colOff>59871</xdr:colOff>
                    <xdr:row>134</xdr:row>
                    <xdr:rowOff>46264</xdr:rowOff>
                  </to>
                </anchor>
              </controlPr>
            </control>
          </mc:Choice>
        </mc:AlternateContent>
        <mc:AlternateContent xmlns:mc="http://schemas.openxmlformats.org/markup-compatibility/2006">
          <mc:Choice Requires="x14">
            <control shapeId="53606" r:id="rId338" name="Check Box 358">
              <controlPr defaultSize="0" autoFill="0" autoLine="0" autoPict="0">
                <anchor moveWithCells="1">
                  <from>
                    <xdr:col>2</xdr:col>
                    <xdr:colOff>0</xdr:colOff>
                    <xdr:row>132</xdr:row>
                    <xdr:rowOff>46264</xdr:rowOff>
                  </from>
                  <to>
                    <xdr:col>3</xdr:col>
                    <xdr:colOff>59871</xdr:colOff>
                    <xdr:row>134</xdr:row>
                    <xdr:rowOff>46264</xdr:rowOff>
                  </to>
                </anchor>
              </controlPr>
            </control>
          </mc:Choice>
        </mc:AlternateContent>
        <mc:AlternateContent xmlns:mc="http://schemas.openxmlformats.org/markup-compatibility/2006">
          <mc:Choice Requires="x14">
            <control shapeId="53607" r:id="rId339" name="Check Box 359">
              <controlPr defaultSize="0" autoFill="0" autoLine="0" autoPict="0">
                <anchor moveWithCells="1">
                  <from>
                    <xdr:col>3</xdr:col>
                    <xdr:colOff>10886</xdr:colOff>
                    <xdr:row>132</xdr:row>
                    <xdr:rowOff>46264</xdr:rowOff>
                  </from>
                  <to>
                    <xdr:col>4</xdr:col>
                    <xdr:colOff>81643</xdr:colOff>
                    <xdr:row>134</xdr:row>
                    <xdr:rowOff>46264</xdr:rowOff>
                  </to>
                </anchor>
              </controlPr>
            </control>
          </mc:Choice>
        </mc:AlternateContent>
        <mc:AlternateContent xmlns:mc="http://schemas.openxmlformats.org/markup-compatibility/2006">
          <mc:Choice Requires="x14">
            <control shapeId="53608" r:id="rId340" name="Check Box 360">
              <controlPr defaultSize="0" autoFill="0" autoLine="0" autoPict="0">
                <anchor moveWithCells="1">
                  <from>
                    <xdr:col>1</xdr:col>
                    <xdr:colOff>10886</xdr:colOff>
                    <xdr:row>136</xdr:row>
                    <xdr:rowOff>46264</xdr:rowOff>
                  </from>
                  <to>
                    <xdr:col>2</xdr:col>
                    <xdr:colOff>59871</xdr:colOff>
                    <xdr:row>138</xdr:row>
                    <xdr:rowOff>46264</xdr:rowOff>
                  </to>
                </anchor>
              </controlPr>
            </control>
          </mc:Choice>
        </mc:AlternateContent>
        <mc:AlternateContent xmlns:mc="http://schemas.openxmlformats.org/markup-compatibility/2006">
          <mc:Choice Requires="x14">
            <control shapeId="53609" r:id="rId341" name="Check Box 361">
              <controlPr defaultSize="0" autoFill="0" autoLine="0" autoPict="0">
                <anchor moveWithCells="1">
                  <from>
                    <xdr:col>2</xdr:col>
                    <xdr:colOff>0</xdr:colOff>
                    <xdr:row>136</xdr:row>
                    <xdr:rowOff>46264</xdr:rowOff>
                  </from>
                  <to>
                    <xdr:col>3</xdr:col>
                    <xdr:colOff>59871</xdr:colOff>
                    <xdr:row>138</xdr:row>
                    <xdr:rowOff>46264</xdr:rowOff>
                  </to>
                </anchor>
              </controlPr>
            </control>
          </mc:Choice>
        </mc:AlternateContent>
        <mc:AlternateContent xmlns:mc="http://schemas.openxmlformats.org/markup-compatibility/2006">
          <mc:Choice Requires="x14">
            <control shapeId="53610" r:id="rId342" name="Check Box 362">
              <controlPr defaultSize="0" autoFill="0" autoLine="0" autoPict="0">
                <anchor moveWithCells="1">
                  <from>
                    <xdr:col>3</xdr:col>
                    <xdr:colOff>10886</xdr:colOff>
                    <xdr:row>136</xdr:row>
                    <xdr:rowOff>46264</xdr:rowOff>
                  </from>
                  <to>
                    <xdr:col>4</xdr:col>
                    <xdr:colOff>81643</xdr:colOff>
                    <xdr:row>138</xdr:row>
                    <xdr:rowOff>46264</xdr:rowOff>
                  </to>
                </anchor>
              </controlPr>
            </control>
          </mc:Choice>
        </mc:AlternateContent>
        <mc:AlternateContent xmlns:mc="http://schemas.openxmlformats.org/markup-compatibility/2006">
          <mc:Choice Requires="x14">
            <control shapeId="53611" r:id="rId343" name="Check Box 363">
              <controlPr defaultSize="0" autoFill="0" autoLine="0" autoPict="0">
                <anchor moveWithCells="1">
                  <from>
                    <xdr:col>1</xdr:col>
                    <xdr:colOff>10886</xdr:colOff>
                    <xdr:row>138</xdr:row>
                    <xdr:rowOff>46264</xdr:rowOff>
                  </from>
                  <to>
                    <xdr:col>2</xdr:col>
                    <xdr:colOff>59871</xdr:colOff>
                    <xdr:row>140</xdr:row>
                    <xdr:rowOff>46264</xdr:rowOff>
                  </to>
                </anchor>
              </controlPr>
            </control>
          </mc:Choice>
        </mc:AlternateContent>
        <mc:AlternateContent xmlns:mc="http://schemas.openxmlformats.org/markup-compatibility/2006">
          <mc:Choice Requires="x14">
            <control shapeId="53612" r:id="rId344" name="Check Box 364">
              <controlPr defaultSize="0" autoFill="0" autoLine="0" autoPict="0">
                <anchor moveWithCells="1">
                  <from>
                    <xdr:col>2</xdr:col>
                    <xdr:colOff>0</xdr:colOff>
                    <xdr:row>138</xdr:row>
                    <xdr:rowOff>46264</xdr:rowOff>
                  </from>
                  <to>
                    <xdr:col>3</xdr:col>
                    <xdr:colOff>59871</xdr:colOff>
                    <xdr:row>140</xdr:row>
                    <xdr:rowOff>46264</xdr:rowOff>
                  </to>
                </anchor>
              </controlPr>
            </control>
          </mc:Choice>
        </mc:AlternateContent>
        <mc:AlternateContent xmlns:mc="http://schemas.openxmlformats.org/markup-compatibility/2006">
          <mc:Choice Requires="x14">
            <control shapeId="53613" r:id="rId345" name="Check Box 365">
              <controlPr defaultSize="0" autoFill="0" autoLine="0" autoPict="0">
                <anchor moveWithCells="1">
                  <from>
                    <xdr:col>3</xdr:col>
                    <xdr:colOff>10886</xdr:colOff>
                    <xdr:row>138</xdr:row>
                    <xdr:rowOff>46264</xdr:rowOff>
                  </from>
                  <to>
                    <xdr:col>4</xdr:col>
                    <xdr:colOff>81643</xdr:colOff>
                    <xdr:row>140</xdr:row>
                    <xdr:rowOff>46264</xdr:rowOff>
                  </to>
                </anchor>
              </controlPr>
            </control>
          </mc:Choice>
        </mc:AlternateContent>
        <mc:AlternateContent xmlns:mc="http://schemas.openxmlformats.org/markup-compatibility/2006">
          <mc:Choice Requires="x14">
            <control shapeId="53614" r:id="rId346" name="Check Box 366">
              <controlPr defaultSize="0" autoFill="0" autoLine="0" autoPict="0">
                <anchor moveWithCells="1">
                  <from>
                    <xdr:col>1</xdr:col>
                    <xdr:colOff>10886</xdr:colOff>
                    <xdr:row>140</xdr:row>
                    <xdr:rowOff>46264</xdr:rowOff>
                  </from>
                  <to>
                    <xdr:col>2</xdr:col>
                    <xdr:colOff>59871</xdr:colOff>
                    <xdr:row>142</xdr:row>
                    <xdr:rowOff>46264</xdr:rowOff>
                  </to>
                </anchor>
              </controlPr>
            </control>
          </mc:Choice>
        </mc:AlternateContent>
        <mc:AlternateContent xmlns:mc="http://schemas.openxmlformats.org/markup-compatibility/2006">
          <mc:Choice Requires="x14">
            <control shapeId="53615" r:id="rId347" name="Check Box 367">
              <controlPr defaultSize="0" autoFill="0" autoLine="0" autoPict="0">
                <anchor moveWithCells="1">
                  <from>
                    <xdr:col>2</xdr:col>
                    <xdr:colOff>0</xdr:colOff>
                    <xdr:row>140</xdr:row>
                    <xdr:rowOff>46264</xdr:rowOff>
                  </from>
                  <to>
                    <xdr:col>3</xdr:col>
                    <xdr:colOff>59871</xdr:colOff>
                    <xdr:row>142</xdr:row>
                    <xdr:rowOff>46264</xdr:rowOff>
                  </to>
                </anchor>
              </controlPr>
            </control>
          </mc:Choice>
        </mc:AlternateContent>
        <mc:AlternateContent xmlns:mc="http://schemas.openxmlformats.org/markup-compatibility/2006">
          <mc:Choice Requires="x14">
            <control shapeId="53616" r:id="rId348" name="Check Box 368">
              <controlPr defaultSize="0" autoFill="0" autoLine="0" autoPict="0">
                <anchor moveWithCells="1">
                  <from>
                    <xdr:col>3</xdr:col>
                    <xdr:colOff>10886</xdr:colOff>
                    <xdr:row>140</xdr:row>
                    <xdr:rowOff>46264</xdr:rowOff>
                  </from>
                  <to>
                    <xdr:col>4</xdr:col>
                    <xdr:colOff>81643</xdr:colOff>
                    <xdr:row>142</xdr:row>
                    <xdr:rowOff>46264</xdr:rowOff>
                  </to>
                </anchor>
              </controlPr>
            </control>
          </mc:Choice>
        </mc:AlternateContent>
        <mc:AlternateContent xmlns:mc="http://schemas.openxmlformats.org/markup-compatibility/2006">
          <mc:Choice Requires="x14">
            <control shapeId="53618" r:id="rId349" name="Button 370">
              <controlPr defaultSize="0" print="0" autoFill="0" autoPict="0" macro="[0]!BACKTOMENU">
                <anchor moveWithCells="1">
                  <from>
                    <xdr:col>0</xdr:col>
                    <xdr:colOff>19050</xdr:colOff>
                    <xdr:row>0</xdr:row>
                    <xdr:rowOff>19050</xdr:rowOff>
                  </from>
                  <to>
                    <xdr:col>3</xdr:col>
                    <xdr:colOff>130629</xdr:colOff>
                    <xdr:row>1</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C4EE9-D3B2-4AFC-96A2-62E3A68D3758}">
  <sheetPr codeName="Sheet25"/>
  <dimension ref="A1:K54"/>
  <sheetViews>
    <sheetView showGridLines="0" showZeros="0" zoomScale="125" workbookViewId="0">
      <selection activeCell="L15" sqref="L15"/>
    </sheetView>
  </sheetViews>
  <sheetFormatPr defaultRowHeight="12.9"/>
  <cols>
    <col min="3" max="3" width="11" customWidth="1"/>
  </cols>
  <sheetData>
    <row r="1" spans="1:11">
      <c r="A1" s="42"/>
      <c r="B1" s="50"/>
      <c r="C1" s="50"/>
      <c r="D1" s="50"/>
      <c r="E1" s="50"/>
      <c r="F1" s="50"/>
      <c r="G1" s="50"/>
      <c r="H1" s="50"/>
      <c r="I1" s="50"/>
      <c r="J1" s="50"/>
      <c r="K1" s="43"/>
    </row>
    <row r="2" spans="1:11">
      <c r="A2" s="44"/>
      <c r="K2" s="45"/>
    </row>
    <row r="3" spans="1:11">
      <c r="A3" s="44"/>
      <c r="K3" s="45"/>
    </row>
    <row r="4" spans="1:11">
      <c r="A4" s="44"/>
      <c r="K4" s="45"/>
    </row>
    <row r="5" spans="1:11">
      <c r="A5" s="44"/>
      <c r="K5" s="45"/>
    </row>
    <row r="6" spans="1:11">
      <c r="A6" s="44"/>
      <c r="K6" s="45"/>
    </row>
    <row r="7" spans="1:11">
      <c r="A7" s="44"/>
      <c r="K7" s="45"/>
    </row>
    <row r="8" spans="1:11">
      <c r="A8" s="44"/>
      <c r="K8" s="45"/>
    </row>
    <row r="9" spans="1:11">
      <c r="A9" s="44"/>
      <c r="K9" s="45"/>
    </row>
    <row r="10" spans="1:11" ht="14.15">
      <c r="A10" s="44"/>
      <c r="C10" s="773" t="s">
        <v>566</v>
      </c>
      <c r="D10" s="1737">
        <f>Summary!C5</f>
        <v>0</v>
      </c>
      <c r="E10" s="1737"/>
      <c r="F10" s="1737"/>
      <c r="G10" s="1737"/>
      <c r="H10" s="1737"/>
      <c r="K10" s="45"/>
    </row>
    <row r="11" spans="1:11">
      <c r="A11" s="44"/>
      <c r="K11" s="45"/>
    </row>
    <row r="12" spans="1:11" ht="13.1">
      <c r="A12" s="137" t="s">
        <v>221</v>
      </c>
      <c r="B12" s="1739"/>
      <c r="C12" s="1739"/>
      <c r="D12" s="22"/>
      <c r="E12" s="22"/>
      <c r="F12" s="22" t="s">
        <v>660</v>
      </c>
      <c r="G12" s="22"/>
      <c r="H12" s="183">
        <f>Summary!C63</f>
        <v>0</v>
      </c>
      <c r="I12" s="183"/>
      <c r="J12" s="19"/>
      <c r="K12" s="45"/>
    </row>
    <row r="13" spans="1:11" ht="13.1">
      <c r="A13" s="137"/>
      <c r="B13" s="22"/>
      <c r="C13" s="22"/>
      <c r="D13" s="22"/>
      <c r="E13" s="22"/>
      <c r="F13" s="22"/>
      <c r="G13" s="22"/>
      <c r="H13" s="22"/>
      <c r="I13" s="22"/>
      <c r="K13" s="45"/>
    </row>
    <row r="14" spans="1:11" ht="13.1">
      <c r="A14" s="137" t="s">
        <v>567</v>
      </c>
      <c r="B14" s="1740"/>
      <c r="C14" s="1740"/>
      <c r="D14" s="22"/>
      <c r="E14" s="22"/>
      <c r="F14" s="22" t="s">
        <v>300</v>
      </c>
      <c r="G14" s="22"/>
      <c r="H14" s="183">
        <f>Summary!F63</f>
        <v>0</v>
      </c>
      <c r="I14" s="183"/>
      <c r="J14" s="19"/>
      <c r="K14" s="45"/>
    </row>
    <row r="15" spans="1:11" ht="13.1">
      <c r="A15" s="137"/>
      <c r="B15" s="22"/>
      <c r="C15" s="22"/>
      <c r="D15" s="22"/>
      <c r="E15" s="22"/>
      <c r="F15" s="22"/>
      <c r="G15" s="22"/>
      <c r="H15" s="22"/>
      <c r="I15" s="22"/>
      <c r="K15" s="45"/>
    </row>
    <row r="16" spans="1:11" ht="13.1">
      <c r="A16" s="137" t="s">
        <v>568</v>
      </c>
      <c r="B16" s="1741">
        <f>Summary!C7</f>
        <v>0</v>
      </c>
      <c r="C16" s="1738"/>
      <c r="D16" s="22"/>
      <c r="E16" s="22"/>
      <c r="F16" s="22"/>
      <c r="G16" s="22"/>
      <c r="H16" s="22"/>
      <c r="I16" s="22"/>
      <c r="K16" s="45"/>
    </row>
    <row r="17" spans="1:11" ht="13.1">
      <c r="A17" s="137"/>
      <c r="B17" s="22"/>
      <c r="C17" s="22"/>
      <c r="D17" s="22"/>
      <c r="E17" s="22"/>
      <c r="F17" s="22"/>
      <c r="G17" s="22"/>
      <c r="H17" s="22"/>
      <c r="I17" s="22"/>
      <c r="K17" s="45"/>
    </row>
    <row r="18" spans="1:11" ht="13.1">
      <c r="A18" s="137" t="s">
        <v>834</v>
      </c>
      <c r="B18" s="22"/>
      <c r="C18" s="22"/>
      <c r="D18" s="183">
        <f>Summary!C6</f>
        <v>0</v>
      </c>
      <c r="E18" s="183"/>
      <c r="F18" s="183"/>
      <c r="G18" s="183"/>
      <c r="H18" s="183"/>
      <c r="I18" s="183"/>
      <c r="K18" s="45"/>
    </row>
    <row r="19" spans="1:11" ht="13.1">
      <c r="A19" s="137"/>
      <c r="B19" s="22"/>
      <c r="C19" s="22"/>
      <c r="D19" s="22"/>
      <c r="E19" s="22"/>
      <c r="F19" s="22"/>
      <c r="G19" s="22"/>
      <c r="H19" s="22"/>
      <c r="I19" s="22"/>
      <c r="K19" s="45"/>
    </row>
    <row r="20" spans="1:11" ht="13.1">
      <c r="A20" s="137" t="s">
        <v>569</v>
      </c>
      <c r="B20" s="183"/>
      <c r="C20" s="183"/>
      <c r="D20" s="183"/>
      <c r="E20" s="183"/>
      <c r="F20" s="183"/>
      <c r="G20" s="183"/>
      <c r="H20" s="183"/>
      <c r="I20" s="183"/>
      <c r="K20" s="45"/>
    </row>
    <row r="21" spans="1:11" ht="13.1">
      <c r="A21" s="137"/>
      <c r="B21" s="22"/>
      <c r="C21" s="22"/>
      <c r="D21" s="22"/>
      <c r="E21" s="22"/>
      <c r="F21" s="22"/>
      <c r="G21" s="22"/>
      <c r="H21" s="22"/>
      <c r="I21" s="22"/>
      <c r="K21" s="45"/>
    </row>
    <row r="22" spans="1:11" ht="13.1">
      <c r="A22" s="137" t="s">
        <v>570</v>
      </c>
      <c r="B22" s="22"/>
      <c r="C22" s="22"/>
      <c r="D22" s="22"/>
      <c r="E22" s="22" t="s">
        <v>1356</v>
      </c>
      <c r="F22" s="22"/>
      <c r="G22" s="22" t="s">
        <v>985</v>
      </c>
      <c r="H22" s="22"/>
      <c r="I22" s="22" t="s">
        <v>1001</v>
      </c>
      <c r="K22" s="45"/>
    </row>
    <row r="23" spans="1:11" ht="13.1">
      <c r="A23" s="137"/>
      <c r="B23" s="22"/>
      <c r="C23" s="22"/>
      <c r="D23" s="22"/>
      <c r="E23" s="22"/>
      <c r="F23" s="22"/>
      <c r="G23" s="22"/>
      <c r="H23" s="22"/>
      <c r="I23" s="22"/>
      <c r="K23" s="45"/>
    </row>
    <row r="24" spans="1:11" ht="13.1">
      <c r="A24" s="137" t="s">
        <v>571</v>
      </c>
      <c r="B24" s="22"/>
      <c r="C24" s="22"/>
      <c r="D24" s="22"/>
      <c r="E24" s="22" t="s">
        <v>1356</v>
      </c>
      <c r="F24" s="22"/>
      <c r="G24" s="22" t="s">
        <v>985</v>
      </c>
      <c r="H24" s="22"/>
      <c r="I24" s="22"/>
      <c r="K24" s="45"/>
    </row>
    <row r="25" spans="1:11" ht="13.1">
      <c r="A25" s="137"/>
      <c r="B25" s="22"/>
      <c r="C25" s="22"/>
      <c r="D25" s="22"/>
      <c r="E25" s="22"/>
      <c r="F25" s="22"/>
      <c r="G25" s="22"/>
      <c r="H25" s="22"/>
      <c r="I25" s="22"/>
      <c r="K25" s="45"/>
    </row>
    <row r="26" spans="1:11" ht="13.1">
      <c r="A26" s="137" t="s">
        <v>572</v>
      </c>
      <c r="B26" s="22"/>
      <c r="C26" s="22"/>
      <c r="D26" s="22"/>
      <c r="E26" s="22" t="s">
        <v>1356</v>
      </c>
      <c r="F26" s="22"/>
      <c r="G26" s="22" t="s">
        <v>985</v>
      </c>
      <c r="H26" s="22"/>
      <c r="I26" s="22" t="s">
        <v>1001</v>
      </c>
      <c r="K26" s="45"/>
    </row>
    <row r="27" spans="1:11" ht="13.1">
      <c r="A27" s="137"/>
      <c r="B27" s="22"/>
      <c r="C27" s="22"/>
      <c r="D27" s="22"/>
      <c r="E27" s="22"/>
      <c r="F27" s="22"/>
      <c r="G27" s="22"/>
      <c r="H27" s="22"/>
      <c r="I27" s="22"/>
      <c r="K27" s="45"/>
    </row>
    <row r="28" spans="1:11" ht="13.1">
      <c r="A28" s="1135" t="s">
        <v>573</v>
      </c>
      <c r="B28" s="22"/>
      <c r="C28" s="22"/>
      <c r="D28" s="183"/>
      <c r="E28" s="183"/>
      <c r="F28" s="183"/>
      <c r="G28" s="183"/>
      <c r="H28" s="183"/>
      <c r="I28" s="183"/>
      <c r="K28" s="45"/>
    </row>
    <row r="29" spans="1:11" ht="13.1">
      <c r="A29" s="137"/>
      <c r="B29" s="22"/>
      <c r="C29" s="22"/>
      <c r="D29" s="22"/>
      <c r="E29" s="22"/>
      <c r="F29" s="22"/>
      <c r="G29" s="22"/>
      <c r="H29" s="22"/>
      <c r="I29" s="22"/>
      <c r="K29" s="45"/>
    </row>
    <row r="30" spans="1:11" ht="13.1">
      <c r="A30" s="137" t="s">
        <v>574</v>
      </c>
      <c r="B30" s="22"/>
      <c r="C30" s="22"/>
      <c r="D30" s="183"/>
      <c r="E30" s="183"/>
      <c r="F30" s="183"/>
      <c r="G30" s="183"/>
      <c r="H30" s="183"/>
      <c r="I30" s="183"/>
      <c r="K30" s="45"/>
    </row>
    <row r="31" spans="1:11" ht="13.1">
      <c r="A31" s="137"/>
      <c r="B31" s="22"/>
      <c r="C31" s="22"/>
      <c r="D31" s="22"/>
      <c r="E31" s="22"/>
      <c r="F31" s="22"/>
      <c r="G31" s="22"/>
      <c r="H31" s="22"/>
      <c r="I31" s="22"/>
      <c r="K31" s="45"/>
    </row>
    <row r="32" spans="1:11" ht="13.1">
      <c r="A32" s="137" t="s">
        <v>575</v>
      </c>
      <c r="B32" s="22"/>
      <c r="C32" s="22"/>
      <c r="D32" s="1738"/>
      <c r="E32" s="1738"/>
      <c r="F32" s="22" t="s">
        <v>576</v>
      </c>
      <c r="G32" s="22"/>
      <c r="H32" s="22"/>
      <c r="I32" s="22"/>
      <c r="K32" s="45"/>
    </row>
    <row r="33" spans="1:11" ht="13.1">
      <c r="A33" s="137"/>
      <c r="B33" s="22"/>
      <c r="C33" s="22"/>
      <c r="D33" s="22"/>
      <c r="E33" s="22"/>
      <c r="F33" s="22"/>
      <c r="G33" s="22"/>
      <c r="H33" s="22"/>
      <c r="I33" s="22"/>
      <c r="K33" s="45"/>
    </row>
    <row r="34" spans="1:11" ht="13.1">
      <c r="A34" s="137" t="s">
        <v>577</v>
      </c>
      <c r="B34" s="22"/>
      <c r="C34" s="22"/>
      <c r="D34" s="22"/>
      <c r="E34" s="22"/>
      <c r="F34" s="22"/>
      <c r="G34" s="22"/>
      <c r="H34" s="22"/>
      <c r="I34" s="22"/>
      <c r="K34" s="45"/>
    </row>
    <row r="35" spans="1:11">
      <c r="A35" s="1136" t="s">
        <v>578</v>
      </c>
      <c r="K35" s="45"/>
    </row>
    <row r="36" spans="1:11">
      <c r="A36" s="44"/>
      <c r="K36" s="45"/>
    </row>
    <row r="37" spans="1:11">
      <c r="A37" s="306"/>
      <c r="B37" s="19"/>
      <c r="C37" s="19"/>
      <c r="D37" s="19"/>
      <c r="E37" s="19"/>
      <c r="F37" s="19"/>
      <c r="G37" s="19"/>
      <c r="H37" s="19"/>
      <c r="I37" s="19"/>
      <c r="J37" s="19"/>
      <c r="K37" s="305"/>
    </row>
    <row r="38" spans="1:11">
      <c r="A38" s="44"/>
      <c r="K38" s="45"/>
    </row>
    <row r="39" spans="1:11">
      <c r="A39" s="306"/>
      <c r="B39" s="19"/>
      <c r="C39" s="19"/>
      <c r="D39" s="19"/>
      <c r="E39" s="19"/>
      <c r="F39" s="19"/>
      <c r="G39" s="19"/>
      <c r="H39" s="19"/>
      <c r="I39" s="19"/>
      <c r="J39" s="19"/>
      <c r="K39" s="305"/>
    </row>
    <row r="40" spans="1:11">
      <c r="A40" s="44"/>
      <c r="K40" s="45"/>
    </row>
    <row r="41" spans="1:11">
      <c r="A41" s="306"/>
      <c r="B41" s="19"/>
      <c r="C41" s="19"/>
      <c r="D41" s="19"/>
      <c r="E41" s="19"/>
      <c r="F41" s="19"/>
      <c r="G41" s="19"/>
      <c r="H41" s="19"/>
      <c r="I41" s="19"/>
      <c r="J41" s="19"/>
      <c r="K41" s="305"/>
    </row>
    <row r="42" spans="1:11">
      <c r="A42" s="44"/>
      <c r="K42" s="45"/>
    </row>
    <row r="43" spans="1:11">
      <c r="A43" s="306"/>
      <c r="B43" s="19"/>
      <c r="C43" s="19"/>
      <c r="D43" s="19"/>
      <c r="E43" s="19"/>
      <c r="F43" s="19"/>
      <c r="G43" s="19"/>
      <c r="H43" s="19"/>
      <c r="I43" s="19"/>
      <c r="J43" s="19"/>
      <c r="K43" s="305"/>
    </row>
    <row r="44" spans="1:11">
      <c r="A44" s="44"/>
      <c r="K44" s="45"/>
    </row>
    <row r="45" spans="1:11">
      <c r="A45" s="44"/>
      <c r="K45" s="45"/>
    </row>
    <row r="46" spans="1:11">
      <c r="A46" s="44"/>
      <c r="K46" s="45"/>
    </row>
    <row r="47" spans="1:11">
      <c r="A47" s="44"/>
      <c r="K47" s="45"/>
    </row>
    <row r="48" spans="1:11">
      <c r="A48" s="44"/>
      <c r="K48" s="45"/>
    </row>
    <row r="49" spans="1:11">
      <c r="A49" s="44"/>
      <c r="K49" s="45"/>
    </row>
    <row r="50" spans="1:11">
      <c r="A50" s="44"/>
      <c r="K50" s="45"/>
    </row>
    <row r="51" spans="1:11">
      <c r="A51" s="44"/>
      <c r="K51" s="45"/>
    </row>
    <row r="52" spans="1:11">
      <c r="A52" s="44"/>
      <c r="K52" s="45"/>
    </row>
    <row r="53" spans="1:11">
      <c r="A53" s="44"/>
      <c r="K53" s="45"/>
    </row>
    <row r="54" spans="1:11" ht="13.5" thickBot="1">
      <c r="A54" s="46"/>
      <c r="B54" s="21"/>
      <c r="C54" s="21"/>
      <c r="D54" s="21"/>
      <c r="E54" s="21"/>
      <c r="F54" s="21"/>
      <c r="G54" s="21"/>
      <c r="H54" s="21"/>
      <c r="I54" s="21"/>
      <c r="J54" s="21"/>
      <c r="K54" s="47"/>
    </row>
  </sheetData>
  <mergeCells count="5">
    <mergeCell ref="D10:H10"/>
    <mergeCell ref="D32:E32"/>
    <mergeCell ref="B12:C12"/>
    <mergeCell ref="B14:C14"/>
    <mergeCell ref="B16:C16"/>
  </mergeCells>
  <phoneticPr fontId="0" type="noConversion"/>
  <pageMargins left="0.5" right="0.5" top="1" bottom="1" header="0.5" footer="0.5"/>
  <pageSetup scale="95" orientation="portrait" horizontalDpi="36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563" r:id="rId4" name="Check Box 3">
              <controlPr defaultSize="0" autoFill="0" autoLine="0" autoPict="0">
                <anchor moveWithCells="1">
                  <from>
                    <xdr:col>3</xdr:col>
                    <xdr:colOff>326571</xdr:colOff>
                    <xdr:row>20</xdr:row>
                    <xdr:rowOff>146957</xdr:rowOff>
                  </from>
                  <to>
                    <xdr:col>4</xdr:col>
                    <xdr:colOff>10886</xdr:colOff>
                    <xdr:row>22</xdr:row>
                    <xdr:rowOff>38100</xdr:rowOff>
                  </to>
                </anchor>
              </controlPr>
            </control>
          </mc:Choice>
        </mc:AlternateContent>
        <mc:AlternateContent xmlns:mc="http://schemas.openxmlformats.org/markup-compatibility/2006">
          <mc:Choice Requires="x14">
            <control shapeId="66564" r:id="rId5" name="Check Box 4">
              <controlPr defaultSize="0" autoFill="0" autoLine="0" autoPict="0">
                <anchor moveWithCells="1">
                  <from>
                    <xdr:col>3</xdr:col>
                    <xdr:colOff>334736</xdr:colOff>
                    <xdr:row>22</xdr:row>
                    <xdr:rowOff>146957</xdr:rowOff>
                  </from>
                  <to>
                    <xdr:col>4</xdr:col>
                    <xdr:colOff>19050</xdr:colOff>
                    <xdr:row>24</xdr:row>
                    <xdr:rowOff>38100</xdr:rowOff>
                  </to>
                </anchor>
              </controlPr>
            </control>
          </mc:Choice>
        </mc:AlternateContent>
        <mc:AlternateContent xmlns:mc="http://schemas.openxmlformats.org/markup-compatibility/2006">
          <mc:Choice Requires="x14">
            <control shapeId="66565" r:id="rId6" name="Check Box 5">
              <controlPr defaultSize="0" autoFill="0" autoLine="0" autoPict="0">
                <anchor moveWithCells="1">
                  <from>
                    <xdr:col>5</xdr:col>
                    <xdr:colOff>304800</xdr:colOff>
                    <xdr:row>20</xdr:row>
                    <xdr:rowOff>146957</xdr:rowOff>
                  </from>
                  <to>
                    <xdr:col>5</xdr:col>
                    <xdr:colOff>620486</xdr:colOff>
                    <xdr:row>22</xdr:row>
                    <xdr:rowOff>38100</xdr:rowOff>
                  </to>
                </anchor>
              </controlPr>
            </control>
          </mc:Choice>
        </mc:AlternateContent>
        <mc:AlternateContent xmlns:mc="http://schemas.openxmlformats.org/markup-compatibility/2006">
          <mc:Choice Requires="x14">
            <control shapeId="66566" r:id="rId7" name="Check Box 6">
              <controlPr defaultSize="0" autoFill="0" autoLine="0" autoPict="0">
                <anchor moveWithCells="1">
                  <from>
                    <xdr:col>5</xdr:col>
                    <xdr:colOff>315686</xdr:colOff>
                    <xdr:row>22</xdr:row>
                    <xdr:rowOff>146957</xdr:rowOff>
                  </from>
                  <to>
                    <xdr:col>6</xdr:col>
                    <xdr:colOff>0</xdr:colOff>
                    <xdr:row>24</xdr:row>
                    <xdr:rowOff>38100</xdr:rowOff>
                  </to>
                </anchor>
              </controlPr>
            </control>
          </mc:Choice>
        </mc:AlternateContent>
        <mc:AlternateContent xmlns:mc="http://schemas.openxmlformats.org/markup-compatibility/2006">
          <mc:Choice Requires="x14">
            <control shapeId="66567" r:id="rId8" name="Check Box 7">
              <controlPr defaultSize="0" autoFill="0" autoLine="0" autoPict="0">
                <anchor moveWithCells="1">
                  <from>
                    <xdr:col>5</xdr:col>
                    <xdr:colOff>315686</xdr:colOff>
                    <xdr:row>24</xdr:row>
                    <xdr:rowOff>146957</xdr:rowOff>
                  </from>
                  <to>
                    <xdr:col>6</xdr:col>
                    <xdr:colOff>0</xdr:colOff>
                    <xdr:row>26</xdr:row>
                    <xdr:rowOff>38100</xdr:rowOff>
                  </to>
                </anchor>
              </controlPr>
            </control>
          </mc:Choice>
        </mc:AlternateContent>
        <mc:AlternateContent xmlns:mc="http://schemas.openxmlformats.org/markup-compatibility/2006">
          <mc:Choice Requires="x14">
            <control shapeId="66568" r:id="rId9" name="Check Box 8">
              <controlPr defaultSize="0" autoFill="0" autoLine="0" autoPict="0">
                <anchor moveWithCells="1">
                  <from>
                    <xdr:col>3</xdr:col>
                    <xdr:colOff>334736</xdr:colOff>
                    <xdr:row>24</xdr:row>
                    <xdr:rowOff>108857</xdr:rowOff>
                  </from>
                  <to>
                    <xdr:col>4</xdr:col>
                    <xdr:colOff>19050</xdr:colOff>
                    <xdr:row>26</xdr:row>
                    <xdr:rowOff>87086</xdr:rowOff>
                  </to>
                </anchor>
              </controlPr>
            </control>
          </mc:Choice>
        </mc:AlternateContent>
        <mc:AlternateContent xmlns:mc="http://schemas.openxmlformats.org/markup-compatibility/2006">
          <mc:Choice Requires="x14">
            <control shapeId="66569" r:id="rId10" name="Check Box 9">
              <controlPr defaultSize="0" autoFill="0" autoLine="0" autoPict="0">
                <anchor moveWithCells="1">
                  <from>
                    <xdr:col>7</xdr:col>
                    <xdr:colOff>304800</xdr:colOff>
                    <xdr:row>20</xdr:row>
                    <xdr:rowOff>146957</xdr:rowOff>
                  </from>
                  <to>
                    <xdr:col>7</xdr:col>
                    <xdr:colOff>620486</xdr:colOff>
                    <xdr:row>22</xdr:row>
                    <xdr:rowOff>38100</xdr:rowOff>
                  </to>
                </anchor>
              </controlPr>
            </control>
          </mc:Choice>
        </mc:AlternateContent>
        <mc:AlternateContent xmlns:mc="http://schemas.openxmlformats.org/markup-compatibility/2006">
          <mc:Choice Requires="x14">
            <control shapeId="66570" r:id="rId11" name="Check Box 10">
              <controlPr defaultSize="0" autoFill="0" autoLine="0" autoPict="0">
                <anchor moveWithCells="1">
                  <from>
                    <xdr:col>7</xdr:col>
                    <xdr:colOff>315686</xdr:colOff>
                    <xdr:row>24</xdr:row>
                    <xdr:rowOff>136071</xdr:rowOff>
                  </from>
                  <to>
                    <xdr:col>8</xdr:col>
                    <xdr:colOff>0</xdr:colOff>
                    <xdr:row>26</xdr:row>
                    <xdr:rowOff>29936</xdr:rowOff>
                  </to>
                </anchor>
              </controlPr>
            </control>
          </mc:Choice>
        </mc:AlternateContent>
        <mc:AlternateContent xmlns:mc="http://schemas.openxmlformats.org/markup-compatibility/2006">
          <mc:Choice Requires="x14">
            <control shapeId="66571" r:id="rId12" name="Button 11">
              <controlPr defaultSize="0" print="0" autoFill="0" autoPict="0" macro="[0]!BACKTOMENU">
                <anchor moveWithCells="1">
                  <from>
                    <xdr:col>11</xdr:col>
                    <xdr:colOff>296636</xdr:colOff>
                    <xdr:row>1</xdr:row>
                    <xdr:rowOff>114300</xdr:rowOff>
                  </from>
                  <to>
                    <xdr:col>12</xdr:col>
                    <xdr:colOff>198664</xdr:colOff>
                    <xdr:row>3</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5BAE9-9222-49FA-A004-FBADA38D3CE9}">
  <sheetPr codeName="Sheet2"/>
  <dimension ref="A6:I545"/>
  <sheetViews>
    <sheetView showGridLines="0" showZeros="0" view="pageBreakPreview" zoomScaleNormal="100" workbookViewId="0"/>
  </sheetViews>
  <sheetFormatPr defaultRowHeight="12.9"/>
  <cols>
    <col min="1" max="1" width="9.15234375" style="637" customWidth="1"/>
    <col min="3" max="3" width="9.15234375" style="123" customWidth="1"/>
  </cols>
  <sheetData>
    <row r="6" spans="1:9">
      <c r="A6" s="1744" t="s">
        <v>1257</v>
      </c>
      <c r="B6" s="1744"/>
      <c r="C6" s="1744"/>
      <c r="D6" s="1744"/>
      <c r="E6" s="1744"/>
      <c r="F6" s="1744"/>
      <c r="G6" s="1744"/>
      <c r="H6" s="1744"/>
      <c r="I6" s="1744"/>
    </row>
    <row r="7" spans="1:9">
      <c r="A7" s="1744"/>
      <c r="B7" s="1744"/>
      <c r="C7" s="1744"/>
      <c r="D7" s="1744"/>
      <c r="E7" s="1744"/>
      <c r="F7" s="1744"/>
      <c r="G7" s="1744"/>
      <c r="H7" s="1744"/>
      <c r="I7" s="1744"/>
    </row>
    <row r="8" spans="1:9">
      <c r="A8" s="1744"/>
      <c r="B8" s="1744"/>
      <c r="C8" s="1744"/>
      <c r="D8" s="1744"/>
      <c r="E8" s="1744"/>
      <c r="F8" s="1744"/>
      <c r="G8" s="1744"/>
      <c r="H8" s="1744"/>
      <c r="I8" s="1744"/>
    </row>
    <row r="9" spans="1:9">
      <c r="A9" s="1745" t="s">
        <v>1258</v>
      </c>
      <c r="B9" s="1745"/>
    </row>
    <row r="10" spans="1:9">
      <c r="A10" s="1745"/>
      <c r="B10" s="1745"/>
    </row>
    <row r="11" spans="1:9">
      <c r="A11" s="1745"/>
      <c r="B11" s="1745"/>
      <c r="C11" s="1746">
        <f>Summary!C6</f>
        <v>0</v>
      </c>
      <c r="D11" s="1746"/>
      <c r="E11" s="1746"/>
      <c r="F11" s="1746"/>
      <c r="G11" s="1746"/>
      <c r="H11" s="1746"/>
      <c r="I11" s="1746"/>
    </row>
    <row r="12" spans="1:9" ht="13.1">
      <c r="A12" s="645"/>
      <c r="B12" s="37"/>
    </row>
    <row r="13" spans="1:9">
      <c r="A13" s="1745" t="s">
        <v>1259</v>
      </c>
      <c r="B13" s="1745"/>
    </row>
    <row r="14" spans="1:9">
      <c r="A14" s="1745"/>
      <c r="B14" s="1745"/>
    </row>
    <row r="15" spans="1:9">
      <c r="A15" s="1745"/>
      <c r="B15" s="1745"/>
      <c r="C15" s="1747">
        <f>Summary!C3</f>
        <v>0</v>
      </c>
      <c r="D15" s="1747"/>
      <c r="E15" s="1747"/>
      <c r="F15" s="1747"/>
      <c r="G15" s="1747"/>
      <c r="H15" s="1747"/>
      <c r="I15" s="1747"/>
    </row>
    <row r="16" spans="1:9" ht="13.1">
      <c r="A16" s="645"/>
      <c r="B16" s="37"/>
    </row>
    <row r="17" spans="1:2" ht="13.1">
      <c r="A17" s="645"/>
      <c r="B17" s="37"/>
    </row>
    <row r="53" spans="1:9" ht="13.1">
      <c r="A53" s="1644" t="s">
        <v>1005</v>
      </c>
      <c r="B53" s="1644"/>
      <c r="C53" s="1644"/>
      <c r="D53" s="1644"/>
      <c r="E53" s="1644"/>
      <c r="F53" s="1644"/>
      <c r="G53" s="1644"/>
      <c r="H53" s="1644"/>
      <c r="I53" s="1644"/>
    </row>
    <row r="56" spans="1:9">
      <c r="A56" s="637">
        <v>1</v>
      </c>
      <c r="B56" s="465" t="s">
        <v>1006</v>
      </c>
    </row>
    <row r="58" spans="1:9">
      <c r="B58">
        <v>1.1000000000000001</v>
      </c>
      <c r="C58" s="123" t="s">
        <v>1007</v>
      </c>
    </row>
    <row r="59" spans="1:9">
      <c r="B59">
        <v>1.2</v>
      </c>
      <c r="C59" s="123">
        <f>Summary!C5</f>
        <v>0</v>
      </c>
    </row>
    <row r="60" spans="1:9">
      <c r="B60">
        <v>1.3</v>
      </c>
      <c r="C60" s="123" t="s">
        <v>1008</v>
      </c>
    </row>
    <row r="61" spans="1:9">
      <c r="B61">
        <v>1.4</v>
      </c>
      <c r="C61" s="123" t="s">
        <v>1009</v>
      </c>
    </row>
    <row r="62" spans="1:9">
      <c r="B62">
        <v>1.5</v>
      </c>
      <c r="C62" s="123" t="s">
        <v>1010</v>
      </c>
    </row>
    <row r="63" spans="1:9">
      <c r="B63">
        <v>1.6</v>
      </c>
      <c r="C63" s="123" t="s">
        <v>1013</v>
      </c>
    </row>
    <row r="64" spans="1:9">
      <c r="B64">
        <v>1.7</v>
      </c>
      <c r="C64" s="123" t="s">
        <v>1014</v>
      </c>
    </row>
    <row r="66" spans="1:3">
      <c r="A66" s="637">
        <v>2</v>
      </c>
      <c r="B66" s="465" t="s">
        <v>1015</v>
      </c>
    </row>
    <row r="68" spans="1:3">
      <c r="B68">
        <v>2.1</v>
      </c>
      <c r="C68" s="123" t="s">
        <v>1016</v>
      </c>
    </row>
    <row r="69" spans="1:3">
      <c r="B69">
        <v>2.2000000000000002</v>
      </c>
      <c r="C69" s="123" t="s">
        <v>1017</v>
      </c>
    </row>
    <row r="70" spans="1:3">
      <c r="B70">
        <v>2.2999999999999998</v>
      </c>
      <c r="C70" s="123" t="s">
        <v>1018</v>
      </c>
    </row>
    <row r="72" spans="1:3">
      <c r="A72" s="637">
        <v>3</v>
      </c>
      <c r="B72" s="465" t="s">
        <v>1019</v>
      </c>
    </row>
    <row r="74" spans="1:3">
      <c r="B74">
        <v>3.1</v>
      </c>
      <c r="C74" s="123" t="s">
        <v>1020</v>
      </c>
    </row>
    <row r="75" spans="1:3">
      <c r="B75">
        <v>3.2</v>
      </c>
      <c r="C75" s="123" t="s">
        <v>1023</v>
      </c>
    </row>
    <row r="76" spans="1:3">
      <c r="B76">
        <v>3.3</v>
      </c>
      <c r="C76" s="123" t="s">
        <v>1024</v>
      </c>
    </row>
    <row r="77" spans="1:3">
      <c r="B77">
        <v>3.4</v>
      </c>
      <c r="C77" s="123" t="s">
        <v>1025</v>
      </c>
    </row>
    <row r="78" spans="1:3">
      <c r="B78">
        <v>3.5</v>
      </c>
      <c r="C78" s="123" t="s">
        <v>1026</v>
      </c>
    </row>
    <row r="79" spans="1:3">
      <c r="B79">
        <v>3.6</v>
      </c>
      <c r="C79" s="123" t="s">
        <v>1027</v>
      </c>
    </row>
    <row r="80" spans="1:3">
      <c r="B80">
        <v>3.7</v>
      </c>
      <c r="C80" s="123" t="s">
        <v>1028</v>
      </c>
    </row>
    <row r="81" spans="1:4">
      <c r="B81">
        <v>3.8</v>
      </c>
      <c r="C81" s="123" t="s">
        <v>1029</v>
      </c>
    </row>
    <row r="82" spans="1:4">
      <c r="B82">
        <v>3.9</v>
      </c>
      <c r="C82" s="123" t="s">
        <v>1030</v>
      </c>
    </row>
    <row r="84" spans="1:4">
      <c r="A84" s="637">
        <v>4</v>
      </c>
      <c r="B84" s="465" t="s">
        <v>1031</v>
      </c>
    </row>
    <row r="86" spans="1:4">
      <c r="B86">
        <v>4.0999999999999996</v>
      </c>
      <c r="C86" s="123" t="s">
        <v>1016</v>
      </c>
    </row>
    <row r="87" spans="1:4">
      <c r="B87">
        <v>4.2</v>
      </c>
      <c r="C87" s="123" t="s">
        <v>1032</v>
      </c>
    </row>
    <row r="88" spans="1:4">
      <c r="B88">
        <v>4.3</v>
      </c>
      <c r="C88" s="123" t="s">
        <v>1033</v>
      </c>
    </row>
    <row r="89" spans="1:4">
      <c r="B89">
        <v>4.4000000000000004</v>
      </c>
      <c r="C89" s="123" t="s">
        <v>1034</v>
      </c>
    </row>
    <row r="91" spans="1:4">
      <c r="A91" s="637">
        <v>5</v>
      </c>
      <c r="B91" s="465" t="s">
        <v>1035</v>
      </c>
    </row>
    <row r="93" spans="1:4">
      <c r="B93">
        <v>5.0999999999999996</v>
      </c>
      <c r="C93" s="123" t="s">
        <v>1016</v>
      </c>
    </row>
    <row r="94" spans="1:4">
      <c r="B94">
        <v>5.2</v>
      </c>
      <c r="C94" s="123" t="s">
        <v>1036</v>
      </c>
    </row>
    <row r="95" spans="1:4">
      <c r="B95">
        <v>5.3</v>
      </c>
      <c r="C95" s="123" t="s">
        <v>1037</v>
      </c>
    </row>
    <row r="96" spans="1:4">
      <c r="C96" s="123" t="s">
        <v>1038</v>
      </c>
      <c r="D96" t="s">
        <v>1039</v>
      </c>
    </row>
    <row r="97" spans="1:4">
      <c r="C97" s="123" t="s">
        <v>1040</v>
      </c>
      <c r="D97" t="s">
        <v>1041</v>
      </c>
    </row>
    <row r="98" spans="1:4">
      <c r="B98">
        <v>5.4</v>
      </c>
      <c r="C98" s="123" t="s">
        <v>1042</v>
      </c>
    </row>
    <row r="100" spans="1:4">
      <c r="A100" s="637">
        <v>6</v>
      </c>
      <c r="B100" s="465" t="s">
        <v>1043</v>
      </c>
    </row>
    <row r="102" spans="1:4">
      <c r="B102">
        <v>6.1</v>
      </c>
      <c r="C102" s="123" t="s">
        <v>1016</v>
      </c>
    </row>
    <row r="104" spans="1:4">
      <c r="B104">
        <v>6.2</v>
      </c>
      <c r="C104" s="123" t="s">
        <v>1007</v>
      </c>
    </row>
    <row r="105" spans="1:4">
      <c r="B105">
        <v>6.3</v>
      </c>
      <c r="C105" s="123" t="s">
        <v>1044</v>
      </c>
    </row>
    <row r="107" spans="1:4">
      <c r="A107" s="637">
        <v>7</v>
      </c>
      <c r="B107" s="465" t="s">
        <v>1045</v>
      </c>
    </row>
    <row r="109" spans="1:4">
      <c r="B109">
        <v>7.1</v>
      </c>
      <c r="C109" s="123" t="s">
        <v>1016</v>
      </c>
    </row>
    <row r="110" spans="1:4">
      <c r="B110">
        <v>7.2</v>
      </c>
      <c r="C110" s="123" t="s">
        <v>1046</v>
      </c>
    </row>
    <row r="111" spans="1:4">
      <c r="B111">
        <v>7.3</v>
      </c>
      <c r="C111" s="123" t="s">
        <v>1047</v>
      </c>
    </row>
    <row r="112" spans="1:4">
      <c r="C112" s="123" t="s">
        <v>1048</v>
      </c>
      <c r="D112" t="s">
        <v>1049</v>
      </c>
    </row>
    <row r="113" spans="1:4">
      <c r="C113" s="123" t="s">
        <v>1050</v>
      </c>
      <c r="D113" t="s">
        <v>1051</v>
      </c>
    </row>
    <row r="114" spans="1:4">
      <c r="B114">
        <v>7.4</v>
      </c>
      <c r="C114" s="123" t="s">
        <v>1052</v>
      </c>
    </row>
    <row r="115" spans="1:4">
      <c r="C115" s="123" t="s">
        <v>1053</v>
      </c>
      <c r="D115" t="s">
        <v>1054</v>
      </c>
    </row>
    <row r="116" spans="1:4">
      <c r="C116" s="123" t="s">
        <v>1055</v>
      </c>
      <c r="D116" t="s">
        <v>1056</v>
      </c>
    </row>
    <row r="117" spans="1:4">
      <c r="B117">
        <v>7.5</v>
      </c>
      <c r="C117" s="123" t="s">
        <v>1057</v>
      </c>
    </row>
    <row r="118" spans="1:4">
      <c r="B118">
        <v>7.6</v>
      </c>
      <c r="C118" s="123" t="s">
        <v>1058</v>
      </c>
    </row>
    <row r="120" spans="1:4">
      <c r="A120" s="637">
        <v>8</v>
      </c>
      <c r="B120" s="465" t="s">
        <v>1059</v>
      </c>
    </row>
    <row r="122" spans="1:4">
      <c r="B122">
        <v>8.1</v>
      </c>
      <c r="C122" s="123" t="s">
        <v>1016</v>
      </c>
    </row>
    <row r="123" spans="1:4">
      <c r="B123">
        <v>8.1999999999999993</v>
      </c>
      <c r="C123" s="123" t="s">
        <v>1007</v>
      </c>
    </row>
    <row r="124" spans="1:4">
      <c r="B124">
        <v>8.3000000000000007</v>
      </c>
      <c r="C124" s="123" t="s">
        <v>1027</v>
      </c>
    </row>
    <row r="126" spans="1:4">
      <c r="A126" s="637">
        <v>9</v>
      </c>
      <c r="B126" s="465" t="s">
        <v>1060</v>
      </c>
    </row>
    <row r="128" spans="1:4">
      <c r="B128">
        <v>9.1</v>
      </c>
      <c r="C128" s="123" t="s">
        <v>1016</v>
      </c>
    </row>
    <row r="129" spans="1:4">
      <c r="B129">
        <v>9.1999999999999993</v>
      </c>
      <c r="C129" s="123" t="s">
        <v>1061</v>
      </c>
    </row>
    <row r="130" spans="1:4">
      <c r="B130">
        <v>9.3000000000000007</v>
      </c>
      <c r="C130" s="123" t="s">
        <v>1062</v>
      </c>
    </row>
    <row r="131" spans="1:4">
      <c r="C131" s="123" t="s">
        <v>1063</v>
      </c>
      <c r="D131" t="s">
        <v>1064</v>
      </c>
    </row>
    <row r="132" spans="1:4">
      <c r="C132" s="123" t="s">
        <v>1065</v>
      </c>
      <c r="D132" t="s">
        <v>1066</v>
      </c>
    </row>
    <row r="134" spans="1:4">
      <c r="A134" s="637">
        <v>10</v>
      </c>
      <c r="B134" s="465" t="s">
        <v>1067</v>
      </c>
    </row>
    <row r="136" spans="1:4">
      <c r="B136">
        <v>10.1</v>
      </c>
      <c r="C136" s="123" t="s">
        <v>1016</v>
      </c>
    </row>
    <row r="137" spans="1:4">
      <c r="B137">
        <v>10.199999999999999</v>
      </c>
      <c r="C137" s="123" t="s">
        <v>1068</v>
      </c>
    </row>
    <row r="157" spans="1:9">
      <c r="A157" s="637">
        <v>1</v>
      </c>
      <c r="B157" s="1742" t="s">
        <v>1069</v>
      </c>
      <c r="C157" s="1742"/>
      <c r="D157" s="1742"/>
      <c r="E157" s="1742"/>
      <c r="F157" s="1742"/>
      <c r="G157" s="1742"/>
      <c r="H157" s="1742"/>
      <c r="I157" s="1742"/>
    </row>
    <row r="160" spans="1:9">
      <c r="C160" s="123" t="s">
        <v>1070</v>
      </c>
    </row>
    <row r="162" spans="3:3">
      <c r="C162" s="123" t="s">
        <v>1071</v>
      </c>
    </row>
    <row r="164" spans="3:3">
      <c r="C164" s="123" t="s">
        <v>1072</v>
      </c>
    </row>
    <row r="166" spans="3:3">
      <c r="C166" s="123" t="s">
        <v>1073</v>
      </c>
    </row>
    <row r="168" spans="3:3">
      <c r="C168" s="123" t="s">
        <v>1074</v>
      </c>
    </row>
    <row r="170" spans="3:3">
      <c r="C170" s="123" t="s">
        <v>1075</v>
      </c>
    </row>
    <row r="172" spans="3:3">
      <c r="C172" s="123" t="s">
        <v>1076</v>
      </c>
    </row>
    <row r="209" spans="2:9">
      <c r="B209" t="s">
        <v>1070</v>
      </c>
      <c r="G209" s="1743" t="s">
        <v>1078</v>
      </c>
      <c r="H209" s="1743"/>
      <c r="I209" s="1743"/>
    </row>
    <row r="211" spans="2:9">
      <c r="C211" s="123" t="s">
        <v>1077</v>
      </c>
    </row>
    <row r="212" spans="2:9">
      <c r="F212" t="s">
        <v>1079</v>
      </c>
      <c r="H212" s="643" t="s">
        <v>1089</v>
      </c>
      <c r="I212" s="19"/>
    </row>
    <row r="213" spans="2:9">
      <c r="C213" s="638">
        <f>Summary!C63</f>
        <v>0</v>
      </c>
      <c r="D213" s="19"/>
      <c r="E213" s="19"/>
      <c r="F213" t="s">
        <v>1080</v>
      </c>
      <c r="H213" s="18" t="s">
        <v>1090</v>
      </c>
      <c r="I213" s="18"/>
    </row>
    <row r="214" spans="2:9">
      <c r="F214" t="s">
        <v>1088</v>
      </c>
      <c r="H214" s="640" t="s">
        <v>1091</v>
      </c>
    </row>
    <row r="216" spans="2:9">
      <c r="C216" s="639"/>
      <c r="D216" s="465"/>
      <c r="E216" s="465"/>
    </row>
    <row r="217" spans="2:9">
      <c r="C217" s="123" t="s">
        <v>1092</v>
      </c>
    </row>
    <row r="218" spans="2:9">
      <c r="F218" t="s">
        <v>1079</v>
      </c>
      <c r="H218" s="19"/>
      <c r="I218" s="19"/>
    </row>
    <row r="219" spans="2:9">
      <c r="C219" s="641">
        <f>Summary!C15</f>
        <v>0</v>
      </c>
      <c r="D219" s="19"/>
      <c r="E219" s="19"/>
      <c r="F219" t="s">
        <v>1080</v>
      </c>
      <c r="H219" s="19"/>
      <c r="I219" s="19"/>
    </row>
    <row r="220" spans="2:9">
      <c r="F220" t="s">
        <v>1088</v>
      </c>
      <c r="H220" s="19"/>
      <c r="I220" s="19"/>
    </row>
    <row r="222" spans="2:9">
      <c r="C222" s="638"/>
      <c r="D222" s="19"/>
      <c r="E222" s="19"/>
      <c r="F222" t="s">
        <v>1079</v>
      </c>
      <c r="H222" s="19"/>
      <c r="I222" s="19"/>
    </row>
    <row r="223" spans="2:9">
      <c r="F223" t="s">
        <v>1080</v>
      </c>
      <c r="H223" s="18"/>
      <c r="I223" s="18"/>
    </row>
    <row r="224" spans="2:9">
      <c r="F224" t="s">
        <v>1088</v>
      </c>
      <c r="H224" s="19"/>
      <c r="I224" s="19"/>
    </row>
    <row r="226" spans="2:9">
      <c r="C226" s="123" t="s">
        <v>1093</v>
      </c>
      <c r="F226" t="s">
        <v>1080</v>
      </c>
      <c r="H226" s="19"/>
      <c r="I226" s="19"/>
    </row>
    <row r="227" spans="2:9">
      <c r="F227" t="s">
        <v>1080</v>
      </c>
      <c r="H227" s="19"/>
      <c r="I227" s="19"/>
    </row>
    <row r="228" spans="2:9">
      <c r="C228" s="638"/>
      <c r="D228" s="19"/>
      <c r="E228" s="19"/>
      <c r="F228" t="s">
        <v>1080</v>
      </c>
      <c r="H228" s="18"/>
      <c r="I228" s="18"/>
    </row>
    <row r="229" spans="2:9">
      <c r="F229" t="s">
        <v>1080</v>
      </c>
      <c r="H229" s="19"/>
      <c r="I229" s="19"/>
    </row>
    <row r="230" spans="2:9">
      <c r="F230" t="s">
        <v>1080</v>
      </c>
      <c r="H230" s="18"/>
      <c r="I230" s="18"/>
    </row>
    <row r="231" spans="2:9">
      <c r="C231" s="638"/>
      <c r="D231" s="19"/>
      <c r="E231" s="19"/>
      <c r="F231" t="s">
        <v>1080</v>
      </c>
      <c r="H231" s="19"/>
      <c r="I231" s="19"/>
    </row>
    <row r="234" spans="2:9">
      <c r="B234" s="642" t="s">
        <v>1094</v>
      </c>
      <c r="C234" s="123">
        <f>Summary!C5</f>
        <v>0</v>
      </c>
    </row>
    <row r="236" spans="2:9">
      <c r="C236" s="123" t="s">
        <v>1095</v>
      </c>
      <c r="G236" t="s">
        <v>565</v>
      </c>
      <c r="H236" s="18"/>
      <c r="I236" s="18"/>
    </row>
    <row r="237" spans="2:9">
      <c r="G237" t="s">
        <v>1097</v>
      </c>
      <c r="H237" s="19"/>
      <c r="I237" s="19"/>
    </row>
    <row r="238" spans="2:9">
      <c r="C238" s="123" t="s">
        <v>1096</v>
      </c>
      <c r="G238" t="s">
        <v>565</v>
      </c>
      <c r="H238" s="18"/>
      <c r="I238" s="18"/>
    </row>
    <row r="239" spans="2:9">
      <c r="G239" t="s">
        <v>1097</v>
      </c>
      <c r="H239" s="19"/>
      <c r="I239" s="19"/>
    </row>
    <row r="241" spans="2:9">
      <c r="C241" s="123" t="s">
        <v>1098</v>
      </c>
    </row>
    <row r="242" spans="2:9">
      <c r="G242" t="s">
        <v>565</v>
      </c>
      <c r="H242" s="18"/>
      <c r="I242" s="18"/>
    </row>
    <row r="243" spans="2:9">
      <c r="C243" s="638">
        <f>Summary!C62</f>
        <v>0</v>
      </c>
      <c r="D243" s="19"/>
      <c r="E243" s="19"/>
      <c r="G243" t="s">
        <v>564</v>
      </c>
      <c r="H243" s="19"/>
      <c r="I243" s="19"/>
    </row>
    <row r="244" spans="2:9">
      <c r="G244" t="s">
        <v>565</v>
      </c>
      <c r="H244" s="18"/>
      <c r="I244" s="18"/>
    </row>
    <row r="245" spans="2:9">
      <c r="C245" s="638"/>
      <c r="D245" s="19"/>
      <c r="E245" s="19"/>
      <c r="G245" t="s">
        <v>564</v>
      </c>
      <c r="H245" s="19"/>
      <c r="I245" s="19"/>
    </row>
    <row r="248" spans="2:9">
      <c r="B248" t="s">
        <v>1099</v>
      </c>
    </row>
    <row r="249" spans="2:9">
      <c r="B249" t="s">
        <v>1100</v>
      </c>
    </row>
    <row r="250" spans="2:9">
      <c r="C250" s="638"/>
      <c r="D250" s="19"/>
      <c r="E250" t="s">
        <v>1101</v>
      </c>
      <c r="G250" t="s">
        <v>1102</v>
      </c>
      <c r="H250" s="19"/>
      <c r="I250" s="19"/>
    </row>
    <row r="251" spans="2:9">
      <c r="B251" t="s">
        <v>1103</v>
      </c>
      <c r="G251" t="s">
        <v>1097</v>
      </c>
      <c r="H251" s="18"/>
      <c r="I251" s="18"/>
    </row>
    <row r="252" spans="2:9">
      <c r="C252" s="638"/>
      <c r="D252" s="19"/>
    </row>
    <row r="254" spans="2:9">
      <c r="B254" t="s">
        <v>1104</v>
      </c>
    </row>
    <row r="255" spans="2:9">
      <c r="C255" s="638"/>
      <c r="D255" s="19"/>
      <c r="E255" t="s">
        <v>1105</v>
      </c>
      <c r="G255" t="s">
        <v>1102</v>
      </c>
      <c r="H255" s="19"/>
      <c r="I255" s="19"/>
    </row>
    <row r="256" spans="2:9">
      <c r="C256" s="123" t="s">
        <v>1106</v>
      </c>
      <c r="G256" t="s">
        <v>565</v>
      </c>
      <c r="H256" s="18"/>
      <c r="I256" s="18"/>
    </row>
    <row r="257" spans="2:9">
      <c r="C257" s="638"/>
      <c r="D257" s="19"/>
    </row>
    <row r="261" spans="2:9">
      <c r="B261" t="s">
        <v>1107</v>
      </c>
      <c r="E261" s="19"/>
      <c r="F261" s="19"/>
      <c r="G261" s="19"/>
    </row>
    <row r="262" spans="2:9">
      <c r="C262" s="123" t="s">
        <v>1108</v>
      </c>
      <c r="G262" t="s">
        <v>565</v>
      </c>
      <c r="H262" s="19"/>
      <c r="I262" s="19"/>
    </row>
    <row r="263" spans="2:9">
      <c r="C263" s="638"/>
      <c r="D263" s="19"/>
      <c r="E263" s="19"/>
      <c r="G263" t="s">
        <v>564</v>
      </c>
      <c r="H263" s="18"/>
      <c r="I263" s="18"/>
    </row>
    <row r="266" spans="2:9">
      <c r="B266" t="s">
        <v>1109</v>
      </c>
      <c r="E266" s="19"/>
      <c r="F266" s="19"/>
      <c r="G266" s="19"/>
    </row>
    <row r="267" spans="2:9">
      <c r="C267" s="123" t="s">
        <v>1108</v>
      </c>
      <c r="G267" t="s">
        <v>565</v>
      </c>
      <c r="H267" s="19"/>
      <c r="I267" s="19"/>
    </row>
    <row r="268" spans="2:9">
      <c r="C268" s="638"/>
      <c r="D268" s="19"/>
      <c r="E268" s="19"/>
      <c r="G268" t="s">
        <v>564</v>
      </c>
      <c r="H268" s="18"/>
      <c r="I268" s="18"/>
    </row>
    <row r="269" spans="2:9">
      <c r="G269" s="335" t="s">
        <v>1110</v>
      </c>
      <c r="H269" s="18"/>
      <c r="I269" s="18"/>
    </row>
    <row r="271" spans="2:9">
      <c r="B271" t="s">
        <v>1111</v>
      </c>
      <c r="D271" s="19"/>
      <c r="E271" s="19"/>
      <c r="F271" s="19"/>
    </row>
    <row r="272" spans="2:9">
      <c r="C272" s="123" t="s">
        <v>1108</v>
      </c>
      <c r="G272" t="s">
        <v>565</v>
      </c>
      <c r="H272" s="19"/>
      <c r="I272" s="19"/>
    </row>
    <row r="273" spans="2:9">
      <c r="C273" s="638"/>
      <c r="D273" s="19"/>
      <c r="E273" s="19"/>
      <c r="G273" t="s">
        <v>564</v>
      </c>
      <c r="H273" s="18"/>
      <c r="I273" s="18"/>
    </row>
    <row r="274" spans="2:9">
      <c r="G274" s="335" t="s">
        <v>1110</v>
      </c>
      <c r="H274" s="18"/>
      <c r="I274" s="18"/>
    </row>
    <row r="277" spans="2:9">
      <c r="B277" t="s">
        <v>1113</v>
      </c>
    </row>
    <row r="278" spans="2:9">
      <c r="C278" s="123" t="s">
        <v>1114</v>
      </c>
      <c r="G278" t="s">
        <v>1102</v>
      </c>
      <c r="H278" s="19" t="s">
        <v>1117</v>
      </c>
      <c r="I278" s="19"/>
    </row>
    <row r="279" spans="2:9">
      <c r="C279" s="123" t="s">
        <v>1115</v>
      </c>
    </row>
    <row r="280" spans="2:9">
      <c r="C280" s="638" t="s">
        <v>1116</v>
      </c>
      <c r="D280" s="19"/>
      <c r="E280" s="19"/>
    </row>
    <row r="283" spans="2:9">
      <c r="B283" t="s">
        <v>1118</v>
      </c>
    </row>
    <row r="285" spans="2:9">
      <c r="B285" t="s">
        <v>1119</v>
      </c>
      <c r="G285" t="s">
        <v>565</v>
      </c>
      <c r="H285" s="19" t="s">
        <v>1122</v>
      </c>
      <c r="I285" s="19"/>
    </row>
    <row r="286" spans="2:9">
      <c r="B286" t="s">
        <v>1120</v>
      </c>
      <c r="G286" t="s">
        <v>1102</v>
      </c>
      <c r="H286" s="18" t="s">
        <v>1123</v>
      </c>
      <c r="I286" s="18"/>
    </row>
    <row r="287" spans="2:9">
      <c r="B287" t="s">
        <v>1121</v>
      </c>
    </row>
    <row r="289" spans="2:9">
      <c r="B289" t="s">
        <v>1124</v>
      </c>
    </row>
    <row r="290" spans="2:9">
      <c r="B290" t="s">
        <v>1125</v>
      </c>
      <c r="G290" t="s">
        <v>565</v>
      </c>
      <c r="H290" s="19" t="s">
        <v>1127</v>
      </c>
      <c r="I290" s="19"/>
    </row>
    <row r="293" spans="2:9">
      <c r="B293" t="s">
        <v>1128</v>
      </c>
    </row>
    <row r="294" spans="2:9">
      <c r="B294" t="s">
        <v>1129</v>
      </c>
    </row>
    <row r="295" spans="2:9">
      <c r="B295" s="19"/>
      <c r="C295" s="638"/>
      <c r="D295" s="19"/>
      <c r="G295" t="s">
        <v>1131</v>
      </c>
      <c r="H295" s="19"/>
      <c r="I295" s="19"/>
    </row>
    <row r="297" spans="2:9">
      <c r="B297" s="19"/>
      <c r="C297" s="638"/>
      <c r="D297" s="19"/>
      <c r="H297" s="19"/>
      <c r="I297" s="19"/>
    </row>
    <row r="299" spans="2:9">
      <c r="B299" t="s">
        <v>1130</v>
      </c>
      <c r="G299" t="s">
        <v>565</v>
      </c>
      <c r="H299" s="19"/>
      <c r="I299" s="19"/>
    </row>
    <row r="300" spans="2:9">
      <c r="B300" s="19"/>
      <c r="C300" s="638"/>
      <c r="D300" s="19"/>
    </row>
    <row r="302" spans="2:9">
      <c r="G302" t="s">
        <v>565</v>
      </c>
      <c r="H302" s="19"/>
      <c r="I302" s="19"/>
    </row>
    <row r="303" spans="2:9">
      <c r="B303" s="19"/>
      <c r="C303" s="638"/>
      <c r="D303" s="19"/>
    </row>
    <row r="306" spans="2:9">
      <c r="B306" t="s">
        <v>1132</v>
      </c>
    </row>
    <row r="307" spans="2:9">
      <c r="G307" t="s">
        <v>565</v>
      </c>
      <c r="H307" s="19"/>
      <c r="I307" s="19"/>
    </row>
    <row r="308" spans="2:9">
      <c r="B308" s="19"/>
      <c r="C308" s="638"/>
      <c r="D308" s="19"/>
    </row>
    <row r="313" spans="2:9">
      <c r="B313" t="s">
        <v>1133</v>
      </c>
    </row>
    <row r="314" spans="2:9">
      <c r="B314" t="s">
        <v>1134</v>
      </c>
    </row>
    <row r="315" spans="2:9">
      <c r="G315" t="s">
        <v>565</v>
      </c>
      <c r="H315" s="19"/>
      <c r="I315" s="19"/>
    </row>
    <row r="316" spans="2:9">
      <c r="B316" s="19"/>
      <c r="C316" s="638"/>
      <c r="D316" s="19"/>
      <c r="G316" t="s">
        <v>1131</v>
      </c>
      <c r="H316" s="18"/>
      <c r="I316" s="18"/>
    </row>
    <row r="319" spans="2:9">
      <c r="B319" t="s">
        <v>1135</v>
      </c>
      <c r="G319" t="s">
        <v>1102</v>
      </c>
      <c r="H319" s="19" t="s">
        <v>1136</v>
      </c>
      <c r="I319" s="19"/>
    </row>
    <row r="322" spans="2:9">
      <c r="B322" t="s">
        <v>1137</v>
      </c>
    </row>
    <row r="323" spans="2:9">
      <c r="B323" s="19"/>
      <c r="C323" s="638"/>
      <c r="D323" s="19"/>
      <c r="E323" t="s">
        <v>1140</v>
      </c>
      <c r="G323" t="s">
        <v>565</v>
      </c>
      <c r="H323" s="19"/>
      <c r="I323" s="19"/>
    </row>
    <row r="325" spans="2:9">
      <c r="B325" s="19"/>
      <c r="C325" s="638"/>
      <c r="D325" s="19"/>
      <c r="E325" t="s">
        <v>1138</v>
      </c>
      <c r="G325" t="s">
        <v>565</v>
      </c>
      <c r="H325" s="19"/>
      <c r="I325" s="19"/>
    </row>
    <row r="328" spans="2:9">
      <c r="B328" t="s">
        <v>1141</v>
      </c>
    </row>
    <row r="329" spans="2:9">
      <c r="G329" t="s">
        <v>1102</v>
      </c>
      <c r="H329" s="19"/>
      <c r="I329" s="19"/>
    </row>
    <row r="330" spans="2:9">
      <c r="G330" t="s">
        <v>565</v>
      </c>
      <c r="H330" s="18"/>
      <c r="I330" s="18"/>
    </row>
    <row r="331" spans="2:9">
      <c r="G331" t="s">
        <v>1080</v>
      </c>
      <c r="H331" s="18"/>
      <c r="I331" s="18"/>
    </row>
    <row r="332" spans="2:9">
      <c r="B332" s="19"/>
      <c r="C332" s="638"/>
      <c r="D332" s="19"/>
      <c r="G332" t="s">
        <v>1142</v>
      </c>
      <c r="H332" s="18"/>
      <c r="I332" s="18"/>
    </row>
    <row r="333" spans="2:9">
      <c r="G333" t="s">
        <v>1102</v>
      </c>
      <c r="H333" s="19"/>
      <c r="I333" s="19"/>
    </row>
    <row r="334" spans="2:9">
      <c r="G334" t="s">
        <v>565</v>
      </c>
      <c r="H334" s="18"/>
      <c r="I334" s="18"/>
    </row>
    <row r="335" spans="2:9">
      <c r="G335" t="s">
        <v>1080</v>
      </c>
      <c r="H335" s="18"/>
      <c r="I335" s="18"/>
    </row>
    <row r="336" spans="2:9">
      <c r="B336" s="19"/>
      <c r="C336" s="638"/>
      <c r="D336" s="19"/>
      <c r="G336" t="s">
        <v>1142</v>
      </c>
      <c r="H336" s="18"/>
      <c r="I336" s="18"/>
    </row>
    <row r="337" spans="2:9">
      <c r="G337" t="s">
        <v>1102</v>
      </c>
      <c r="H337" s="19"/>
      <c r="I337" s="19"/>
    </row>
    <row r="338" spans="2:9">
      <c r="G338" t="s">
        <v>565</v>
      </c>
      <c r="H338" s="18"/>
      <c r="I338" s="18"/>
    </row>
    <row r="339" spans="2:9">
      <c r="G339" t="s">
        <v>1080</v>
      </c>
      <c r="H339" s="18"/>
      <c r="I339" s="18"/>
    </row>
    <row r="340" spans="2:9">
      <c r="B340" s="19"/>
      <c r="C340" s="638"/>
      <c r="D340" s="19"/>
      <c r="G340" t="s">
        <v>1142</v>
      </c>
      <c r="H340" s="18"/>
      <c r="I340" s="18"/>
    </row>
    <row r="341" spans="2:9">
      <c r="G341" t="s">
        <v>1102</v>
      </c>
      <c r="H341" s="19"/>
      <c r="I341" s="19"/>
    </row>
    <row r="342" spans="2:9">
      <c r="G342" t="s">
        <v>565</v>
      </c>
      <c r="H342" s="18"/>
      <c r="I342" s="18"/>
    </row>
    <row r="343" spans="2:9">
      <c r="G343" t="s">
        <v>1080</v>
      </c>
      <c r="H343" s="18"/>
      <c r="I343" s="18"/>
    </row>
    <row r="344" spans="2:9">
      <c r="B344" s="19"/>
      <c r="C344" s="638"/>
      <c r="D344" s="19"/>
      <c r="G344" t="s">
        <v>1142</v>
      </c>
      <c r="H344" s="18"/>
      <c r="I344" s="18"/>
    </row>
    <row r="345" spans="2:9">
      <c r="G345" t="s">
        <v>1102</v>
      </c>
      <c r="H345" s="19"/>
      <c r="I345" s="19"/>
    </row>
    <row r="346" spans="2:9">
      <c r="G346" t="s">
        <v>565</v>
      </c>
      <c r="H346" s="18"/>
      <c r="I346" s="18"/>
    </row>
    <row r="347" spans="2:9">
      <c r="G347" t="s">
        <v>1080</v>
      </c>
      <c r="H347" s="18"/>
      <c r="I347" s="18"/>
    </row>
    <row r="348" spans="2:9">
      <c r="B348" s="19"/>
      <c r="C348" s="638"/>
      <c r="D348" s="19"/>
      <c r="G348" t="s">
        <v>1142</v>
      </c>
      <c r="H348" s="18"/>
      <c r="I348" s="18"/>
    </row>
    <row r="349" spans="2:9">
      <c r="G349" t="s">
        <v>1102</v>
      </c>
      <c r="H349" s="19"/>
      <c r="I349" s="19"/>
    </row>
    <row r="350" spans="2:9">
      <c r="G350" t="s">
        <v>565</v>
      </c>
      <c r="H350" s="18"/>
      <c r="I350" s="18"/>
    </row>
    <row r="351" spans="2:9">
      <c r="G351" t="s">
        <v>1080</v>
      </c>
      <c r="H351" s="18"/>
      <c r="I351" s="18"/>
    </row>
    <row r="352" spans="2:9">
      <c r="B352" s="19"/>
      <c r="C352" s="638"/>
      <c r="D352" s="19"/>
      <c r="G352" t="s">
        <v>1142</v>
      </c>
      <c r="H352" s="18"/>
      <c r="I352" s="18"/>
    </row>
    <row r="353" spans="2:9">
      <c r="G353" t="s">
        <v>1102</v>
      </c>
      <c r="H353" s="19"/>
      <c r="I353" s="19"/>
    </row>
    <row r="354" spans="2:9">
      <c r="G354" t="s">
        <v>565</v>
      </c>
      <c r="H354" s="18"/>
      <c r="I354" s="18"/>
    </row>
    <row r="355" spans="2:9">
      <c r="G355" t="s">
        <v>1080</v>
      </c>
      <c r="H355" s="18"/>
      <c r="I355" s="18"/>
    </row>
    <row r="356" spans="2:9">
      <c r="B356" s="19"/>
      <c r="C356" s="638"/>
      <c r="D356" s="19"/>
      <c r="G356" t="s">
        <v>1142</v>
      </c>
      <c r="H356" s="18"/>
      <c r="I356" s="18"/>
    </row>
    <row r="357" spans="2:9">
      <c r="G357" t="s">
        <v>1102</v>
      </c>
      <c r="H357" s="19"/>
      <c r="I357" s="19"/>
    </row>
    <row r="358" spans="2:9">
      <c r="G358" t="s">
        <v>565</v>
      </c>
      <c r="H358" s="18"/>
      <c r="I358" s="18"/>
    </row>
    <row r="359" spans="2:9">
      <c r="G359" t="s">
        <v>1080</v>
      </c>
      <c r="H359" s="18"/>
      <c r="I359" s="18"/>
    </row>
    <row r="360" spans="2:9">
      <c r="B360" s="19"/>
      <c r="C360" s="638"/>
      <c r="D360" s="19"/>
      <c r="G360" t="s">
        <v>1142</v>
      </c>
      <c r="H360" s="18"/>
      <c r="I360" s="18"/>
    </row>
    <row r="365" spans="2:9">
      <c r="B365" t="s">
        <v>1143</v>
      </c>
    </row>
    <row r="367" spans="2:9">
      <c r="B367" t="s">
        <v>1144</v>
      </c>
    </row>
    <row r="369" spans="2:9">
      <c r="B369" t="s">
        <v>1147</v>
      </c>
      <c r="C369" s="638"/>
      <c r="D369" s="19"/>
      <c r="E369" s="19"/>
      <c r="G369" t="s">
        <v>565</v>
      </c>
      <c r="H369" s="19"/>
      <c r="I369" s="19"/>
    </row>
    <row r="370" spans="2:9">
      <c r="G370" t="s">
        <v>1145</v>
      </c>
      <c r="H370" s="18"/>
      <c r="I370" s="18"/>
    </row>
    <row r="371" spans="2:9">
      <c r="G371" t="s">
        <v>1102</v>
      </c>
      <c r="H371" s="18"/>
      <c r="I371" s="18"/>
    </row>
    <row r="372" spans="2:9">
      <c r="G372" t="s">
        <v>564</v>
      </c>
      <c r="H372" s="18" t="s">
        <v>1146</v>
      </c>
      <c r="I372" s="18"/>
    </row>
    <row r="374" spans="2:9">
      <c r="B374" t="s">
        <v>1148</v>
      </c>
    </row>
    <row r="376" spans="2:9">
      <c r="B376" t="s">
        <v>1147</v>
      </c>
      <c r="C376" s="638"/>
      <c r="D376" s="19"/>
      <c r="E376" s="19"/>
      <c r="G376" t="s">
        <v>565</v>
      </c>
      <c r="H376" s="19"/>
      <c r="I376" s="19"/>
    </row>
    <row r="377" spans="2:9">
      <c r="G377" t="s">
        <v>565</v>
      </c>
      <c r="H377" s="18"/>
      <c r="I377" s="18"/>
    </row>
    <row r="379" spans="2:9">
      <c r="B379" t="s">
        <v>1149</v>
      </c>
    </row>
    <row r="381" spans="2:9">
      <c r="B381" t="s">
        <v>1147</v>
      </c>
      <c r="C381" s="638"/>
      <c r="D381" s="19"/>
      <c r="E381" s="19"/>
      <c r="G381" t="s">
        <v>565</v>
      </c>
      <c r="H381" s="19"/>
      <c r="I381" s="19"/>
    </row>
    <row r="382" spans="2:9">
      <c r="G382" t="s">
        <v>565</v>
      </c>
      <c r="H382" s="18"/>
      <c r="I382" s="18"/>
    </row>
    <row r="383" spans="2:9">
      <c r="G383" t="s">
        <v>1150</v>
      </c>
      <c r="H383" s="18"/>
      <c r="I383" s="18"/>
    </row>
    <row r="385" spans="2:9">
      <c r="B385" t="s">
        <v>1151</v>
      </c>
    </row>
    <row r="387" spans="2:9">
      <c r="B387" t="s">
        <v>1152</v>
      </c>
    </row>
    <row r="388" spans="2:9">
      <c r="C388" s="123" t="s">
        <v>1153</v>
      </c>
      <c r="G388" t="s">
        <v>1102</v>
      </c>
      <c r="H388" s="19" t="s">
        <v>1154</v>
      </c>
      <c r="I388" s="19"/>
    </row>
    <row r="389" spans="2:9">
      <c r="C389" s="123" t="s">
        <v>1156</v>
      </c>
      <c r="G389" t="s">
        <v>1102</v>
      </c>
      <c r="H389" s="18" t="s">
        <v>1155</v>
      </c>
      <c r="I389" s="18"/>
    </row>
    <row r="391" spans="2:9">
      <c r="B391" t="s">
        <v>1157</v>
      </c>
    </row>
    <row r="392" spans="2:9">
      <c r="C392" s="123" t="s">
        <v>1158</v>
      </c>
      <c r="G392" t="s">
        <v>1102</v>
      </c>
      <c r="H392" s="19" t="s">
        <v>1160</v>
      </c>
      <c r="I392" s="19"/>
    </row>
    <row r="393" spans="2:9">
      <c r="C393" s="123" t="s">
        <v>1159</v>
      </c>
      <c r="G393" t="s">
        <v>1102</v>
      </c>
      <c r="H393" s="18" t="s">
        <v>1161</v>
      </c>
      <c r="I393" s="18"/>
    </row>
    <row r="395" spans="2:9">
      <c r="B395" t="s">
        <v>1162</v>
      </c>
    </row>
    <row r="396" spans="2:9">
      <c r="C396" s="638"/>
      <c r="D396" s="19"/>
      <c r="E396" s="19"/>
      <c r="G396" t="s">
        <v>1102</v>
      </c>
      <c r="H396" s="19"/>
      <c r="I396" s="19"/>
    </row>
    <row r="397" spans="2:9">
      <c r="C397" s="644"/>
      <c r="D397" s="18"/>
      <c r="E397" s="18"/>
      <c r="G397" t="s">
        <v>1102</v>
      </c>
      <c r="H397" s="18"/>
      <c r="I397" s="18"/>
    </row>
    <row r="398" spans="2:9">
      <c r="C398" s="644"/>
      <c r="D398" s="18"/>
      <c r="E398" s="18"/>
      <c r="G398" t="s">
        <v>1102</v>
      </c>
      <c r="H398" s="18"/>
      <c r="I398" s="18"/>
    </row>
    <row r="400" spans="2:9">
      <c r="B400" t="s">
        <v>1163</v>
      </c>
    </row>
    <row r="401" spans="2:9">
      <c r="C401" s="123" t="s">
        <v>1164</v>
      </c>
      <c r="G401" t="s">
        <v>1102</v>
      </c>
      <c r="H401" s="19" t="s">
        <v>1166</v>
      </c>
      <c r="I401" s="19"/>
    </row>
    <row r="402" spans="2:9">
      <c r="C402" s="123" t="s">
        <v>1165</v>
      </c>
      <c r="G402" t="s">
        <v>1102</v>
      </c>
      <c r="H402" s="18" t="s">
        <v>1167</v>
      </c>
      <c r="I402" s="18"/>
    </row>
    <row r="404" spans="2:9">
      <c r="B404" t="s">
        <v>1168</v>
      </c>
    </row>
    <row r="405" spans="2:9">
      <c r="C405" s="638"/>
      <c r="D405" s="19"/>
      <c r="E405" s="19"/>
    </row>
    <row r="406" spans="2:9">
      <c r="B406" t="s">
        <v>1169</v>
      </c>
      <c r="C406" s="644"/>
      <c r="D406" s="18"/>
      <c r="E406" s="18"/>
      <c r="G406" t="s">
        <v>565</v>
      </c>
      <c r="H406" s="19"/>
      <c r="I406" s="19"/>
    </row>
    <row r="409" spans="2:9">
      <c r="B409" t="s">
        <v>1170</v>
      </c>
      <c r="H409" s="19"/>
      <c r="I409" s="19"/>
    </row>
    <row r="410" spans="2:9">
      <c r="H410" s="18"/>
      <c r="I410" s="18"/>
    </row>
    <row r="411" spans="2:9">
      <c r="H411" s="18"/>
      <c r="I411" s="18"/>
    </row>
    <row r="412" spans="2:9">
      <c r="H412" s="18"/>
      <c r="I412" s="18"/>
    </row>
    <row r="413" spans="2:9">
      <c r="H413" s="18"/>
      <c r="I413" s="18"/>
    </row>
    <row r="414" spans="2:9">
      <c r="H414" s="18"/>
      <c r="I414" s="18"/>
    </row>
    <row r="415" spans="2:9">
      <c r="H415" s="18"/>
      <c r="I415" s="18"/>
    </row>
    <row r="417" spans="2:2">
      <c r="B417" t="s">
        <v>1171</v>
      </c>
    </row>
    <row r="469" spans="1:2">
      <c r="A469" s="637">
        <v>2</v>
      </c>
      <c r="B469" t="s">
        <v>1015</v>
      </c>
    </row>
    <row r="471" spans="1:2">
      <c r="B471" t="s">
        <v>1172</v>
      </c>
    </row>
    <row r="473" spans="1:2">
      <c r="B473" t="s">
        <v>1173</v>
      </c>
    </row>
    <row r="475" spans="1:2">
      <c r="A475" s="637">
        <v>2.1</v>
      </c>
      <c r="B475" t="s">
        <v>1016</v>
      </c>
    </row>
    <row r="477" spans="1:2">
      <c r="B477" t="s">
        <v>1174</v>
      </c>
    </row>
    <row r="478" spans="1:2">
      <c r="B478" t="s">
        <v>1175</v>
      </c>
    </row>
    <row r="479" spans="1:2">
      <c r="B479" t="s">
        <v>1176</v>
      </c>
    </row>
    <row r="480" spans="1:2">
      <c r="B480" t="s">
        <v>1177</v>
      </c>
    </row>
    <row r="481" spans="1:2">
      <c r="B481" t="s">
        <v>1178</v>
      </c>
    </row>
    <row r="482" spans="1:2">
      <c r="B482" t="s">
        <v>1179</v>
      </c>
    </row>
    <row r="484" spans="1:2">
      <c r="A484" s="637">
        <v>2.2000000000000002</v>
      </c>
      <c r="B484" t="s">
        <v>1017</v>
      </c>
    </row>
    <row r="486" spans="1:2">
      <c r="B486" t="s">
        <v>1180</v>
      </c>
    </row>
    <row r="488" spans="1:2">
      <c r="B488" t="s">
        <v>1181</v>
      </c>
    </row>
    <row r="489" spans="1:2">
      <c r="B489" t="s">
        <v>1184</v>
      </c>
    </row>
    <row r="490" spans="1:2">
      <c r="B490" t="s">
        <v>1185</v>
      </c>
    </row>
    <row r="491" spans="1:2">
      <c r="B491" t="s">
        <v>1186</v>
      </c>
    </row>
    <row r="492" spans="1:2">
      <c r="B492" t="s">
        <v>1191</v>
      </c>
    </row>
    <row r="493" spans="1:2">
      <c r="B493" t="s">
        <v>1192</v>
      </c>
    </row>
    <row r="494" spans="1:2">
      <c r="B494" t="s">
        <v>1193</v>
      </c>
    </row>
    <row r="495" spans="1:2">
      <c r="B495" t="s">
        <v>1194</v>
      </c>
    </row>
    <row r="496" spans="1:2">
      <c r="B496" t="s">
        <v>1195</v>
      </c>
    </row>
    <row r="497" spans="2:3">
      <c r="B497" t="s">
        <v>1196</v>
      </c>
    </row>
    <row r="499" spans="2:3">
      <c r="B499" t="s">
        <v>1197</v>
      </c>
    </row>
    <row r="500" spans="2:3">
      <c r="B500" t="s">
        <v>1198</v>
      </c>
    </row>
    <row r="501" spans="2:3">
      <c r="B501" t="s">
        <v>1199</v>
      </c>
    </row>
    <row r="503" spans="2:3">
      <c r="B503" t="s">
        <v>1200</v>
      </c>
    </row>
    <row r="505" spans="2:3">
      <c r="B505" t="s">
        <v>1202</v>
      </c>
    </row>
    <row r="506" spans="2:3">
      <c r="B506" t="s">
        <v>1203</v>
      </c>
    </row>
    <row r="507" spans="2:3">
      <c r="B507" t="s">
        <v>1206</v>
      </c>
    </row>
    <row r="508" spans="2:3">
      <c r="B508" t="s">
        <v>1217</v>
      </c>
    </row>
    <row r="510" spans="2:3">
      <c r="B510" t="s">
        <v>1218</v>
      </c>
    </row>
    <row r="512" spans="2:3">
      <c r="C512" s="123" t="s">
        <v>1219</v>
      </c>
    </row>
    <row r="513" spans="3:3">
      <c r="C513" s="123" t="s">
        <v>1220</v>
      </c>
    </row>
    <row r="514" spans="3:3">
      <c r="C514" s="123" t="s">
        <v>1221</v>
      </c>
    </row>
    <row r="515" spans="3:3">
      <c r="C515" s="123" t="s">
        <v>1222</v>
      </c>
    </row>
    <row r="516" spans="3:3">
      <c r="C516" s="123" t="s">
        <v>1223</v>
      </c>
    </row>
    <row r="518" spans="3:3">
      <c r="C518" s="123" t="s">
        <v>1224</v>
      </c>
    </row>
    <row r="519" spans="3:3">
      <c r="C519" s="123" t="s">
        <v>1225</v>
      </c>
    </row>
    <row r="520" spans="3:3">
      <c r="C520" s="123" t="s">
        <v>1226</v>
      </c>
    </row>
    <row r="521" spans="3:3">
      <c r="C521" s="123" t="s">
        <v>1227</v>
      </c>
    </row>
    <row r="522" spans="3:3">
      <c r="C522" s="123" t="s">
        <v>1230</v>
      </c>
    </row>
    <row r="523" spans="3:3">
      <c r="C523" s="123" t="s">
        <v>1228</v>
      </c>
    </row>
    <row r="524" spans="3:3">
      <c r="C524" s="123" t="s">
        <v>1229</v>
      </c>
    </row>
    <row r="525" spans="3:3">
      <c r="C525" s="123" t="s">
        <v>1231</v>
      </c>
    </row>
    <row r="526" spans="3:3">
      <c r="C526" s="123" t="s">
        <v>1232</v>
      </c>
    </row>
    <row r="527" spans="3:3">
      <c r="C527" s="123" t="s">
        <v>1233</v>
      </c>
    </row>
    <row r="528" spans="3:3">
      <c r="C528" s="123" t="s">
        <v>1234</v>
      </c>
    </row>
    <row r="530" spans="3:3">
      <c r="C530" s="123" t="s">
        <v>1235</v>
      </c>
    </row>
    <row r="531" spans="3:3">
      <c r="C531" s="123" t="s">
        <v>1236</v>
      </c>
    </row>
    <row r="532" spans="3:3">
      <c r="C532" s="123" t="s">
        <v>1237</v>
      </c>
    </row>
    <row r="533" spans="3:3">
      <c r="C533" s="123" t="s">
        <v>1238</v>
      </c>
    </row>
    <row r="534" spans="3:3">
      <c r="C534" s="123" t="s">
        <v>1239</v>
      </c>
    </row>
    <row r="535" spans="3:3">
      <c r="C535" s="123" t="s">
        <v>1240</v>
      </c>
    </row>
    <row r="536" spans="3:3">
      <c r="C536" s="123" t="s">
        <v>1241</v>
      </c>
    </row>
    <row r="537" spans="3:3">
      <c r="C537" s="123" t="s">
        <v>1242</v>
      </c>
    </row>
    <row r="539" spans="3:3">
      <c r="C539" s="123" t="s">
        <v>1247</v>
      </c>
    </row>
    <row r="540" spans="3:3">
      <c r="C540" s="123" t="s">
        <v>1248</v>
      </c>
    </row>
    <row r="541" spans="3:3">
      <c r="C541" s="123" t="s">
        <v>1237</v>
      </c>
    </row>
    <row r="542" spans="3:3">
      <c r="C542" s="123" t="s">
        <v>1252</v>
      </c>
    </row>
    <row r="543" spans="3:3">
      <c r="C543" s="123" t="s">
        <v>1253</v>
      </c>
    </row>
    <row r="544" spans="3:3">
      <c r="C544" s="123" t="s">
        <v>1254</v>
      </c>
    </row>
    <row r="545" spans="3:3">
      <c r="C545" s="123" t="s">
        <v>1255</v>
      </c>
    </row>
  </sheetData>
  <mergeCells count="8">
    <mergeCell ref="A53:I53"/>
    <mergeCell ref="B157:I157"/>
    <mergeCell ref="G209:I209"/>
    <mergeCell ref="A6:I8"/>
    <mergeCell ref="A9:B11"/>
    <mergeCell ref="C11:I11"/>
    <mergeCell ref="A13:B15"/>
    <mergeCell ref="C15:I15"/>
  </mergeCells>
  <phoneticPr fontId="0" type="noConversion"/>
  <hyperlinks>
    <hyperlink ref="H214" r:id="rId1" xr:uid="{F959D62E-5CBC-4A80-82BB-EFC275A33A92}"/>
  </hyperlinks>
  <pageMargins left="0.75" right="0.75" top="1" bottom="1" header="0.5" footer="0.5"/>
  <pageSetup orientation="portrait" horizontalDpi="360"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69633" r:id="rId5" name="Button 1">
              <controlPr defaultSize="0" print="0" autoFill="0" autoPict="0" macro="[0]!BACKTOMENU">
                <anchor moveWithCells="1">
                  <from>
                    <xdr:col>2</xdr:col>
                    <xdr:colOff>435429</xdr:colOff>
                    <xdr:row>1</xdr:row>
                    <xdr:rowOff>114300</xdr:rowOff>
                  </from>
                  <to>
                    <xdr:col>3</xdr:col>
                    <xdr:colOff>326571</xdr:colOff>
                    <xdr:row>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12</vt:i4>
      </vt:variant>
    </vt:vector>
  </HeadingPairs>
  <TitlesOfParts>
    <vt:vector size="63" baseType="lpstr">
      <vt:lpstr>Register</vt:lpstr>
      <vt:lpstr>MENU</vt:lpstr>
      <vt:lpstr>INSTRUCTIONS</vt:lpstr>
      <vt:lpstr>DDS Submission</vt:lpstr>
      <vt:lpstr>Print Checklist</vt:lpstr>
      <vt:lpstr>Graphics</vt:lpstr>
      <vt:lpstr>Rig Inspection</vt:lpstr>
      <vt:lpstr>OG&amp;C Notification</vt:lpstr>
      <vt:lpstr>ERP (sweet)</vt:lpstr>
      <vt:lpstr>ERP(sour)</vt:lpstr>
      <vt:lpstr>Program</vt:lpstr>
      <vt:lpstr>SCVF</vt:lpstr>
      <vt:lpstr>LOGS</vt:lpstr>
      <vt:lpstr>Incident</vt:lpstr>
      <vt:lpstr>Pipe Torques-Specs</vt:lpstr>
      <vt:lpstr>Coefficients</vt:lpstr>
      <vt:lpstr>CBL Evaluation</vt:lpstr>
      <vt:lpstr>DATA</vt:lpstr>
      <vt:lpstr>Summary</vt:lpstr>
      <vt:lpstr>COVER AND INDEX</vt:lpstr>
      <vt:lpstr>Well Equipment</vt:lpstr>
      <vt:lpstr> Schematic</vt:lpstr>
      <vt:lpstr>Tubing &amp; Rod Report</vt:lpstr>
      <vt:lpstr>Completion &amp; Workover Detail</vt:lpstr>
      <vt:lpstr>Data Validation</vt:lpstr>
      <vt:lpstr>AFE Summary</vt:lpstr>
      <vt:lpstr>Cost Control</vt:lpstr>
      <vt:lpstr>Rig Hour Calc</vt:lpstr>
      <vt:lpstr>Daily Load</vt:lpstr>
      <vt:lpstr>Operations</vt:lpstr>
      <vt:lpstr>Load</vt:lpstr>
      <vt:lpstr>Depth Calculator</vt:lpstr>
      <vt:lpstr>purchord</vt:lpstr>
      <vt:lpstr>VOUCHER</vt:lpstr>
      <vt:lpstr>Master Tally</vt:lpstr>
      <vt:lpstr>Input Tally</vt:lpstr>
      <vt:lpstr>Rentals</vt:lpstr>
      <vt:lpstr>Cementing</vt:lpstr>
      <vt:lpstr>Alternate Summary</vt:lpstr>
      <vt:lpstr>Perforating</vt:lpstr>
      <vt:lpstr>TCP Config</vt:lpstr>
      <vt:lpstr>Gradient</vt:lpstr>
      <vt:lpstr>acid</vt:lpstr>
      <vt:lpstr>Swab</vt:lpstr>
      <vt:lpstr>Swab (2)</vt:lpstr>
      <vt:lpstr>Swab (3)</vt:lpstr>
      <vt:lpstr>Frac</vt:lpstr>
      <vt:lpstr>SEP_FLOW</vt:lpstr>
      <vt:lpstr>Gas Rate Calc</vt:lpstr>
      <vt:lpstr>Choke_Flow</vt:lpstr>
      <vt:lpstr>Transfer</vt:lpstr>
      <vt:lpstr>Comp1</vt:lpstr>
      <vt:lpstr>Comp2</vt:lpstr>
      <vt:lpstr>Comp3</vt:lpstr>
      <vt:lpstr>' Schematic'!Print_Area</vt:lpstr>
      <vt:lpstr>acid!Print_Area</vt:lpstr>
      <vt:lpstr>'AFE Summary'!Print_Area</vt:lpstr>
      <vt:lpstr>'Alternate Summary'!Print_Area</vt:lpstr>
      <vt:lpstr>'Master Tally'!Print_Area</vt:lpstr>
      <vt:lpstr>purchord!Print_Area</vt:lpstr>
      <vt:lpstr>'Rig Inspection'!Print_Area</vt:lpstr>
      <vt:lpstr>SCVF!Print_Area</vt:lpstr>
      <vt:lpstr>'Master Tally'!Print_Area_MI</vt:lpstr>
    </vt:vector>
  </TitlesOfParts>
  <Manager>Barry Long</Manager>
  <Company>Barlon Engineering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Barlon Excel Data File</dc:title>
  <dc:subject>Well Record</dc:subject>
  <dc:creator>Rick Johnson</dc:creator>
  <cp:lastModifiedBy>Richard Johnson</cp:lastModifiedBy>
  <cp:lastPrinted>2026-03-13T17:03:01Z</cp:lastPrinted>
  <dcterms:created xsi:type="dcterms:W3CDTF">1997-06-04T22:28:36Z</dcterms:created>
  <dcterms:modified xsi:type="dcterms:W3CDTF">2026-03-14T10:09:52Z</dcterms:modified>
  <cp:category>Completion/worlover form</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ceived from">
    <vt:lpwstr>R. Johnson</vt:lpwstr>
  </property>
  <property fmtid="{D5CDD505-2E9C-101B-9397-08002B2CF9AE}" pid="3" name="Telephone number">
    <vt:lpwstr>780-914-7521</vt:lpwstr>
  </property>
</Properties>
</file>